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29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Div 3 (2)...b7db256a_40ITCB" sheetId="17" state="hidden" r:id="rId13"/>
    <sheet name="OSR_300 &amp; 317_1C00ID4" sheetId="19" state="hidden" r:id="rId14"/>
    <sheet name="OSR_300 (2)_c...79cd3046_1TJM0H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0...c51cc666_QIOT67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...09141158_1BG9FGV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0" sheetId="24" r:id="rId53"/>
    <sheet name="307" sheetId="69" r:id="rId54"/>
    <sheet name="314" sheetId="74" r:id="rId55"/>
    <sheet name="308" sheetId="27" r:id="rId56"/>
    <sheet name="311" sheetId="71" r:id="rId57"/>
    <sheet name="324" sheetId="83" r:id="rId58"/>
    <sheet name="331" sheetId="30" r:id="rId59"/>
    <sheet name="315" sheetId="75" r:id="rId60"/>
    <sheet name="326" sheetId="85" r:id="rId61"/>
    <sheet name="332" sheetId="33" r:id="rId62"/>
    <sheet name="316" sheetId="76" r:id="rId63"/>
    <sheet name="320" sheetId="79" r:id="rId64"/>
    <sheet name="Div 6" sheetId="51" r:id="rId65"/>
    <sheet name="317" sheetId="77" r:id="rId66"/>
    <sheet name="310" sheetId="21" r:id="rId67"/>
    <sheet name="309" sheetId="70" r:id="rId68"/>
    <sheet name="313" sheetId="73" r:id="rId69"/>
    <sheet name="321" sheetId="80" r:id="rId70"/>
    <sheet name="322" sheetId="81" r:id="rId71"/>
    <sheet name="325" sheetId="84" r:id="rId72"/>
    <sheet name="327" sheetId="86" r:id="rId73"/>
    <sheet name="Div 4" sheetId="36" r:id="rId74"/>
    <sheet name="310 &amp; 491" sheetId="39" r:id="rId75"/>
    <sheet name="491" sheetId="42" r:id="rId76"/>
    <sheet name="405" sheetId="88" r:id="rId77"/>
    <sheet name="406" sheetId="89" r:id="rId78"/>
    <sheet name="411" sheetId="92" r:id="rId79"/>
    <sheet name="412" sheetId="93" r:id="rId80"/>
    <sheet name="413" sheetId="94" r:id="rId81"/>
    <sheet name="414" sheetId="95" r:id="rId82"/>
    <sheet name="415" sheetId="96" r:id="rId83"/>
    <sheet name="418" sheetId="98" r:id="rId84"/>
    <sheet name="420" sheetId="99" r:id="rId85"/>
    <sheet name="423" sheetId="100" r:id="rId86"/>
    <sheet name="424" sheetId="101" r:id="rId87"/>
    <sheet name="425" sheetId="102" r:id="rId88"/>
    <sheet name="455" sheetId="109" r:id="rId89"/>
    <sheet name="492" sheetId="45" r:id="rId90"/>
    <sheet name="430" sheetId="103" r:id="rId91"/>
    <sheet name="433" sheetId="104" r:id="rId92"/>
    <sheet name="435" sheetId="105" r:id="rId93"/>
    <sheet name="444" sheetId="106" r:id="rId94"/>
    <sheet name="445" sheetId="107" r:id="rId95"/>
    <sheet name="450" sheetId="108" r:id="rId96"/>
    <sheet name="Div 5" sheetId="48" r:id="rId97"/>
    <sheet name="501" sheetId="110" r:id="rId98"/>
    <sheet name="Dept" sheetId="111" state="hidden" r:id="rId99"/>
    <sheet name="OSR_Dept_Y0WUKY" sheetId="112" state="hidden" r:id="rId100"/>
    <sheet name="OSR_Summary (...56e5d78f_5JEYZH" sheetId="113" state="hidden" r:id="rId101"/>
  </sheets>
  <definedNames>
    <definedName name="OSRRefD13x_0" localSheetId="48">'300'!$D$13:$D$102</definedName>
    <definedName name="OSRRefD13x_0" localSheetId="49">'300 &amp; 317'!$D$13:$D$119</definedName>
    <definedName name="OSRRefD13x_0" localSheetId="53">'307'!$D$13:$D$43</definedName>
    <definedName name="OSRRefD13x_0" localSheetId="55">'308'!$D$13:$D$39</definedName>
    <definedName name="OSRRefD13x_0" localSheetId="67">'309'!$D$13:$D$14</definedName>
    <definedName name="OSRRefD13x_0" localSheetId="66">'310'!$D$13:$D$21</definedName>
    <definedName name="OSRRefD13x_0" localSheetId="74">'310 &amp; 491'!$D$13:$D$29</definedName>
    <definedName name="OSRRefD13x_0" localSheetId="56">'311'!$D$13:$D$38</definedName>
    <definedName name="OSRRefD13x_0" localSheetId="68">'313'!$D$13:$D$18</definedName>
    <definedName name="OSRRefD13x_0" localSheetId="54">'314'!$D$13:$D$33</definedName>
    <definedName name="OSRRefD13x_0" localSheetId="59">'315'!$D$13:$D$32</definedName>
    <definedName name="OSRRefD13x_0" localSheetId="62">'316'!$D$13:$D$24</definedName>
    <definedName name="OSRRefD13x_0" localSheetId="65">'317'!$D$13:$D$35</definedName>
    <definedName name="OSRRefD13x_0" localSheetId="63">'320'!$D$13:$D$16</definedName>
    <definedName name="OSRRefD13x_0" localSheetId="69">'321'!$D$13:$D$14</definedName>
    <definedName name="OSRRefD13x_0" localSheetId="70">'322'!$D$13:$D$14</definedName>
    <definedName name="OSRRefD13x_0" localSheetId="57">'324'!$D$13:$D$15</definedName>
    <definedName name="OSRRefD13x_0" localSheetId="71">'325'!$D$13:$D$14</definedName>
    <definedName name="OSRRefD13x_0" localSheetId="60">'326'!$D$13:$D$33</definedName>
    <definedName name="OSRRefD13x_0" localSheetId="72">'327'!$D$13</definedName>
    <definedName name="OSRRefD13x_0" localSheetId="52">'330'!$D$13:$D$48</definedName>
    <definedName name="OSRRefD13x_0" localSheetId="58">'331'!$D$13:$D$41</definedName>
    <definedName name="OSRRefD13x_0" localSheetId="61">'332'!$D$13:$D$28</definedName>
    <definedName name="OSRRefD13x_0" localSheetId="76">'405'!$D$13:$D$14</definedName>
    <definedName name="OSRRefD13x_0" localSheetId="77">'406'!$D$13:$D$14</definedName>
    <definedName name="OSRRefD13x_0" localSheetId="79">'412'!$D$13:$D$14</definedName>
    <definedName name="OSRRefD13x_0" localSheetId="80">'413'!$D$13:$D$14</definedName>
    <definedName name="OSRRefD13x_0" localSheetId="81">'414'!$D$13:$D$14</definedName>
    <definedName name="OSRRefD13x_0" localSheetId="82">'415'!$D$13:$D$14</definedName>
    <definedName name="OSRRefD13x_0" localSheetId="83">'418'!$D$13:$D$14</definedName>
    <definedName name="OSRRefD13x_0" localSheetId="86">'424'!$D$13:$D$14</definedName>
    <definedName name="OSRRefD13x_0" localSheetId="87">'425'!$D$13:$D$16</definedName>
    <definedName name="OSRRefD13x_0" localSheetId="91">'433'!$D$13:$D$16</definedName>
    <definedName name="OSRRefD13x_0" localSheetId="92">'435'!$D$13:$D$15</definedName>
    <definedName name="OSRRefD13x_0" localSheetId="93">'444'!$D$13:$D$15</definedName>
    <definedName name="OSRRefD13x_0" localSheetId="95">'450'!$D$13:$D$15</definedName>
    <definedName name="OSRRefD13x_0" localSheetId="75">'491'!$D$13:$D$22</definedName>
    <definedName name="OSRRefD13x_0" localSheetId="89">'492'!$D$13:$D$18</definedName>
    <definedName name="OSRRefD13x_0" localSheetId="97">'501'!$D$13</definedName>
    <definedName name="OSRRefD13x_0" localSheetId="47">'Div 3'!$D$13:$D$106</definedName>
    <definedName name="OSRRefD13x_0" localSheetId="73">'Div 4'!$D$13:$D$24</definedName>
    <definedName name="OSRRefD13x_0" localSheetId="96">'Div 5'!$D$13</definedName>
    <definedName name="OSRRefD13x_0" localSheetId="64">'Div 6'!$D$13:$D$35</definedName>
    <definedName name="OSRRefD13x_0" localSheetId="2">Summary!$D$13:$D$132</definedName>
    <definedName name="OSRRefD16x_0" localSheetId="48">'300'!$D$105:$D$152</definedName>
    <definedName name="OSRRefD16x_0" localSheetId="49">'300 &amp; 317'!$D$122:$D$176</definedName>
    <definedName name="OSRRefD16x_0" localSheetId="53">'307'!$D$46:$D$63</definedName>
    <definedName name="OSRRefD16x_0" localSheetId="55">'308'!$D$42:$D$56</definedName>
    <definedName name="OSRRefD16x_0" localSheetId="67">'309'!$D$17:$D$18</definedName>
    <definedName name="OSRRefD16x_0" localSheetId="66">'310'!$D$24:$D$25</definedName>
    <definedName name="OSRRefD16x_0" localSheetId="74">'310 &amp; 491'!$D$32:$D$33</definedName>
    <definedName name="OSRRefD16x_0" localSheetId="56">'311'!$D$41:$D$55</definedName>
    <definedName name="OSRRefD16x_0" localSheetId="68">'313'!$D$21:$D$22</definedName>
    <definedName name="OSRRefD16x_0" localSheetId="54">'314'!$D$36:$D$49</definedName>
    <definedName name="OSRRefD16x_0" localSheetId="59">'315'!$D$35:$D$48</definedName>
    <definedName name="OSRRefD16x_0" localSheetId="65">'317'!$D$38:$D$50</definedName>
    <definedName name="OSRRefD16x_0" localSheetId="63">'320'!$D$19:$D$23</definedName>
    <definedName name="OSRRefD16x_0" localSheetId="69">'321'!$D$17:$D$18</definedName>
    <definedName name="OSRRefD16x_0" localSheetId="70">'322'!$D$17:$D$18</definedName>
    <definedName name="OSRRefD16x_0" localSheetId="57">'324'!$D$18:$D$19</definedName>
    <definedName name="OSRRefD16x_0" localSheetId="71">'325'!$D$17:$D$18</definedName>
    <definedName name="OSRRefD16x_0" localSheetId="60">'326'!$D$36:$D$51</definedName>
    <definedName name="OSRRefD16x_0" localSheetId="72">'327'!$D$16</definedName>
    <definedName name="OSRRefD16x_0" localSheetId="52">'330'!$D$51:$D$71</definedName>
    <definedName name="OSRRefD16x_0" localSheetId="58">'331'!$D$44:$D$65</definedName>
    <definedName name="OSRRefD16x_0" localSheetId="61">'332'!$D$31:$D$35</definedName>
    <definedName name="OSRRefD16x_0" localSheetId="76">'405'!$D$17:$D$18</definedName>
    <definedName name="OSRRefD16x_0" localSheetId="77">'406'!$D$17:$D$18</definedName>
    <definedName name="OSRRefD16x_0" localSheetId="79">'412'!$D$17</definedName>
    <definedName name="OSRRefD16x_0" localSheetId="80">'413'!$D$17:$D$18</definedName>
    <definedName name="OSRRefD16x_0" localSheetId="81">'414'!$D$17:$D$18</definedName>
    <definedName name="OSRRefD16x_0" localSheetId="82">'415'!$D$17:$D$18</definedName>
    <definedName name="OSRRefD16x_0" localSheetId="83">'418'!$D$17:$D$18</definedName>
    <definedName name="OSRRefD16x_0" localSheetId="85">'423'!$D$15</definedName>
    <definedName name="OSRRefD16x_0" localSheetId="86">'424'!$D$17:$D$18</definedName>
    <definedName name="OSRRefD16x_0" localSheetId="87">'425'!$D$19:$D$20</definedName>
    <definedName name="OSRRefD16x_0" localSheetId="91">'433'!$D$19:$D$20</definedName>
    <definedName name="OSRRefD16x_0" localSheetId="92">'435'!$D$18:$D$19</definedName>
    <definedName name="OSRRefD16x_0" localSheetId="93">'444'!$D$18:$D$19</definedName>
    <definedName name="OSRRefD16x_0" localSheetId="95">'450'!$D$18:$D$19</definedName>
    <definedName name="OSRRefD16x_0" localSheetId="75">'491'!$D$25:$D$26</definedName>
    <definedName name="OSRRefD16x_0" localSheetId="89">'492'!$D$21:$D$22</definedName>
    <definedName name="OSRRefD16x_0" localSheetId="47">'Div 3'!$D$109:$D$158</definedName>
    <definedName name="OSRRefD16x_0" localSheetId="73">'Div 4'!$D$27:$D$28</definedName>
    <definedName name="OSRRefD16x_0" localSheetId="64">'Div 6'!$D$38:$D$50</definedName>
    <definedName name="OSRRefD16x_0" localSheetId="2">Summary!$D$135:$D$191</definedName>
    <definedName name="OSRRefD22_0x_0" localSheetId="40">'200'!$D$20</definedName>
    <definedName name="OSRRefD22_0x_0" localSheetId="41">'201'!$D$20:$D$28</definedName>
    <definedName name="OSRRefD22_0x_0" localSheetId="42">'202'!$D$20:$D$27</definedName>
    <definedName name="OSRRefD22_0x_0" localSheetId="43">'203'!$D$20:$D$29</definedName>
    <definedName name="OSRRefD22_0x_0" localSheetId="44">'204'!$D$20:$D$28</definedName>
    <definedName name="OSRRefD22_0x_0" localSheetId="45">'205'!$D$20:$D$27</definedName>
    <definedName name="OSRRefD22_0x_0" localSheetId="46">'206'!$D$20:$D$27</definedName>
    <definedName name="OSRRefD22_0x_0" localSheetId="48">'300'!$D$158:$D$166</definedName>
    <definedName name="OSRRefD22_0x_0" localSheetId="49">'300 &amp; 317'!$D$182:$D$190</definedName>
    <definedName name="OSRRefD22_0x_0" localSheetId="50">'301'!$D$20:$D$27</definedName>
    <definedName name="OSRRefD22_0x_0" localSheetId="51">'306'!$D$20:$D$28</definedName>
    <definedName name="OSRRefD22_0x_0" localSheetId="53">'307'!$D$69:$D$76</definedName>
    <definedName name="OSRRefD22_0x_0" localSheetId="55">'308'!$D$62:$D$70</definedName>
    <definedName name="OSRRefD22_0x_0" localSheetId="67">'309'!$D$24:$D$31</definedName>
    <definedName name="OSRRefD22_0x_0" localSheetId="66">'310'!$D$31:$D$38</definedName>
    <definedName name="OSRRefD22_0x_0" localSheetId="74">'310 &amp; 491'!$D$39:$D$47</definedName>
    <definedName name="OSRRefD22_0x_0" localSheetId="56">'311'!$D$61:$D$69</definedName>
    <definedName name="OSRRefD22_0x_0" localSheetId="68">'313'!$D$28:$D$35</definedName>
    <definedName name="OSRRefD22_0x_0" localSheetId="54">'314'!$D$55:$D$61</definedName>
    <definedName name="OSRRefD22_0x_0" localSheetId="59">'315'!$D$54:$D$61</definedName>
    <definedName name="OSRRefD22_0x_0" localSheetId="62">'316'!$D$32:$D$39</definedName>
    <definedName name="OSRRefD22_0x_0" localSheetId="65">'317'!$D$56:$D$64</definedName>
    <definedName name="OSRRefD22_0x_0" localSheetId="63">'320'!$D$29:$D$35</definedName>
    <definedName name="OSRRefD22_0x_0" localSheetId="69">'321'!$D$24:$D$30</definedName>
    <definedName name="OSRRefD22_0x_0" localSheetId="70">'322'!$D$24:$D$31</definedName>
    <definedName name="OSRRefD22_0x_0" localSheetId="57">'324'!$D$25</definedName>
    <definedName name="OSRRefD22_0x_0" localSheetId="71">'325'!$D$24:$D$31</definedName>
    <definedName name="OSRRefD22_0x_0" localSheetId="60">'326'!$D$57:$D$64</definedName>
    <definedName name="OSRRefD22_0x_0" localSheetId="72">'327'!$D$22</definedName>
    <definedName name="OSRRefD22_0x_0" localSheetId="52">'330'!$D$77:$D$84</definedName>
    <definedName name="OSRRefD22_0x_0" localSheetId="58">'331'!$D$71:$D$78</definedName>
    <definedName name="OSRRefD22_0x_0" localSheetId="61">'332'!$D$41:$D$48</definedName>
    <definedName name="OSRRefD22_0x_0" localSheetId="76">'405'!$D$24:$D$31</definedName>
    <definedName name="OSRRefD22_0x_0" localSheetId="77">'406'!$D$24:$D$31</definedName>
    <definedName name="OSRRefD22_0x_0" localSheetId="78">'411'!$D$20:$D$28</definedName>
    <definedName name="OSRRefD22_0x_0" localSheetId="79">'412'!$D$23:$D$30</definedName>
    <definedName name="OSRRefD22_0x_0" localSheetId="80">'413'!$D$24:$D$31</definedName>
    <definedName name="OSRRefD22_0x_0" localSheetId="81">'414'!$D$24:$D$31</definedName>
    <definedName name="OSRRefD22_0x_0" localSheetId="82">'415'!$D$24:$D$31</definedName>
    <definedName name="OSRRefD22_0x_0" localSheetId="83">'418'!$D$24:$D$31</definedName>
    <definedName name="OSRRefD22_0x_0" localSheetId="84">'420'!$D$20:$D$21</definedName>
    <definedName name="OSRRefD22_0x_0" localSheetId="85">'423'!$D$21:$D$28</definedName>
    <definedName name="OSRRefD22_0x_0" localSheetId="86">'424'!$D$24:$D$26</definedName>
    <definedName name="OSRRefD22_0x_0" localSheetId="87">'425'!$D$26:$D$33</definedName>
    <definedName name="OSRRefD22_0x_0" localSheetId="90">'430'!$D$20:$D$27</definedName>
    <definedName name="OSRRefD22_0x_0" localSheetId="91">'433'!$D$26:$D$34</definedName>
    <definedName name="OSRRefD22_0x_0" localSheetId="92">'435'!$D$25:$D$27</definedName>
    <definedName name="OSRRefD22_0x_0" localSheetId="93">'444'!$D$25:$D$33</definedName>
    <definedName name="OSRRefD22_0x_0" localSheetId="94">'445'!$D$20</definedName>
    <definedName name="OSRRefD22_0x_0" localSheetId="95">'450'!$D$25:$D$33</definedName>
    <definedName name="OSRRefD22_0x_0" localSheetId="88">'455'!$D$20:$D$26</definedName>
    <definedName name="OSRRefD22_0x_0" localSheetId="75">'491'!$D$32:$D$40</definedName>
    <definedName name="OSRRefD22_0x_0" localSheetId="89">'492'!$D$28:$D$36</definedName>
    <definedName name="OSRRefD22_0x_0" localSheetId="97">'501'!$D$21:$D$28</definedName>
    <definedName name="OSRRefD22_0x_0" localSheetId="39">'Div 2'!$D$20:$D$30</definedName>
    <definedName name="OSRRefD22_0x_0" localSheetId="47">'Div 3'!$D$164:$D$172</definedName>
    <definedName name="OSRRefD22_0x_0" localSheetId="73">'Div 4'!$D$34:$D$42</definedName>
    <definedName name="OSRRefD22_0x_0" localSheetId="96">'Div 5'!$D$21:$D$28</definedName>
    <definedName name="OSRRefD22_0x_0" localSheetId="64">'Div 6'!$D$56:$D$64</definedName>
    <definedName name="OSRRefD22_0x_0" localSheetId="2">Summary!$D$197:$D$205</definedName>
    <definedName name="OSRRefD22_10x_0" localSheetId="41">'201'!$D$52:$D$54</definedName>
    <definedName name="OSRRefD22_10x_0" localSheetId="42">'202'!$D$51</definedName>
    <definedName name="OSRRefD22_10x_0" localSheetId="43">'203'!$D$54:$D$55</definedName>
    <definedName name="OSRRefD22_10x_0" localSheetId="44">'204'!$D$57:$D$58</definedName>
    <definedName name="OSRRefD22_10x_0" localSheetId="48">'300'!$D$194:$D$195</definedName>
    <definedName name="OSRRefD22_10x_0" localSheetId="49">'300 &amp; 317'!$D$218:$D$219</definedName>
    <definedName name="OSRRefD22_10x_0" localSheetId="50">'301'!$D$55</definedName>
    <definedName name="OSRRefD22_10x_0" localSheetId="53">'307'!$D$101</definedName>
    <definedName name="OSRRefD22_10x_0" localSheetId="55">'308'!$D$97</definedName>
    <definedName name="OSRRefD22_10x_0" localSheetId="67">'309'!$D$57:$D$62</definedName>
    <definedName name="OSRRefD22_10x_0" localSheetId="66">'310'!$D$64</definedName>
    <definedName name="OSRRefD22_10x_0" localSheetId="74">'310 &amp; 491'!$D$75</definedName>
    <definedName name="OSRRefD22_10x_0" localSheetId="56">'311'!$D$96</definedName>
    <definedName name="OSRRefD22_10x_0" localSheetId="68">'313'!$D$61</definedName>
    <definedName name="OSRRefD22_10x_0" localSheetId="59">'315'!$D$87</definedName>
    <definedName name="OSRRefD22_10x_0" localSheetId="65">'317'!$D$88</definedName>
    <definedName name="OSRRefD22_10x_0" localSheetId="69">'321'!$D$62</definedName>
    <definedName name="OSRRefD22_10x_0" localSheetId="70">'322'!$D$56:$D$58</definedName>
    <definedName name="OSRRefD22_10x_0" localSheetId="71">'325'!$D$57:$D$59</definedName>
    <definedName name="OSRRefD22_10x_0" localSheetId="60">'326'!$D$87</definedName>
    <definedName name="OSRRefD22_10x_0" localSheetId="52">'330'!$D$109</definedName>
    <definedName name="OSRRefD22_10x_0" localSheetId="58">'331'!$D$103</definedName>
    <definedName name="OSRRefD22_10x_0" localSheetId="61">'332'!$D$72:$D$76</definedName>
    <definedName name="OSRRefD22_10x_0" localSheetId="76">'405'!$D$55:$D$56</definedName>
    <definedName name="OSRRefD22_10x_0" localSheetId="77">'406'!$D$57:$D$62</definedName>
    <definedName name="OSRRefD22_10x_0" localSheetId="78">'411'!$D$57:$D$61</definedName>
    <definedName name="OSRRefD22_10x_0" localSheetId="79">'412'!$D$56:$D$58</definedName>
    <definedName name="OSRRefD22_10x_0" localSheetId="80">'413'!$D$60</definedName>
    <definedName name="OSRRefD22_10x_0" localSheetId="81">'414'!$D$57</definedName>
    <definedName name="OSRRefD22_10x_0" localSheetId="82">'415'!$D$56</definedName>
    <definedName name="OSRRefD22_10x_0" localSheetId="83">'418'!$D$60:$D$62</definedName>
    <definedName name="OSRRefD22_10x_0" localSheetId="86">'424'!$D$54</definedName>
    <definedName name="OSRRefD22_10x_0" localSheetId="87">'425'!$D$58</definedName>
    <definedName name="OSRRefD22_10x_0" localSheetId="91">'433'!$D$59</definedName>
    <definedName name="OSRRefD22_10x_0" localSheetId="93">'444'!$D$58</definedName>
    <definedName name="OSRRefD22_10x_0" localSheetId="95">'450'!$D$58</definedName>
    <definedName name="OSRRefD22_10x_0" localSheetId="75">'491'!$D$69</definedName>
    <definedName name="OSRRefD22_10x_0" localSheetId="89">'492'!$D$62</definedName>
    <definedName name="OSRRefD22_10x_0" localSheetId="97">'501'!$D$53:$D$54</definedName>
    <definedName name="OSRRefD22_10x_0" localSheetId="39">'Div 2'!$D$57</definedName>
    <definedName name="OSRRefD22_10x_0" localSheetId="47">'Div 3'!$D$200:$D$201</definedName>
    <definedName name="OSRRefD22_10x_0" localSheetId="73">'Div 4'!$D$70:$D$71</definedName>
    <definedName name="OSRRefD22_10x_0" localSheetId="96">'Div 5'!$D$53:$D$54</definedName>
    <definedName name="OSRRefD22_10x_0" localSheetId="64">'Div 6'!$D$88</definedName>
    <definedName name="OSRRefD22_10x_0" localSheetId="2">Summary!$D$234:$D$235</definedName>
    <definedName name="OSRRefD22_11x_0" localSheetId="41">'201'!$D$56</definedName>
    <definedName name="OSRRefD22_11x_0" localSheetId="42">'202'!$D$53:$D$54</definedName>
    <definedName name="OSRRefD22_11x_0" localSheetId="43">'203'!$D$57</definedName>
    <definedName name="OSRRefD22_11x_0" localSheetId="48">'300'!$D$197</definedName>
    <definedName name="OSRRefD22_11x_0" localSheetId="49">'300 &amp; 317'!$D$221</definedName>
    <definedName name="OSRRefD22_11x_0" localSheetId="50">'301'!$D$57</definedName>
    <definedName name="OSRRefD22_11x_0" localSheetId="53">'307'!$D$103</definedName>
    <definedName name="OSRRefD22_11x_0" localSheetId="55">'308'!$D$99:$D$101</definedName>
    <definedName name="OSRRefD22_11x_0" localSheetId="67">'309'!$D$64</definedName>
    <definedName name="OSRRefD22_11x_0" localSheetId="66">'310'!$D$66</definedName>
    <definedName name="OSRRefD22_11x_0" localSheetId="74">'310 &amp; 491'!$D$77:$D$78</definedName>
    <definedName name="OSRRefD22_11x_0" localSheetId="56">'311'!$D$98:$D$100</definedName>
    <definedName name="OSRRefD22_11x_0" localSheetId="68">'313'!$D$63:$D$68</definedName>
    <definedName name="OSRRefD22_11x_0" localSheetId="59">'315'!$D$89:$D$92</definedName>
    <definedName name="OSRRefD22_11x_0" localSheetId="69">'321'!$D$64</definedName>
    <definedName name="OSRRefD22_11x_0" localSheetId="70">'322'!$D$60:$D$65</definedName>
    <definedName name="OSRRefD22_11x_0" localSheetId="71">'325'!$D$61:$D$63</definedName>
    <definedName name="OSRRefD22_11x_0" localSheetId="60">'326'!$D$89</definedName>
    <definedName name="OSRRefD22_11x_0" localSheetId="52">'330'!$D$111:$D$112</definedName>
    <definedName name="OSRRefD22_11x_0" localSheetId="58">'331'!$D$105</definedName>
    <definedName name="OSRRefD22_11x_0" localSheetId="61">'332'!$D$78</definedName>
    <definedName name="OSRRefD22_11x_0" localSheetId="76">'405'!$D$58</definedName>
    <definedName name="OSRRefD22_11x_0" localSheetId="77">'406'!$D$64</definedName>
    <definedName name="OSRRefD22_11x_0" localSheetId="78">'411'!$D$63:$D$69</definedName>
    <definedName name="OSRRefD22_11x_0" localSheetId="79">'412'!$D$60:$D$66</definedName>
    <definedName name="OSRRefD22_11x_0" localSheetId="81">'414'!$D$59</definedName>
    <definedName name="OSRRefD22_11x_0" localSheetId="82">'415'!$D$58:$D$60</definedName>
    <definedName name="OSRRefD22_11x_0" localSheetId="83">'418'!$D$64</definedName>
    <definedName name="OSRRefD22_11x_0" localSheetId="87">'425'!$D$60:$D$61</definedName>
    <definedName name="OSRRefD22_11x_0" localSheetId="91">'433'!$D$61:$D$63</definedName>
    <definedName name="OSRRefD22_11x_0" localSheetId="93">'444'!$D$60:$D$61</definedName>
    <definedName name="OSRRefD22_11x_0" localSheetId="95">'450'!$D$60:$D$61</definedName>
    <definedName name="OSRRefD22_11x_0" localSheetId="75">'491'!$D$71</definedName>
    <definedName name="OSRRefD22_11x_0" localSheetId="89">'492'!$D$64</definedName>
    <definedName name="OSRRefD22_11x_0" localSheetId="97">'501'!$D$56:$D$59</definedName>
    <definedName name="OSRRefD22_11x_0" localSheetId="39">'Div 2'!$D$59</definedName>
    <definedName name="OSRRefD22_11x_0" localSheetId="47">'Div 3'!$D$203</definedName>
    <definedName name="OSRRefD22_11x_0" localSheetId="73">'Div 4'!$D$73</definedName>
    <definedName name="OSRRefD22_11x_0" localSheetId="96">'Div 5'!$D$56:$D$59</definedName>
    <definedName name="OSRRefD22_11x_0" localSheetId="2">Summary!$D$237:$D$238</definedName>
    <definedName name="OSRRefD22_12x_0" localSheetId="41">'201'!$D$58:$D$60</definedName>
    <definedName name="OSRRefD22_12x_0" localSheetId="42">'202'!$D$56</definedName>
    <definedName name="OSRRefD22_12x_0" localSheetId="43">'203'!$D$59:$D$61</definedName>
    <definedName name="OSRRefD22_12x_0" localSheetId="48">'300'!$D$199</definedName>
    <definedName name="OSRRefD22_12x_0" localSheetId="49">'300 &amp; 317'!$D$223</definedName>
    <definedName name="OSRRefD22_12x_0" localSheetId="50">'301'!$D$59</definedName>
    <definedName name="OSRRefD22_12x_0" localSheetId="55">'308'!$D$103:$D$104</definedName>
    <definedName name="OSRRefD22_12x_0" localSheetId="66">'310'!$D$68</definedName>
    <definedName name="OSRRefD22_12x_0" localSheetId="74">'310 &amp; 491'!$D$80</definedName>
    <definedName name="OSRRefD22_12x_0" localSheetId="56">'311'!$D$102:$D$103</definedName>
    <definedName name="OSRRefD22_12x_0" localSheetId="68">'313'!$D$70</definedName>
    <definedName name="OSRRefD22_12x_0" localSheetId="59">'315'!$D$94</definedName>
    <definedName name="OSRRefD22_12x_0" localSheetId="70">'322'!$D$67</definedName>
    <definedName name="OSRRefD22_12x_0" localSheetId="71">'325'!$D$65</definedName>
    <definedName name="OSRRefD22_12x_0" localSheetId="60">'326'!$D$91</definedName>
    <definedName name="OSRRefD22_12x_0" localSheetId="52">'330'!$D$114</definedName>
    <definedName name="OSRRefD22_12x_0" localSheetId="58">'331'!$D$107</definedName>
    <definedName name="OSRRefD22_12x_0" localSheetId="61">'332'!$D$80</definedName>
    <definedName name="OSRRefD22_12x_0" localSheetId="76">'405'!$D$60:$D$62</definedName>
    <definedName name="OSRRefD22_12x_0" localSheetId="77">'406'!$D$66</definedName>
    <definedName name="OSRRefD22_12x_0" localSheetId="78">'411'!$D$71</definedName>
    <definedName name="OSRRefD22_12x_0" localSheetId="79">'412'!$D$68</definedName>
    <definedName name="OSRRefD22_12x_0" localSheetId="81">'414'!$D$61:$D$67</definedName>
    <definedName name="OSRRefD22_12x_0" localSheetId="82">'415'!$D$62:$D$66</definedName>
    <definedName name="OSRRefD22_12x_0" localSheetId="83">'418'!$D$66:$D$72</definedName>
    <definedName name="OSRRefD22_12x_0" localSheetId="87">'425'!$D$63:$D$68</definedName>
    <definedName name="OSRRefD22_12x_0" localSheetId="91">'433'!$D$65:$D$70</definedName>
    <definedName name="OSRRefD22_12x_0" localSheetId="93">'444'!$D$63:$D$65</definedName>
    <definedName name="OSRRefD22_12x_0" localSheetId="95">'450'!$D$63:$D$65</definedName>
    <definedName name="OSRRefD22_12x_0" localSheetId="75">'491'!$D$73</definedName>
    <definedName name="OSRRefD22_12x_0" localSheetId="89">'492'!$D$66:$D$68</definedName>
    <definedName name="OSRRefD22_12x_0" localSheetId="97">'501'!$D$61</definedName>
    <definedName name="OSRRefD22_12x_0" localSheetId="39">'Div 2'!$D$61:$D$64</definedName>
    <definedName name="OSRRefD22_12x_0" localSheetId="47">'Div 3'!$D$205</definedName>
    <definedName name="OSRRefD22_12x_0" localSheetId="73">'Div 4'!$D$75</definedName>
    <definedName name="OSRRefD22_12x_0" localSheetId="96">'Div 5'!$D$61</definedName>
    <definedName name="OSRRefD22_12x_0" localSheetId="2">Summary!$D$240</definedName>
    <definedName name="OSRRefD22_13x_0" localSheetId="41">'201'!$D$62</definedName>
    <definedName name="OSRRefD22_13x_0" localSheetId="42">'202'!$D$58</definedName>
    <definedName name="OSRRefD22_13x_0" localSheetId="43">'203'!$D$63</definedName>
    <definedName name="OSRRefD22_13x_0" localSheetId="48">'300'!$D$201</definedName>
    <definedName name="OSRRefD22_13x_0" localSheetId="49">'300 &amp; 317'!$D$225</definedName>
    <definedName name="OSRRefD22_13x_0" localSheetId="50">'301'!$D$61</definedName>
    <definedName name="OSRRefD22_13x_0" localSheetId="55">'308'!$D$106</definedName>
    <definedName name="OSRRefD22_13x_0" localSheetId="66">'310'!$D$70</definedName>
    <definedName name="OSRRefD22_13x_0" localSheetId="74">'310 &amp; 491'!$D$82</definedName>
    <definedName name="OSRRefD22_13x_0" localSheetId="56">'311'!$D$105</definedName>
    <definedName name="OSRRefD22_13x_0" localSheetId="68">'313'!$D$72</definedName>
    <definedName name="OSRRefD22_13x_0" localSheetId="59">'315'!$D$96</definedName>
    <definedName name="OSRRefD22_13x_0" localSheetId="70">'322'!$D$69</definedName>
    <definedName name="OSRRefD22_13x_0" localSheetId="71">'325'!$D$67:$D$72</definedName>
    <definedName name="OSRRefD22_13x_0" localSheetId="60">'326'!$D$93:$D$94</definedName>
    <definedName name="OSRRefD22_13x_0" localSheetId="58">'331'!$D$109</definedName>
    <definedName name="OSRRefD22_13x_0" localSheetId="76">'405'!$D$64</definedName>
    <definedName name="OSRRefD22_13x_0" localSheetId="78">'411'!$D$73</definedName>
    <definedName name="OSRRefD22_13x_0" localSheetId="79">'412'!$D$70</definedName>
    <definedName name="OSRRefD22_13x_0" localSheetId="81">'414'!$D$69</definedName>
    <definedName name="OSRRefD22_13x_0" localSheetId="82">'415'!$D$68</definedName>
    <definedName name="OSRRefD22_13x_0" localSheetId="83">'418'!$D$74</definedName>
    <definedName name="OSRRefD22_13x_0" localSheetId="87">'425'!$D$70</definedName>
    <definedName name="OSRRefD22_13x_0" localSheetId="91">'433'!$D$72</definedName>
    <definedName name="OSRRefD22_13x_0" localSheetId="93">'444'!$D$67:$D$73</definedName>
    <definedName name="OSRRefD22_13x_0" localSheetId="95">'450'!$D$67:$D$72</definedName>
    <definedName name="OSRRefD22_13x_0" localSheetId="75">'491'!$D$75</definedName>
    <definedName name="OSRRefD22_13x_0" localSheetId="89">'492'!$D$70:$D$72</definedName>
    <definedName name="OSRRefD22_13x_0" localSheetId="39">'Div 2'!$D$66:$D$68</definedName>
    <definedName name="OSRRefD22_13x_0" localSheetId="47">'Div 3'!$D$207</definedName>
    <definedName name="OSRRefD22_13x_0" localSheetId="73">'Div 4'!$D$77</definedName>
    <definedName name="OSRRefD22_13x_0" localSheetId="2">Summary!$D$242</definedName>
    <definedName name="OSRRefD22_14x_0" localSheetId="41">'201'!$D$64</definedName>
    <definedName name="OSRRefD22_14x_0" localSheetId="43">'203'!$D$65</definedName>
    <definedName name="OSRRefD22_14x_0" localSheetId="48">'300'!$D$203</definedName>
    <definedName name="OSRRefD22_14x_0" localSheetId="49">'300 &amp; 317'!$D$227</definedName>
    <definedName name="OSRRefD22_14x_0" localSheetId="50">'301'!$D$63:$D$65</definedName>
    <definedName name="OSRRefD22_14x_0" localSheetId="55">'308'!$D$108</definedName>
    <definedName name="OSRRefD22_14x_0" localSheetId="66">'310'!$D$72:$D$74</definedName>
    <definedName name="OSRRefD22_14x_0" localSheetId="74">'310 &amp; 491'!$D$84</definedName>
    <definedName name="OSRRefD22_14x_0" localSheetId="56">'311'!$D$107</definedName>
    <definedName name="OSRRefD22_14x_0" localSheetId="59">'315'!$D$98</definedName>
    <definedName name="OSRRefD22_14x_0" localSheetId="71">'325'!$D$74</definedName>
    <definedName name="OSRRefD22_14x_0" localSheetId="60">'326'!$D$96:$D$98</definedName>
    <definedName name="OSRRefD22_14x_0" localSheetId="58">'331'!$D$111:$D$113</definedName>
    <definedName name="OSRRefD22_14x_0" localSheetId="76">'405'!$D$66:$D$72</definedName>
    <definedName name="OSRRefD22_14x_0" localSheetId="78">'411'!$D$75:$D$77</definedName>
    <definedName name="OSRRefD22_14x_0" localSheetId="81">'414'!$D$71</definedName>
    <definedName name="OSRRefD22_14x_0" localSheetId="82">'415'!$D$70:$D$76</definedName>
    <definedName name="OSRRefD22_14x_0" localSheetId="83">'418'!$D$76</definedName>
    <definedName name="OSRRefD22_14x_0" localSheetId="87">'425'!$D$72</definedName>
    <definedName name="OSRRefD22_14x_0" localSheetId="91">'433'!$D$74</definedName>
    <definedName name="OSRRefD22_14x_0" localSheetId="93">'444'!$D$75</definedName>
    <definedName name="OSRRefD22_14x_0" localSheetId="95">'450'!$D$74</definedName>
    <definedName name="OSRRefD22_14x_0" localSheetId="75">'491'!$D$77:$D$79</definedName>
    <definedName name="OSRRefD22_14x_0" localSheetId="89">'492'!$D$74:$D$80</definedName>
    <definedName name="OSRRefD22_14x_0" localSheetId="39">'Div 2'!$D$70:$D$71</definedName>
    <definedName name="OSRRefD22_14x_0" localSheetId="47">'Div 3'!$D$209</definedName>
    <definedName name="OSRRefD22_14x_0" localSheetId="73">'Div 4'!$D$79</definedName>
    <definedName name="OSRRefD22_14x_0" localSheetId="2">Summary!$D$244</definedName>
    <definedName name="OSRRefD22_15x_0" localSheetId="41">'201'!$D$66:$D$67</definedName>
    <definedName name="OSRRefD22_15x_0" localSheetId="43">'203'!$D$67</definedName>
    <definedName name="OSRRefD22_15x_0" localSheetId="48">'300'!$D$205</definedName>
    <definedName name="OSRRefD22_15x_0" localSheetId="49">'300 &amp; 317'!$D$229</definedName>
    <definedName name="OSRRefD22_15x_0" localSheetId="50">'301'!$D$67:$D$69</definedName>
    <definedName name="OSRRefD22_15x_0" localSheetId="66">'310'!$D$76</definedName>
    <definedName name="OSRRefD22_15x_0" localSheetId="74">'310 &amp; 491'!$D$86</definedName>
    <definedName name="OSRRefD22_15x_0" localSheetId="71">'325'!$D$76</definedName>
    <definedName name="OSRRefD22_15x_0" localSheetId="60">'326'!$D$100</definedName>
    <definedName name="OSRRefD22_15x_0" localSheetId="58">'331'!$D$115:$D$116</definedName>
    <definedName name="OSRRefD22_15x_0" localSheetId="76">'405'!$D$74</definedName>
    <definedName name="OSRRefD22_15x_0" localSheetId="78">'411'!$D$79</definedName>
    <definedName name="OSRRefD22_15x_0" localSheetId="82">'415'!$D$78</definedName>
    <definedName name="OSRRefD22_15x_0" localSheetId="87">'425'!$D$74</definedName>
    <definedName name="OSRRefD22_15x_0" localSheetId="91">'433'!$D$76:$D$77</definedName>
    <definedName name="OSRRefD22_15x_0" localSheetId="93">'444'!$D$77</definedName>
    <definedName name="OSRRefD22_15x_0" localSheetId="95">'450'!$D$76</definedName>
    <definedName name="OSRRefD22_15x_0" localSheetId="75">'491'!$D$81:$D$82</definedName>
    <definedName name="OSRRefD22_15x_0" localSheetId="89">'492'!$D$82</definedName>
    <definedName name="OSRRefD22_15x_0" localSheetId="39">'Div 2'!$D$73</definedName>
    <definedName name="OSRRefD22_15x_0" localSheetId="47">'Div 3'!$D$211</definedName>
    <definedName name="OSRRefD22_15x_0" localSheetId="73">'Div 4'!$D$81</definedName>
    <definedName name="OSRRefD22_15x_0" localSheetId="2">Summary!$D$246</definedName>
    <definedName name="OSRRefD22_16x_0" localSheetId="48">'300'!$D$207:$D$209</definedName>
    <definedName name="OSRRefD22_16x_0" localSheetId="49">'300 &amp; 317'!$D$231:$D$233</definedName>
    <definedName name="OSRRefD22_16x_0" localSheetId="50">'301'!$D$71</definedName>
    <definedName name="OSRRefD22_16x_0" localSheetId="66">'310'!$D$78:$D$81</definedName>
    <definedName name="OSRRefD22_16x_0" localSheetId="74">'310 &amp; 491'!$D$88:$D$90</definedName>
    <definedName name="OSRRefD22_16x_0" localSheetId="60">'326'!$D$102:$D$105</definedName>
    <definedName name="OSRRefD22_16x_0" localSheetId="58">'331'!$D$118:$D$120</definedName>
    <definedName name="OSRRefD22_16x_0" localSheetId="76">'405'!$D$76</definedName>
    <definedName name="OSRRefD22_16x_0" localSheetId="82">'415'!$D$80</definedName>
    <definedName name="OSRRefD22_16x_0" localSheetId="93">'444'!$D$79</definedName>
    <definedName name="OSRRefD22_16x_0" localSheetId="95">'450'!$D$78:$D$79</definedName>
    <definedName name="OSRRefD22_16x_0" localSheetId="75">'491'!$D$84:$D$88</definedName>
    <definedName name="OSRRefD22_16x_0" localSheetId="89">'492'!$D$84</definedName>
    <definedName name="OSRRefD22_16x_0" localSheetId="39">'Div 2'!$D$75:$D$78</definedName>
    <definedName name="OSRRefD22_16x_0" localSheetId="47">'Div 3'!$D$213</definedName>
    <definedName name="OSRRefD22_16x_0" localSheetId="73">'Div 4'!$D$83:$D$85</definedName>
    <definedName name="OSRRefD22_16x_0" localSheetId="2">Summary!$D$248</definedName>
    <definedName name="OSRRefD22_17x_0" localSheetId="48">'300'!$D$211:$D$213</definedName>
    <definedName name="OSRRefD22_17x_0" localSheetId="49">'300 &amp; 317'!$D$235:$D$237</definedName>
    <definedName name="OSRRefD22_17x_0" localSheetId="50">'301'!$D$73:$D$77</definedName>
    <definedName name="OSRRefD22_17x_0" localSheetId="66">'310'!$D$83:$D$84</definedName>
    <definedName name="OSRRefD22_17x_0" localSheetId="74">'310 &amp; 491'!$D$92:$D$93</definedName>
    <definedName name="OSRRefD22_17x_0" localSheetId="60">'326'!$D$107</definedName>
    <definedName name="OSRRefD22_17x_0" localSheetId="58">'331'!$D$122</definedName>
    <definedName name="OSRRefD22_17x_0" localSheetId="76">'405'!$D$78</definedName>
    <definedName name="OSRRefD22_17x_0" localSheetId="82">'415'!$D$82</definedName>
    <definedName name="OSRRefD22_17x_0" localSheetId="75">'491'!$D$90</definedName>
    <definedName name="OSRRefD22_17x_0" localSheetId="89">'492'!$D$86:$D$87</definedName>
    <definedName name="OSRRefD22_17x_0" localSheetId="39">'Div 2'!$D$80:$D$81</definedName>
    <definedName name="OSRRefD22_17x_0" localSheetId="47">'Div 3'!$D$215:$D$217</definedName>
    <definedName name="OSRRefD22_17x_0" localSheetId="73">'Div 4'!$D$87:$D$88</definedName>
    <definedName name="OSRRefD22_17x_0" localSheetId="2">Summary!$D$250</definedName>
    <definedName name="OSRRefD22_18x_0" localSheetId="48">'300'!$D$215:$D$218</definedName>
    <definedName name="OSRRefD22_18x_0" localSheetId="49">'300 &amp; 317'!$D$239:$D$242</definedName>
    <definedName name="OSRRefD22_18x_0" localSheetId="50">'301'!$D$79</definedName>
    <definedName name="OSRRefD22_18x_0" localSheetId="66">'310'!$D$86:$D$92</definedName>
    <definedName name="OSRRefD22_18x_0" localSheetId="74">'310 &amp; 491'!$D$95:$D$99</definedName>
    <definedName name="OSRRefD22_18x_0" localSheetId="60">'326'!$D$109</definedName>
    <definedName name="OSRRefD22_18x_0" localSheetId="58">'331'!$D$124:$D$128</definedName>
    <definedName name="OSRRefD22_18x_0" localSheetId="75">'491'!$D$92:$D$99</definedName>
    <definedName name="OSRRefD22_18x_0" localSheetId="39">'Div 2'!$D$83</definedName>
    <definedName name="OSRRefD22_18x_0" localSheetId="47">'Div 3'!$D$219:$D$221</definedName>
    <definedName name="OSRRefD22_18x_0" localSheetId="73">'Div 4'!$D$90:$D$94</definedName>
    <definedName name="OSRRefD22_18x_0" localSheetId="2">Summary!$D$252:$D$254</definedName>
    <definedName name="OSRRefD22_19x_0" localSheetId="48">'300'!$D$220:$D$221</definedName>
    <definedName name="OSRRefD22_19x_0" localSheetId="49">'300 &amp; 317'!$D$244:$D$245</definedName>
    <definedName name="OSRRefD22_19x_0" localSheetId="50">'301'!$D$81</definedName>
    <definedName name="OSRRefD22_19x_0" localSheetId="66">'310'!$D$94</definedName>
    <definedName name="OSRRefD22_19x_0" localSheetId="74">'310 &amp; 491'!$D$101:$D$102</definedName>
    <definedName name="OSRRefD22_19x_0" localSheetId="60">'326'!$D$111</definedName>
    <definedName name="OSRRefD22_19x_0" localSheetId="58">'331'!$D$130</definedName>
    <definedName name="OSRRefD22_19x_0" localSheetId="75">'491'!$D$101</definedName>
    <definedName name="OSRRefD22_19x_0" localSheetId="39">'Div 2'!$D$85:$D$86</definedName>
    <definedName name="OSRRefD22_19x_0" localSheetId="47">'Div 3'!$D$223:$D$227</definedName>
    <definedName name="OSRRefD22_19x_0" localSheetId="73">'Div 4'!$D$96</definedName>
    <definedName name="OSRRefD22_19x_0" localSheetId="2">Summary!$D$256:$D$258</definedName>
    <definedName name="OSRRefD22_1x_0" localSheetId="40">'200'!$D$22</definedName>
    <definedName name="OSRRefD22_1x_0" localSheetId="41">'201'!$D$30:$D$32</definedName>
    <definedName name="OSRRefD22_1x_0" localSheetId="42">'202'!$D$29:$D$32</definedName>
    <definedName name="OSRRefD22_1x_0" localSheetId="43">'203'!$D$31:$D$34</definedName>
    <definedName name="OSRRefD22_1x_0" localSheetId="44">'204'!$D$30:$D$34</definedName>
    <definedName name="OSRRefD22_1x_0" localSheetId="45">'205'!$D$29</definedName>
    <definedName name="OSRRefD22_1x_0" localSheetId="46">'206'!$D$29:$D$34</definedName>
    <definedName name="OSRRefD22_1x_0" localSheetId="48">'300'!$D$168:$D$174</definedName>
    <definedName name="OSRRefD22_1x_0" localSheetId="49">'300 &amp; 317'!$D$192:$D$198</definedName>
    <definedName name="OSRRefD22_1x_0" localSheetId="50">'301'!$D$29:$D$35</definedName>
    <definedName name="OSRRefD22_1x_0" localSheetId="51">'306'!$D$30:$D$34</definedName>
    <definedName name="OSRRefD22_1x_0" localSheetId="53">'307'!$D$78:$D$80</definedName>
    <definedName name="OSRRefD22_1x_0" localSheetId="55">'308'!$D$72:$D$76</definedName>
    <definedName name="OSRRefD22_1x_0" localSheetId="67">'309'!$D$33:$D$37</definedName>
    <definedName name="OSRRefD22_1x_0" localSheetId="66">'310'!$D$40:$D$45</definedName>
    <definedName name="OSRRefD22_1x_0" localSheetId="74">'310 &amp; 491'!$D$49:$D$55</definedName>
    <definedName name="OSRRefD22_1x_0" localSheetId="56">'311'!$D$71:$D$75</definedName>
    <definedName name="OSRRefD22_1x_0" localSheetId="68">'313'!$D$37:$D$41</definedName>
    <definedName name="OSRRefD22_1x_0" localSheetId="54">'314'!$D$63:$D$65</definedName>
    <definedName name="OSRRefD22_1x_0" localSheetId="59">'315'!$D$63:$D$67</definedName>
    <definedName name="OSRRefD22_1x_0" localSheetId="62">'316'!$D$41:$D$44</definedName>
    <definedName name="OSRRefD22_1x_0" localSheetId="65">'317'!$D$66:$D$69</definedName>
    <definedName name="OSRRefD22_1x_0" localSheetId="63">'320'!$D$37:$D$39</definedName>
    <definedName name="OSRRefD22_1x_0" localSheetId="69">'321'!$D$32:$D$36</definedName>
    <definedName name="OSRRefD22_1x_0" localSheetId="70">'322'!$D$33:$D$37</definedName>
    <definedName name="OSRRefD22_1x_0" localSheetId="71">'325'!$D$33:$D$38</definedName>
    <definedName name="OSRRefD22_1x_0" localSheetId="60">'326'!$D$66:$D$69</definedName>
    <definedName name="OSRRefD22_1x_0" localSheetId="72">'327'!$D$24</definedName>
    <definedName name="OSRRefD22_1x_0" localSheetId="52">'330'!$D$86:$D$88</definedName>
    <definedName name="OSRRefD22_1x_0" localSheetId="58">'331'!$D$80:$D$84</definedName>
    <definedName name="OSRRefD22_1x_0" localSheetId="61">'332'!$D$50:$D$53</definedName>
    <definedName name="OSRRefD22_1x_0" localSheetId="76">'405'!$D$33:$D$36</definedName>
    <definedName name="OSRRefD22_1x_0" localSheetId="77">'406'!$D$33:$D$37</definedName>
    <definedName name="OSRRefD22_1x_0" localSheetId="78">'411'!$D$30:$D$35</definedName>
    <definedName name="OSRRefD22_1x_0" localSheetId="79">'412'!$D$32:$D$37</definedName>
    <definedName name="OSRRefD22_1x_0" localSheetId="80">'413'!$D$33:$D$37</definedName>
    <definedName name="OSRRefD22_1x_0" localSheetId="81">'414'!$D$33:$D$38</definedName>
    <definedName name="OSRRefD22_1x_0" localSheetId="82">'415'!$D$33:$D$37</definedName>
    <definedName name="OSRRefD22_1x_0" localSheetId="83">'418'!$D$33:$D$38</definedName>
    <definedName name="OSRRefD22_1x_0" localSheetId="84">'420'!$D$23</definedName>
    <definedName name="OSRRefD22_1x_0" localSheetId="85">'423'!$D$30</definedName>
    <definedName name="OSRRefD22_1x_0" localSheetId="86">'424'!$D$28:$D$31</definedName>
    <definedName name="OSRRefD22_1x_0" localSheetId="87">'425'!$D$35:$D$39</definedName>
    <definedName name="OSRRefD22_1x_0" localSheetId="90">'430'!$D$29</definedName>
    <definedName name="OSRRefD22_1x_0" localSheetId="91">'433'!$D$36:$D$41</definedName>
    <definedName name="OSRRefD22_1x_0" localSheetId="92">'435'!$D$29:$D$30</definedName>
    <definedName name="OSRRefD22_1x_0" localSheetId="93">'444'!$D$35:$D$40</definedName>
    <definedName name="OSRRefD22_1x_0" localSheetId="95">'450'!$D$35:$D$40</definedName>
    <definedName name="OSRRefD22_1x_0" localSheetId="88">'455'!$D$28:$D$29</definedName>
    <definedName name="OSRRefD22_1x_0" localSheetId="75">'491'!$D$42:$D$48</definedName>
    <definedName name="OSRRefD22_1x_0" localSheetId="89">'492'!$D$38:$D$44</definedName>
    <definedName name="OSRRefD22_1x_0" localSheetId="97">'501'!$D$30:$D$35</definedName>
    <definedName name="OSRRefD22_1x_0" localSheetId="39">'Div 2'!$D$32:$D$38</definedName>
    <definedName name="OSRRefD22_1x_0" localSheetId="47">'Div 3'!$D$174:$D$180</definedName>
    <definedName name="OSRRefD22_1x_0" localSheetId="73">'Div 4'!$D$44:$D$50</definedName>
    <definedName name="OSRRefD22_1x_0" localSheetId="96">'Div 5'!$D$30:$D$35</definedName>
    <definedName name="OSRRefD22_1x_0" localSheetId="64">'Div 6'!$D$66:$D$69</definedName>
    <definedName name="OSRRefD22_1x_0" localSheetId="2">Summary!$D$207:$D$213</definedName>
    <definedName name="OSRRefD22_20x_0" localSheetId="48">'300'!$D$223:$D$228</definedName>
    <definedName name="OSRRefD22_20x_0" localSheetId="49">'300 &amp; 317'!$D$247:$D$252</definedName>
    <definedName name="OSRRefD22_20x_0" localSheetId="50">'301'!$D$83:$D$84</definedName>
    <definedName name="OSRRefD22_20x_0" localSheetId="66">'310'!$D$96</definedName>
    <definedName name="OSRRefD22_20x_0" localSheetId="74">'310 &amp; 491'!$D$104:$D$111</definedName>
    <definedName name="OSRRefD22_20x_0" localSheetId="58">'331'!$D$132</definedName>
    <definedName name="OSRRefD22_20x_0" localSheetId="75">'491'!$D$103</definedName>
    <definedName name="OSRRefD22_20x_0" localSheetId="47">'Div 3'!$D$229:$D$230</definedName>
    <definedName name="OSRRefD22_20x_0" localSheetId="73">'Div 4'!$D$98:$D$105</definedName>
    <definedName name="OSRRefD22_20x_0" localSheetId="2">Summary!$D$260:$D$264</definedName>
    <definedName name="OSRRefD22_21x_0" localSheetId="48">'300'!$D$230:$D$231</definedName>
    <definedName name="OSRRefD22_21x_0" localSheetId="49">'300 &amp; 317'!$D$254:$D$255</definedName>
    <definedName name="OSRRefD22_21x_0" localSheetId="50">'301'!$D$86</definedName>
    <definedName name="OSRRefD22_21x_0" localSheetId="66">'310'!$D$98</definedName>
    <definedName name="OSRRefD22_21x_0" localSheetId="74">'310 &amp; 491'!$D$113</definedName>
    <definedName name="OSRRefD22_21x_0" localSheetId="58">'331'!$D$134</definedName>
    <definedName name="OSRRefD22_21x_0" localSheetId="75">'491'!$D$105:$D$107</definedName>
    <definedName name="OSRRefD22_21x_0" localSheetId="47">'Div 3'!$D$232:$D$238</definedName>
    <definedName name="OSRRefD22_21x_0" localSheetId="73">'Div 4'!$D$107</definedName>
    <definedName name="OSRRefD22_21x_0" localSheetId="2">Summary!$D$266:$D$267</definedName>
    <definedName name="OSRRefD22_22x_0" localSheetId="48">'300'!$D$233</definedName>
    <definedName name="OSRRefD22_22x_0" localSheetId="49">'300 &amp; 317'!$D$257</definedName>
    <definedName name="OSRRefD22_22x_0" localSheetId="74">'310 &amp; 491'!$D$115</definedName>
    <definedName name="OSRRefD22_22x_0" localSheetId="58">'331'!$D$136</definedName>
    <definedName name="OSRRefD22_22x_0" localSheetId="75">'491'!$D$109</definedName>
    <definedName name="OSRRefD22_22x_0" localSheetId="47">'Div 3'!$D$240:$D$241</definedName>
    <definedName name="OSRRefD22_22x_0" localSheetId="73">'Div 4'!$D$109</definedName>
    <definedName name="OSRRefD22_22x_0" localSheetId="2">Summary!$D$269:$D$276</definedName>
    <definedName name="OSRRefD22_23x_0" localSheetId="48">'300'!$D$235:$D$237</definedName>
    <definedName name="OSRRefD22_23x_0" localSheetId="49">'300 &amp; 317'!$D$259:$D$261</definedName>
    <definedName name="OSRRefD22_23x_0" localSheetId="74">'310 &amp; 491'!$D$117:$D$119</definedName>
    <definedName name="OSRRefD22_23x_0" localSheetId="47">'Div 3'!$D$243</definedName>
    <definedName name="OSRRefD22_23x_0" localSheetId="73">'Div 4'!$D$111:$D$113</definedName>
    <definedName name="OSRRefD22_23x_0" localSheetId="2">Summary!$D$278:$D$279</definedName>
    <definedName name="OSRRefD22_24x_0" localSheetId="48">'300'!$D$239</definedName>
    <definedName name="OSRRefD22_24x_0" localSheetId="49">'300 &amp; 317'!$D$263</definedName>
    <definedName name="OSRRefD22_24x_0" localSheetId="74">'310 &amp; 491'!$D$121</definedName>
    <definedName name="OSRRefD22_24x_0" localSheetId="47">'Div 3'!$D$245:$D$247</definedName>
    <definedName name="OSRRefD22_24x_0" localSheetId="73">'Div 4'!$D$115</definedName>
    <definedName name="OSRRefD22_24x_0" localSheetId="2">Summary!$D$281</definedName>
    <definedName name="OSRRefD22_25x_0" localSheetId="47">'Div 3'!$D$249</definedName>
    <definedName name="OSRRefD22_25x_0" localSheetId="2">Summary!$D$283:$D$285</definedName>
    <definedName name="OSRRefD22_26x_0" localSheetId="2">Summary!$D$287</definedName>
    <definedName name="OSRRefD22_2x_0" localSheetId="40">'200'!$D$24</definedName>
    <definedName name="OSRRefD22_2x_0" localSheetId="41">'201'!$D$34</definedName>
    <definedName name="OSRRefD22_2x_0" localSheetId="42">'202'!$D$34</definedName>
    <definedName name="OSRRefD22_2x_0" localSheetId="43">'203'!$D$36</definedName>
    <definedName name="OSRRefD22_2x_0" localSheetId="44">'204'!$D$36</definedName>
    <definedName name="OSRRefD22_2x_0" localSheetId="45">'205'!$D$31</definedName>
    <definedName name="OSRRefD22_2x_0" localSheetId="46">'206'!$D$36</definedName>
    <definedName name="OSRRefD22_2x_0" localSheetId="48">'300'!$D$176</definedName>
    <definedName name="OSRRefD22_2x_0" localSheetId="49">'300 &amp; 317'!$D$200</definedName>
    <definedName name="OSRRefD22_2x_0" localSheetId="50">'301'!$D$37</definedName>
    <definedName name="OSRRefD22_2x_0" localSheetId="51">'306'!$D$36</definedName>
    <definedName name="OSRRefD22_2x_0" localSheetId="53">'307'!$D$82</definedName>
    <definedName name="OSRRefD22_2x_0" localSheetId="55">'308'!$D$78</definedName>
    <definedName name="OSRRefD22_2x_0" localSheetId="67">'309'!$D$39</definedName>
    <definedName name="OSRRefD22_2x_0" localSheetId="66">'310'!$D$47</definedName>
    <definedName name="OSRRefD22_2x_0" localSheetId="74">'310 &amp; 491'!$D$57</definedName>
    <definedName name="OSRRefD22_2x_0" localSheetId="56">'311'!$D$77</definedName>
    <definedName name="OSRRefD22_2x_0" localSheetId="68">'313'!$D$43</definedName>
    <definedName name="OSRRefD22_2x_0" localSheetId="54">'314'!$D$67</definedName>
    <definedName name="OSRRefD22_2x_0" localSheetId="59">'315'!$D$69</definedName>
    <definedName name="OSRRefD22_2x_0" localSheetId="62">'316'!$D$46</definedName>
    <definedName name="OSRRefD22_2x_0" localSheetId="65">'317'!$D$71</definedName>
    <definedName name="OSRRefD22_2x_0" localSheetId="63">'320'!$D$41</definedName>
    <definedName name="OSRRefD22_2x_0" localSheetId="69">'321'!$D$38</definedName>
    <definedName name="OSRRefD22_2x_0" localSheetId="70">'322'!$D$39</definedName>
    <definedName name="OSRRefD22_2x_0" localSheetId="71">'325'!$D$40</definedName>
    <definedName name="OSRRefD22_2x_0" localSheetId="60">'326'!$D$71</definedName>
    <definedName name="OSRRefD22_2x_0" localSheetId="52">'330'!$D$90</definedName>
    <definedName name="OSRRefD22_2x_0" localSheetId="58">'331'!$D$86</definedName>
    <definedName name="OSRRefD22_2x_0" localSheetId="61">'332'!$D$55</definedName>
    <definedName name="OSRRefD22_2x_0" localSheetId="76">'405'!$D$38</definedName>
    <definedName name="OSRRefD22_2x_0" localSheetId="77">'406'!$D$39</definedName>
    <definedName name="OSRRefD22_2x_0" localSheetId="78">'411'!$D$37</definedName>
    <definedName name="OSRRefD22_2x_0" localSheetId="79">'412'!$D$39</definedName>
    <definedName name="OSRRefD22_2x_0" localSheetId="80">'413'!$D$39</definedName>
    <definedName name="OSRRefD22_2x_0" localSheetId="81">'414'!$D$40</definedName>
    <definedName name="OSRRefD22_2x_0" localSheetId="82">'415'!$D$39</definedName>
    <definedName name="OSRRefD22_2x_0" localSheetId="83">'418'!$D$40</definedName>
    <definedName name="OSRRefD22_2x_0" localSheetId="85">'423'!$D$32</definedName>
    <definedName name="OSRRefD22_2x_0" localSheetId="86">'424'!$D$33</definedName>
    <definedName name="OSRRefD22_2x_0" localSheetId="87">'425'!$D$41</definedName>
    <definedName name="OSRRefD22_2x_0" localSheetId="90">'430'!$D$31</definedName>
    <definedName name="OSRRefD22_2x_0" localSheetId="91">'433'!$D$43</definedName>
    <definedName name="OSRRefD22_2x_0" localSheetId="92">'435'!$D$32</definedName>
    <definedName name="OSRRefD22_2x_0" localSheetId="93">'444'!$D$42</definedName>
    <definedName name="OSRRefD22_2x_0" localSheetId="95">'450'!$D$42</definedName>
    <definedName name="OSRRefD22_2x_0" localSheetId="75">'491'!$D$50</definedName>
    <definedName name="OSRRefD22_2x_0" localSheetId="89">'492'!$D$46</definedName>
    <definedName name="OSRRefD22_2x_0" localSheetId="97">'501'!$D$37</definedName>
    <definedName name="OSRRefD22_2x_0" localSheetId="39">'Div 2'!$D$40</definedName>
    <definedName name="OSRRefD22_2x_0" localSheetId="47">'Div 3'!$D$182</definedName>
    <definedName name="OSRRefD22_2x_0" localSheetId="73">'Div 4'!$D$52</definedName>
    <definedName name="OSRRefD22_2x_0" localSheetId="96">'Div 5'!$D$37</definedName>
    <definedName name="OSRRefD22_2x_0" localSheetId="64">'Div 6'!$D$71</definedName>
    <definedName name="OSRRefD22_2x_0" localSheetId="2">Summary!$D$215</definedName>
    <definedName name="OSRRefD22_3x_0" localSheetId="40">'200'!$D$26:$D$27</definedName>
    <definedName name="OSRRefD22_3x_0" localSheetId="41">'201'!$D$36</definedName>
    <definedName name="OSRRefD22_3x_0" localSheetId="42">'202'!$D$36</definedName>
    <definedName name="OSRRefD22_3x_0" localSheetId="43">'203'!$D$38</definedName>
    <definedName name="OSRRefD22_3x_0" localSheetId="44">'204'!$D$38:$D$39</definedName>
    <definedName name="OSRRefD22_3x_0" localSheetId="45">'205'!$D$33</definedName>
    <definedName name="OSRRefD22_3x_0" localSheetId="46">'206'!$D$38</definedName>
    <definedName name="OSRRefD22_3x_0" localSheetId="48">'300'!$D$178</definedName>
    <definedName name="OSRRefD22_3x_0" localSheetId="49">'300 &amp; 317'!$D$202</definedName>
    <definedName name="OSRRefD22_3x_0" localSheetId="50">'301'!$D$39</definedName>
    <definedName name="OSRRefD22_3x_0" localSheetId="51">'306'!$D$38</definedName>
    <definedName name="OSRRefD22_3x_0" localSheetId="53">'307'!$D$84</definedName>
    <definedName name="OSRRefD22_3x_0" localSheetId="55">'308'!$D$80:$D$81</definedName>
    <definedName name="OSRRefD22_3x_0" localSheetId="67">'309'!$D$41</definedName>
    <definedName name="OSRRefD22_3x_0" localSheetId="66">'310'!$D$49</definedName>
    <definedName name="OSRRefD22_3x_0" localSheetId="74">'310 &amp; 491'!$D$59</definedName>
    <definedName name="OSRRefD22_3x_0" localSheetId="56">'311'!$D$79:$D$80</definedName>
    <definedName name="OSRRefD22_3x_0" localSheetId="68">'313'!$D$45</definedName>
    <definedName name="OSRRefD22_3x_0" localSheetId="54">'314'!$D$69:$D$70</definedName>
    <definedName name="OSRRefD22_3x_0" localSheetId="59">'315'!$D$71:$D$72</definedName>
    <definedName name="OSRRefD22_3x_0" localSheetId="62">'316'!$D$48</definedName>
    <definedName name="OSRRefD22_3x_0" localSheetId="65">'317'!$D$73</definedName>
    <definedName name="OSRRefD22_3x_0" localSheetId="63">'320'!$D$43</definedName>
    <definedName name="OSRRefD22_3x_0" localSheetId="69">'321'!$D$40</definedName>
    <definedName name="OSRRefD22_3x_0" localSheetId="70">'322'!$D$41</definedName>
    <definedName name="OSRRefD22_3x_0" localSheetId="71">'325'!$D$42</definedName>
    <definedName name="OSRRefD22_3x_0" localSheetId="60">'326'!$D$73</definedName>
    <definedName name="OSRRefD22_3x_0" localSheetId="52">'330'!$D$92</definedName>
    <definedName name="OSRRefD22_3x_0" localSheetId="58">'331'!$D$88</definedName>
    <definedName name="OSRRefD22_3x_0" localSheetId="61">'332'!$D$57</definedName>
    <definedName name="OSRRefD22_3x_0" localSheetId="76">'405'!$D$40</definedName>
    <definedName name="OSRRefD22_3x_0" localSheetId="77">'406'!$D$41</definedName>
    <definedName name="OSRRefD22_3x_0" localSheetId="78">'411'!$D$39:$D$41</definedName>
    <definedName name="OSRRefD22_3x_0" localSheetId="79">'412'!$D$41</definedName>
    <definedName name="OSRRefD22_3x_0" localSheetId="80">'413'!$D$41</definedName>
    <definedName name="OSRRefD22_3x_0" localSheetId="81">'414'!$D$42</definedName>
    <definedName name="OSRRefD22_3x_0" localSheetId="82">'415'!$D$41</definedName>
    <definedName name="OSRRefD22_3x_0" localSheetId="83">'418'!$D$42</definedName>
    <definedName name="OSRRefD22_3x_0" localSheetId="85">'423'!$D$34</definedName>
    <definedName name="OSRRefD22_3x_0" localSheetId="86">'424'!$D$35</definedName>
    <definedName name="OSRRefD22_3x_0" localSheetId="87">'425'!$D$43</definedName>
    <definedName name="OSRRefD22_3x_0" localSheetId="90">'430'!$D$33</definedName>
    <definedName name="OSRRefD22_3x_0" localSheetId="91">'433'!$D$45</definedName>
    <definedName name="OSRRefD22_3x_0" localSheetId="92">'435'!$D$34</definedName>
    <definedName name="OSRRefD22_3x_0" localSheetId="93">'444'!$D$44</definedName>
    <definedName name="OSRRefD22_3x_0" localSheetId="95">'450'!$D$44</definedName>
    <definedName name="OSRRefD22_3x_0" localSheetId="75">'491'!$D$52</definedName>
    <definedName name="OSRRefD22_3x_0" localSheetId="89">'492'!$D$48</definedName>
    <definedName name="OSRRefD22_3x_0" localSheetId="97">'501'!$D$39</definedName>
    <definedName name="OSRRefD22_3x_0" localSheetId="39">'Div 2'!$D$42</definedName>
    <definedName name="OSRRefD22_3x_0" localSheetId="47">'Div 3'!$D$184</definedName>
    <definedName name="OSRRefD22_3x_0" localSheetId="73">'Div 4'!$D$54</definedName>
    <definedName name="OSRRefD22_3x_0" localSheetId="96">'Div 5'!$D$39</definedName>
    <definedName name="OSRRefD22_3x_0" localSheetId="64">'Div 6'!$D$73</definedName>
    <definedName name="OSRRefD22_3x_0" localSheetId="2">Summary!$D$217</definedName>
    <definedName name="OSRRefD22_4x_0" localSheetId="41">'201'!$D$38</definedName>
    <definedName name="OSRRefD22_4x_0" localSheetId="42">'202'!$D$38</definedName>
    <definedName name="OSRRefD22_4x_0" localSheetId="43">'203'!$D$40</definedName>
    <definedName name="OSRRefD22_4x_0" localSheetId="44">'204'!$D$41</definedName>
    <definedName name="OSRRefD22_4x_0" localSheetId="45">'205'!$D$35:$D$36</definedName>
    <definedName name="OSRRefD22_4x_0" localSheetId="46">'206'!$D$40</definedName>
    <definedName name="OSRRefD22_4x_0" localSheetId="48">'300'!$D$180</definedName>
    <definedName name="OSRRefD22_4x_0" localSheetId="49">'300 &amp; 317'!$D$204</definedName>
    <definedName name="OSRRefD22_4x_0" localSheetId="50">'301'!$D$41</definedName>
    <definedName name="OSRRefD22_4x_0" localSheetId="51">'306'!$D$40</definedName>
    <definedName name="OSRRefD22_4x_0" localSheetId="53">'307'!$D$86:$D$87</definedName>
    <definedName name="OSRRefD22_4x_0" localSheetId="55">'308'!$D$83</definedName>
    <definedName name="OSRRefD22_4x_0" localSheetId="67">'309'!$D$43</definedName>
    <definedName name="OSRRefD22_4x_0" localSheetId="66">'310'!$D$51</definedName>
    <definedName name="OSRRefD22_4x_0" localSheetId="74">'310 &amp; 491'!$D$61</definedName>
    <definedName name="OSRRefD22_4x_0" localSheetId="56">'311'!$D$82</definedName>
    <definedName name="OSRRefD22_4x_0" localSheetId="68">'313'!$D$47</definedName>
    <definedName name="OSRRefD22_4x_0" localSheetId="54">'314'!$D$72</definedName>
    <definedName name="OSRRefD22_4x_0" localSheetId="59">'315'!$D$74</definedName>
    <definedName name="OSRRefD22_4x_0" localSheetId="62">'316'!$D$50</definedName>
    <definedName name="OSRRefD22_4x_0" localSheetId="65">'317'!$D$75</definedName>
    <definedName name="OSRRefD22_4x_0" localSheetId="63">'320'!$D$45:$D$46</definedName>
    <definedName name="OSRRefD22_4x_0" localSheetId="69">'321'!$D$42</definedName>
    <definedName name="OSRRefD22_4x_0" localSheetId="70">'322'!$D$43</definedName>
    <definedName name="OSRRefD22_4x_0" localSheetId="71">'325'!$D$44</definedName>
    <definedName name="OSRRefD22_4x_0" localSheetId="60">'326'!$D$75</definedName>
    <definedName name="OSRRefD22_4x_0" localSheetId="52">'330'!$D$94:$D$95</definedName>
    <definedName name="OSRRefD22_4x_0" localSheetId="58">'331'!$D$90</definedName>
    <definedName name="OSRRefD22_4x_0" localSheetId="61">'332'!$D$59</definedName>
    <definedName name="OSRRefD22_4x_0" localSheetId="76">'405'!$D$42</definedName>
    <definedName name="OSRRefD22_4x_0" localSheetId="77">'406'!$D$43</definedName>
    <definedName name="OSRRefD22_4x_0" localSheetId="78">'411'!$D$43</definedName>
    <definedName name="OSRRefD22_4x_0" localSheetId="79">'412'!$D$43</definedName>
    <definedName name="OSRRefD22_4x_0" localSheetId="80">'413'!$D$43</definedName>
    <definedName name="OSRRefD22_4x_0" localSheetId="81">'414'!$D$44</definedName>
    <definedName name="OSRRefD22_4x_0" localSheetId="82">'415'!$D$43</definedName>
    <definedName name="OSRRefD22_4x_0" localSheetId="83">'418'!$D$44</definedName>
    <definedName name="OSRRefD22_4x_0" localSheetId="85">'423'!$D$36</definedName>
    <definedName name="OSRRefD22_4x_0" localSheetId="86">'424'!$D$37</definedName>
    <definedName name="OSRRefD22_4x_0" localSheetId="87">'425'!$D$45</definedName>
    <definedName name="OSRRefD22_4x_0" localSheetId="90">'430'!$D$35</definedName>
    <definedName name="OSRRefD22_4x_0" localSheetId="91">'433'!$D$47</definedName>
    <definedName name="OSRRefD22_4x_0" localSheetId="92">'435'!$D$36</definedName>
    <definedName name="OSRRefD22_4x_0" localSheetId="93">'444'!$D$46</definedName>
    <definedName name="OSRRefD22_4x_0" localSheetId="95">'450'!$D$46</definedName>
    <definedName name="OSRRefD22_4x_0" localSheetId="75">'491'!$D$54</definedName>
    <definedName name="OSRRefD22_4x_0" localSheetId="89">'492'!$D$50</definedName>
    <definedName name="OSRRefD22_4x_0" localSheetId="97">'501'!$D$41</definedName>
    <definedName name="OSRRefD22_4x_0" localSheetId="39">'Div 2'!$D$44</definedName>
    <definedName name="OSRRefD22_4x_0" localSheetId="47">'Div 3'!$D$186</definedName>
    <definedName name="OSRRefD22_4x_0" localSheetId="73">'Div 4'!$D$56</definedName>
    <definedName name="OSRRefD22_4x_0" localSheetId="96">'Div 5'!$D$41</definedName>
    <definedName name="OSRRefD22_4x_0" localSheetId="64">'Div 6'!$D$75</definedName>
    <definedName name="OSRRefD22_4x_0" localSheetId="2">Summary!$D$219</definedName>
    <definedName name="OSRRefD22_5x_0" localSheetId="41">'201'!$D$40</definedName>
    <definedName name="OSRRefD22_5x_0" localSheetId="42">'202'!$D$40</definedName>
    <definedName name="OSRRefD22_5x_0" localSheetId="43">'203'!$D$42</definedName>
    <definedName name="OSRRefD22_5x_0" localSheetId="44">'204'!$D$43</definedName>
    <definedName name="OSRRefD22_5x_0" localSheetId="45">'205'!$D$38</definedName>
    <definedName name="OSRRefD22_5x_0" localSheetId="46">'206'!$D$42:$D$43</definedName>
    <definedName name="OSRRefD22_5x_0" localSheetId="48">'300'!$D$182:$D$183</definedName>
    <definedName name="OSRRefD22_5x_0" localSheetId="49">'300 &amp; 317'!$D$206:$D$207</definedName>
    <definedName name="OSRRefD22_5x_0" localSheetId="50">'301'!$D$43:$D$44</definedName>
    <definedName name="OSRRefD22_5x_0" localSheetId="51">'306'!$D$42</definedName>
    <definedName name="OSRRefD22_5x_0" localSheetId="53">'307'!$D$89</definedName>
    <definedName name="OSRRefD22_5x_0" localSheetId="55">'308'!$D$85</definedName>
    <definedName name="OSRRefD22_5x_0" localSheetId="67">'309'!$D$45</definedName>
    <definedName name="OSRRefD22_5x_0" localSheetId="66">'310'!$D$53:$D$54</definedName>
    <definedName name="OSRRefD22_5x_0" localSheetId="74">'310 &amp; 491'!$D$63:$D$65</definedName>
    <definedName name="OSRRefD22_5x_0" localSheetId="56">'311'!$D$84</definedName>
    <definedName name="OSRRefD22_5x_0" localSheetId="68">'313'!$D$49</definedName>
    <definedName name="OSRRefD22_5x_0" localSheetId="54">'314'!$D$74:$D$75</definedName>
    <definedName name="OSRRefD22_5x_0" localSheetId="59">'315'!$D$76</definedName>
    <definedName name="OSRRefD22_5x_0" localSheetId="62">'316'!$D$52</definedName>
    <definedName name="OSRRefD22_5x_0" localSheetId="65">'317'!$D$77</definedName>
    <definedName name="OSRRefD22_5x_0" localSheetId="63">'320'!$D$48</definedName>
    <definedName name="OSRRefD22_5x_0" localSheetId="69">'321'!$D$44</definedName>
    <definedName name="OSRRefD22_5x_0" localSheetId="70">'322'!$D$45</definedName>
    <definedName name="OSRRefD22_5x_0" localSheetId="71">'325'!$D$46:$D$47</definedName>
    <definedName name="OSRRefD22_5x_0" localSheetId="60">'326'!$D$77</definedName>
    <definedName name="OSRRefD22_5x_0" localSheetId="52">'330'!$D$97</definedName>
    <definedName name="OSRRefD22_5x_0" localSheetId="58">'331'!$D$92:$D$93</definedName>
    <definedName name="OSRRefD22_5x_0" localSheetId="61">'332'!$D$61:$D$62</definedName>
    <definedName name="OSRRefD22_5x_0" localSheetId="76">'405'!$D$44:$D$45</definedName>
    <definedName name="OSRRefD22_5x_0" localSheetId="77">'406'!$D$45</definedName>
    <definedName name="OSRRefD22_5x_0" localSheetId="78">'411'!$D$45</definedName>
    <definedName name="OSRRefD22_5x_0" localSheetId="79">'412'!$D$45</definedName>
    <definedName name="OSRRefD22_5x_0" localSheetId="80">'413'!$D$45</definedName>
    <definedName name="OSRRefD22_5x_0" localSheetId="81">'414'!$D$46</definedName>
    <definedName name="OSRRefD22_5x_0" localSheetId="82">'415'!$D$45:$D$46</definedName>
    <definedName name="OSRRefD22_5x_0" localSheetId="83">'418'!$D$46:$D$47</definedName>
    <definedName name="OSRRefD22_5x_0" localSheetId="85">'423'!$D$38</definedName>
    <definedName name="OSRRefD22_5x_0" localSheetId="86">'424'!$D$39</definedName>
    <definedName name="OSRRefD22_5x_0" localSheetId="87">'425'!$D$47</definedName>
    <definedName name="OSRRefD22_5x_0" localSheetId="90">'430'!$D$37:$D$38</definedName>
    <definedName name="OSRRefD22_5x_0" localSheetId="91">'433'!$D$49</definedName>
    <definedName name="OSRRefD22_5x_0" localSheetId="92">'435'!$D$38</definedName>
    <definedName name="OSRRefD22_5x_0" localSheetId="93">'444'!$D$48</definedName>
    <definedName name="OSRRefD22_5x_0" localSheetId="95">'450'!$D$48</definedName>
    <definedName name="OSRRefD22_5x_0" localSheetId="75">'491'!$D$56:$D$58</definedName>
    <definedName name="OSRRefD22_5x_0" localSheetId="89">'492'!$D$52</definedName>
    <definedName name="OSRRefD22_5x_0" localSheetId="97">'501'!$D$43</definedName>
    <definedName name="OSRRefD22_5x_0" localSheetId="39">'Div 2'!$D$46:$D$47</definedName>
    <definedName name="OSRRefD22_5x_0" localSheetId="47">'Div 3'!$D$188:$D$189</definedName>
    <definedName name="OSRRefD22_5x_0" localSheetId="73">'Div 4'!$D$58:$D$60</definedName>
    <definedName name="OSRRefD22_5x_0" localSheetId="96">'Div 5'!$D$43</definedName>
    <definedName name="OSRRefD22_5x_0" localSheetId="64">'Div 6'!$D$77</definedName>
    <definedName name="OSRRefD22_5x_0" localSheetId="2">Summary!$D$221:$D$223</definedName>
    <definedName name="OSRRefD22_6x_0" localSheetId="41">'201'!$D$42</definedName>
    <definedName name="OSRRefD22_6x_0" localSheetId="42">'202'!$D$42</definedName>
    <definedName name="OSRRefD22_6x_0" localSheetId="43">'203'!$D$44</definedName>
    <definedName name="OSRRefD22_6x_0" localSheetId="44">'204'!$D$45:$D$47</definedName>
    <definedName name="OSRRefD22_6x_0" localSheetId="45">'205'!$D$40:$D$41</definedName>
    <definedName name="OSRRefD22_6x_0" localSheetId="46">'206'!$D$45</definedName>
    <definedName name="OSRRefD22_6x_0" localSheetId="48">'300'!$D$185:$D$186</definedName>
    <definedName name="OSRRefD22_6x_0" localSheetId="49">'300 &amp; 317'!$D$209:$D$210</definedName>
    <definedName name="OSRRefD22_6x_0" localSheetId="50">'301'!$D$46:$D$47</definedName>
    <definedName name="OSRRefD22_6x_0" localSheetId="51">'306'!$D$44:$D$46</definedName>
    <definedName name="OSRRefD22_6x_0" localSheetId="53">'307'!$D$91</definedName>
    <definedName name="OSRRefD22_6x_0" localSheetId="55">'308'!$D$87:$D$88</definedName>
    <definedName name="OSRRefD22_6x_0" localSheetId="67">'309'!$D$47</definedName>
    <definedName name="OSRRefD22_6x_0" localSheetId="66">'310'!$D$56</definedName>
    <definedName name="OSRRefD22_6x_0" localSheetId="74">'310 &amp; 491'!$D$67</definedName>
    <definedName name="OSRRefD22_6x_0" localSheetId="56">'311'!$D$86:$D$87</definedName>
    <definedName name="OSRRefD22_6x_0" localSheetId="68">'313'!$D$51</definedName>
    <definedName name="OSRRefD22_6x_0" localSheetId="54">'314'!$D$77</definedName>
    <definedName name="OSRRefD22_6x_0" localSheetId="59">'315'!$D$78</definedName>
    <definedName name="OSRRefD22_6x_0" localSheetId="62">'316'!$D$54</definedName>
    <definedName name="OSRRefD22_6x_0" localSheetId="65">'317'!$D$79</definedName>
    <definedName name="OSRRefD22_6x_0" localSheetId="63">'320'!$D$50</definedName>
    <definedName name="OSRRefD22_6x_0" localSheetId="69">'321'!$D$46:$D$48</definedName>
    <definedName name="OSRRefD22_6x_0" localSheetId="70">'322'!$D$47</definedName>
    <definedName name="OSRRefD22_6x_0" localSheetId="71">'325'!$D$49</definedName>
    <definedName name="OSRRefD22_6x_0" localSheetId="60">'326'!$D$79</definedName>
    <definedName name="OSRRefD22_6x_0" localSheetId="52">'330'!$D$99</definedName>
    <definedName name="OSRRefD22_6x_0" localSheetId="58">'331'!$D$95</definedName>
    <definedName name="OSRRefD22_6x_0" localSheetId="61">'332'!$D$64</definedName>
    <definedName name="OSRRefD22_6x_0" localSheetId="76">'405'!$D$47</definedName>
    <definedName name="OSRRefD22_6x_0" localSheetId="77">'406'!$D$47</definedName>
    <definedName name="OSRRefD22_6x_0" localSheetId="78">'411'!$D$47</definedName>
    <definedName name="OSRRefD22_6x_0" localSheetId="79">'412'!$D$47</definedName>
    <definedName name="OSRRefD22_6x_0" localSheetId="80">'413'!$D$47</definedName>
    <definedName name="OSRRefD22_6x_0" localSheetId="81">'414'!$D$48</definedName>
    <definedName name="OSRRefD22_6x_0" localSheetId="82">'415'!$D$48</definedName>
    <definedName name="OSRRefD22_6x_0" localSheetId="83">'418'!$D$49</definedName>
    <definedName name="OSRRefD22_6x_0" localSheetId="86">'424'!$D$41</definedName>
    <definedName name="OSRRefD22_6x_0" localSheetId="87">'425'!$D$49</definedName>
    <definedName name="OSRRefD22_6x_0" localSheetId="90">'430'!$D$40</definedName>
    <definedName name="OSRRefD22_6x_0" localSheetId="91">'433'!$D$51</definedName>
    <definedName name="OSRRefD22_6x_0" localSheetId="92">'435'!$D$40:$D$43</definedName>
    <definedName name="OSRRefD22_6x_0" localSheetId="93">'444'!$D$50</definedName>
    <definedName name="OSRRefD22_6x_0" localSheetId="95">'450'!$D$50</definedName>
    <definedName name="OSRRefD22_6x_0" localSheetId="75">'491'!$D$60</definedName>
    <definedName name="OSRRefD22_6x_0" localSheetId="89">'492'!$D$54</definedName>
    <definedName name="OSRRefD22_6x_0" localSheetId="97">'501'!$D$45</definedName>
    <definedName name="OSRRefD22_6x_0" localSheetId="39">'Div 2'!$D$49</definedName>
    <definedName name="OSRRefD22_6x_0" localSheetId="47">'Div 3'!$D$191:$D$192</definedName>
    <definedName name="OSRRefD22_6x_0" localSheetId="73">'Div 4'!$D$62</definedName>
    <definedName name="OSRRefD22_6x_0" localSheetId="96">'Div 5'!$D$45</definedName>
    <definedName name="OSRRefD22_6x_0" localSheetId="64">'Div 6'!$D$79</definedName>
    <definedName name="OSRRefD22_6x_0" localSheetId="2">Summary!$D$225:$D$226</definedName>
    <definedName name="OSRRefD22_7x_0" localSheetId="41">'201'!$D$44</definedName>
    <definedName name="OSRRefD22_7x_0" localSheetId="42">'202'!$D$44</definedName>
    <definedName name="OSRRefD22_7x_0" localSheetId="43">'203'!$D$46</definedName>
    <definedName name="OSRRefD22_7x_0" localSheetId="44">'204'!$D$49:$D$50</definedName>
    <definedName name="OSRRefD22_7x_0" localSheetId="45">'205'!$D$43</definedName>
    <definedName name="OSRRefD22_7x_0" localSheetId="46">'206'!$D$47</definedName>
    <definedName name="OSRRefD22_7x_0" localSheetId="48">'300'!$D$188</definedName>
    <definedName name="OSRRefD22_7x_0" localSheetId="49">'300 &amp; 317'!$D$212</definedName>
    <definedName name="OSRRefD22_7x_0" localSheetId="50">'301'!$D$49</definedName>
    <definedName name="OSRRefD22_7x_0" localSheetId="51">'306'!$D$48</definedName>
    <definedName name="OSRRefD22_7x_0" localSheetId="53">'307'!$D$93</definedName>
    <definedName name="OSRRefD22_7x_0" localSheetId="55">'308'!$D$90</definedName>
    <definedName name="OSRRefD22_7x_0" localSheetId="67">'309'!$D$49:$D$50</definedName>
    <definedName name="OSRRefD22_7x_0" localSheetId="66">'310'!$D$58</definedName>
    <definedName name="OSRRefD22_7x_0" localSheetId="74">'310 &amp; 491'!$D$69</definedName>
    <definedName name="OSRRefD22_7x_0" localSheetId="56">'311'!$D$89</definedName>
    <definedName name="OSRRefD22_7x_0" localSheetId="68">'313'!$D$53</definedName>
    <definedName name="OSRRefD22_7x_0" localSheetId="59">'315'!$D$80</definedName>
    <definedName name="OSRRefD22_7x_0" localSheetId="62">'316'!$D$56:$D$59</definedName>
    <definedName name="OSRRefD22_7x_0" localSheetId="65">'317'!$D$81</definedName>
    <definedName name="OSRRefD22_7x_0" localSheetId="63">'320'!$D$52:$D$53</definedName>
    <definedName name="OSRRefD22_7x_0" localSheetId="69">'321'!$D$50</definedName>
    <definedName name="OSRRefD22_7x_0" localSheetId="70">'322'!$D$49</definedName>
    <definedName name="OSRRefD22_7x_0" localSheetId="71">'325'!$D$51</definedName>
    <definedName name="OSRRefD22_7x_0" localSheetId="60">'326'!$D$81</definedName>
    <definedName name="OSRRefD22_7x_0" localSheetId="52">'330'!$D$101</definedName>
    <definedName name="OSRRefD22_7x_0" localSheetId="58">'331'!$D$97</definedName>
    <definedName name="OSRRefD22_7x_0" localSheetId="61">'332'!$D$66</definedName>
    <definedName name="OSRRefD22_7x_0" localSheetId="76">'405'!$D$49</definedName>
    <definedName name="OSRRefD22_7x_0" localSheetId="77">'406'!$D$49</definedName>
    <definedName name="OSRRefD22_7x_0" localSheetId="78">'411'!$D$49</definedName>
    <definedName name="OSRRefD22_7x_0" localSheetId="79">'412'!$D$49</definedName>
    <definedName name="OSRRefD22_7x_0" localSheetId="80">'413'!$D$49:$D$51</definedName>
    <definedName name="OSRRefD22_7x_0" localSheetId="81">'414'!$D$50</definedName>
    <definedName name="OSRRefD22_7x_0" localSheetId="82">'415'!$D$50</definedName>
    <definedName name="OSRRefD22_7x_0" localSheetId="83">'418'!$D$51</definedName>
    <definedName name="OSRRefD22_7x_0" localSheetId="86">'424'!$D$43:$D$44</definedName>
    <definedName name="OSRRefD22_7x_0" localSheetId="87">'425'!$D$51</definedName>
    <definedName name="OSRRefD22_7x_0" localSheetId="90">'430'!$D$42</definedName>
    <definedName name="OSRRefD22_7x_0" localSheetId="91">'433'!$D$53</definedName>
    <definedName name="OSRRefD22_7x_0" localSheetId="92">'435'!$D$45</definedName>
    <definedName name="OSRRefD22_7x_0" localSheetId="93">'444'!$D$52</definedName>
    <definedName name="OSRRefD22_7x_0" localSheetId="95">'450'!$D$52</definedName>
    <definedName name="OSRRefD22_7x_0" localSheetId="75">'491'!$D$62</definedName>
    <definedName name="OSRRefD22_7x_0" localSheetId="89">'492'!$D$56</definedName>
    <definedName name="OSRRefD22_7x_0" localSheetId="97">'501'!$D$47</definedName>
    <definedName name="OSRRefD22_7x_0" localSheetId="39">'Div 2'!$D$51</definedName>
    <definedName name="OSRRefD22_7x_0" localSheetId="47">'Div 3'!$D$194</definedName>
    <definedName name="OSRRefD22_7x_0" localSheetId="73">'Div 4'!$D$64</definedName>
    <definedName name="OSRRefD22_7x_0" localSheetId="96">'Div 5'!$D$47</definedName>
    <definedName name="OSRRefD22_7x_0" localSheetId="64">'Div 6'!$D$81</definedName>
    <definedName name="OSRRefD22_7x_0" localSheetId="2">Summary!$D$228</definedName>
    <definedName name="OSRRefD22_8x_0" localSheetId="41">'201'!$D$46</definedName>
    <definedName name="OSRRefD22_8x_0" localSheetId="42">'202'!$D$46:$D$47</definedName>
    <definedName name="OSRRefD22_8x_0" localSheetId="43">'203'!$D$48</definedName>
    <definedName name="OSRRefD22_8x_0" localSheetId="44">'204'!$D$52:$D$53</definedName>
    <definedName name="OSRRefD22_8x_0" localSheetId="45">'205'!$D$45</definedName>
    <definedName name="OSRRefD22_8x_0" localSheetId="48">'300'!$D$190</definedName>
    <definedName name="OSRRefD22_8x_0" localSheetId="49">'300 &amp; 317'!$D$214</definedName>
    <definedName name="OSRRefD22_8x_0" localSheetId="50">'301'!$D$51</definedName>
    <definedName name="OSRRefD22_8x_0" localSheetId="51">'306'!$D$50</definedName>
    <definedName name="OSRRefD22_8x_0" localSheetId="53">'307'!$D$95:$D$96</definedName>
    <definedName name="OSRRefD22_8x_0" localSheetId="55">'308'!$D$92</definedName>
    <definedName name="OSRRefD22_8x_0" localSheetId="67">'309'!$D$52:$D$53</definedName>
    <definedName name="OSRRefD22_8x_0" localSheetId="66">'310'!$D$60</definedName>
    <definedName name="OSRRefD22_8x_0" localSheetId="74">'310 &amp; 491'!$D$71</definedName>
    <definedName name="OSRRefD22_8x_0" localSheetId="56">'311'!$D$91</definedName>
    <definedName name="OSRRefD22_8x_0" localSheetId="68">'313'!$D$55</definedName>
    <definedName name="OSRRefD22_8x_0" localSheetId="59">'315'!$D$82</definedName>
    <definedName name="OSRRefD22_8x_0" localSheetId="62">'316'!$D$61</definedName>
    <definedName name="OSRRefD22_8x_0" localSheetId="65">'317'!$D$83</definedName>
    <definedName name="OSRRefD22_8x_0" localSheetId="63">'320'!$D$55</definedName>
    <definedName name="OSRRefD22_8x_0" localSheetId="69">'321'!$D$52:$D$54</definedName>
    <definedName name="OSRRefD22_8x_0" localSheetId="70">'322'!$D$51</definedName>
    <definedName name="OSRRefD22_8x_0" localSheetId="71">'325'!$D$53</definedName>
    <definedName name="OSRRefD22_8x_0" localSheetId="60">'326'!$D$83</definedName>
    <definedName name="OSRRefD22_8x_0" localSheetId="52">'330'!$D$103:$D$104</definedName>
    <definedName name="OSRRefD22_8x_0" localSheetId="58">'331'!$D$99</definedName>
    <definedName name="OSRRefD22_8x_0" localSheetId="61">'332'!$D$68</definedName>
    <definedName name="OSRRefD22_8x_0" localSheetId="76">'405'!$D$51</definedName>
    <definedName name="OSRRefD22_8x_0" localSheetId="77">'406'!$D$51:$D$53</definedName>
    <definedName name="OSRRefD22_8x_0" localSheetId="78">'411'!$D$51</definedName>
    <definedName name="OSRRefD22_8x_0" localSheetId="79">'412'!$D$51:$D$52</definedName>
    <definedName name="OSRRefD22_8x_0" localSheetId="80">'413'!$D$53</definedName>
    <definedName name="OSRRefD22_8x_0" localSheetId="81">'414'!$D$52:$D$53</definedName>
    <definedName name="OSRRefD22_8x_0" localSheetId="82">'415'!$D$52</definedName>
    <definedName name="OSRRefD22_8x_0" localSheetId="83">'418'!$D$53:$D$54</definedName>
    <definedName name="OSRRefD22_8x_0" localSheetId="86">'424'!$D$46</definedName>
    <definedName name="OSRRefD22_8x_0" localSheetId="87">'425'!$D$53</definedName>
    <definedName name="OSRRefD22_8x_0" localSheetId="90">'430'!$D$44</definedName>
    <definedName name="OSRRefD22_8x_0" localSheetId="91">'433'!$D$55</definedName>
    <definedName name="OSRRefD22_8x_0" localSheetId="93">'444'!$D$54</definedName>
    <definedName name="OSRRefD22_8x_0" localSheetId="95">'450'!$D$54</definedName>
    <definedName name="OSRRefD22_8x_0" localSheetId="75">'491'!$D$64</definedName>
    <definedName name="OSRRefD22_8x_0" localSheetId="89">'492'!$D$58</definedName>
    <definedName name="OSRRefD22_8x_0" localSheetId="97">'501'!$D$49</definedName>
    <definedName name="OSRRefD22_8x_0" localSheetId="39">'Div 2'!$D$53</definedName>
    <definedName name="OSRRefD22_8x_0" localSheetId="47">'Div 3'!$D$196</definedName>
    <definedName name="OSRRefD22_8x_0" localSheetId="73">'Div 4'!$D$66</definedName>
    <definedName name="OSRRefD22_8x_0" localSheetId="96">'Div 5'!$D$49</definedName>
    <definedName name="OSRRefD22_8x_0" localSheetId="64">'Div 6'!$D$83</definedName>
    <definedName name="OSRRefD22_8x_0" localSheetId="2">Summary!$D$230</definedName>
    <definedName name="OSRRefD22_9x_0" localSheetId="41">'201'!$D$48:$D$50</definedName>
    <definedName name="OSRRefD22_9x_0" localSheetId="42">'202'!$D$49</definedName>
    <definedName name="OSRRefD22_9x_0" localSheetId="43">'203'!$D$50:$D$52</definedName>
    <definedName name="OSRRefD22_9x_0" localSheetId="44">'204'!$D$55</definedName>
    <definedName name="OSRRefD22_9x_0" localSheetId="48">'300'!$D$192</definedName>
    <definedName name="OSRRefD22_9x_0" localSheetId="49">'300 &amp; 317'!$D$216</definedName>
    <definedName name="OSRRefD22_9x_0" localSheetId="50">'301'!$D$53</definedName>
    <definedName name="OSRRefD22_9x_0" localSheetId="53">'307'!$D$98:$D$99</definedName>
    <definedName name="OSRRefD22_9x_0" localSheetId="55">'308'!$D$94:$D$95</definedName>
    <definedName name="OSRRefD22_9x_0" localSheetId="67">'309'!$D$55</definedName>
    <definedName name="OSRRefD22_9x_0" localSheetId="66">'310'!$D$62</definedName>
    <definedName name="OSRRefD22_9x_0" localSheetId="74">'310 &amp; 491'!$D$73</definedName>
    <definedName name="OSRRefD22_9x_0" localSheetId="56">'311'!$D$93:$D$94</definedName>
    <definedName name="OSRRefD22_9x_0" localSheetId="68">'313'!$D$57:$D$59</definedName>
    <definedName name="OSRRefD22_9x_0" localSheetId="59">'315'!$D$84:$D$85</definedName>
    <definedName name="OSRRefD22_9x_0" localSheetId="62">'316'!$D$63</definedName>
    <definedName name="OSRRefD22_9x_0" localSheetId="65">'317'!$D$85:$D$86</definedName>
    <definedName name="OSRRefD22_9x_0" localSheetId="69">'321'!$D$56:$D$60</definedName>
    <definedName name="OSRRefD22_9x_0" localSheetId="70">'322'!$D$53:$D$54</definedName>
    <definedName name="OSRRefD22_9x_0" localSheetId="71">'325'!$D$55</definedName>
    <definedName name="OSRRefD22_9x_0" localSheetId="60">'326'!$D$85</definedName>
    <definedName name="OSRRefD22_9x_0" localSheetId="52">'330'!$D$106:$D$107</definedName>
    <definedName name="OSRRefD22_9x_0" localSheetId="58">'331'!$D$101</definedName>
    <definedName name="OSRRefD22_9x_0" localSheetId="61">'332'!$D$70</definedName>
    <definedName name="OSRRefD22_9x_0" localSheetId="76">'405'!$D$53</definedName>
    <definedName name="OSRRefD22_9x_0" localSheetId="77">'406'!$D$55</definedName>
    <definedName name="OSRRefD22_9x_0" localSheetId="78">'411'!$D$53:$D$55</definedName>
    <definedName name="OSRRefD22_9x_0" localSheetId="79">'412'!$D$54</definedName>
    <definedName name="OSRRefD22_9x_0" localSheetId="80">'413'!$D$55:$D$58</definedName>
    <definedName name="OSRRefD22_9x_0" localSheetId="81">'414'!$D$55</definedName>
    <definedName name="OSRRefD22_9x_0" localSheetId="82">'415'!$D$54</definedName>
    <definedName name="OSRRefD22_9x_0" localSheetId="83">'418'!$D$56:$D$58</definedName>
    <definedName name="OSRRefD22_9x_0" localSheetId="86">'424'!$D$48:$D$52</definedName>
    <definedName name="OSRRefD22_9x_0" localSheetId="87">'425'!$D$55:$D$56</definedName>
    <definedName name="OSRRefD22_9x_0" localSheetId="91">'433'!$D$57</definedName>
    <definedName name="OSRRefD22_9x_0" localSheetId="93">'444'!$D$56</definedName>
    <definedName name="OSRRefD22_9x_0" localSheetId="95">'450'!$D$56</definedName>
    <definedName name="OSRRefD22_9x_0" localSheetId="75">'491'!$D$66:$D$67</definedName>
    <definedName name="OSRRefD22_9x_0" localSheetId="89">'492'!$D$60</definedName>
    <definedName name="OSRRefD22_9x_0" localSheetId="97">'501'!$D$51</definedName>
    <definedName name="OSRRefD22_9x_0" localSheetId="39">'Div 2'!$D$55</definedName>
    <definedName name="OSRRefD22_9x_0" localSheetId="47">'Div 3'!$D$198</definedName>
    <definedName name="OSRRefD22_9x_0" localSheetId="73">'Div 4'!$D$68</definedName>
    <definedName name="OSRRefD22_9x_0" localSheetId="96">'Div 5'!$D$51</definedName>
    <definedName name="OSRRefD22_9x_0" localSheetId="64">'Div 6'!$D$85:$D$86</definedName>
    <definedName name="OSRRefD22_9x_0" localSheetId="2">Summary!$D$232</definedName>
    <definedName name="OSRRefD22x_0" localSheetId="40">'200'!$D$20,'200'!$D$22,'200'!$D$24,'200'!$D$26:$D$27</definedName>
    <definedName name="OSRRefD22x_0" localSheetId="41">'201'!$D$20:$D$28,'201'!$D$30:$D$32,'201'!$D$34,'201'!$D$36,'201'!$D$38,'201'!$D$40,'201'!$D$42,'201'!$D$44,'201'!$D$46,'201'!$D$48:$D$50,'201'!$D$52:$D$54,'201'!$D$56,'201'!$D$58:$D$60,'201'!$D$62,'201'!$D$64,'201'!$D$66:$D$67</definedName>
    <definedName name="OSRRefD22x_0" localSheetId="42">'202'!$D$20:$D$27,'202'!$D$29:$D$32,'202'!$D$34,'202'!$D$36,'202'!$D$38,'202'!$D$40,'202'!$D$42,'202'!$D$44,'202'!$D$46:$D$47,'202'!$D$49,'202'!$D$51,'202'!$D$53:$D$54,'202'!$D$56,'202'!$D$58</definedName>
    <definedName name="OSRRefD22x_0" localSheetId="43">'203'!$D$20:$D$29,'203'!$D$31:$D$34,'203'!$D$36,'203'!$D$38,'203'!$D$40,'203'!$D$42,'203'!$D$44,'203'!$D$46,'203'!$D$48,'203'!$D$50:$D$52,'203'!$D$54:$D$55,'203'!$D$57,'203'!$D$59:$D$61,'203'!$D$63,'203'!$D$65,'203'!$D$67</definedName>
    <definedName name="OSRRefD22x_0" localSheetId="44">'204'!$D$20:$D$28,'204'!$D$30:$D$34,'204'!$D$36,'204'!$D$38:$D$39,'204'!$D$41,'204'!$D$43,'204'!$D$45:$D$47,'204'!$D$49:$D$50,'204'!$D$52:$D$53,'204'!$D$55,'204'!$D$57:$D$58</definedName>
    <definedName name="OSRRefD22x_0" localSheetId="45">'205'!$D$20:$D$27,'205'!$D$29,'205'!$D$31,'205'!$D$33,'205'!$D$35:$D$36,'205'!$D$38,'205'!$D$40:$D$41,'205'!$D$43,'205'!$D$45</definedName>
    <definedName name="OSRRefD22x_0" localSheetId="46">'206'!$D$20:$D$27,'206'!$D$29:$D$34,'206'!$D$36,'206'!$D$38,'206'!$D$40,'206'!$D$42:$D$43,'206'!$D$45,'206'!$D$47</definedName>
    <definedName name="OSRRefD22x_0" localSheetId="48">'300'!$D$158:$D$166,'300'!$D$168:$D$174,'300'!$D$176,'300'!$D$178,'300'!$D$180,'300'!$D$182:$D$183,'300'!$D$185:$D$186,'300'!$D$188,'300'!$D$190,'300'!$D$192,'300'!$D$194:$D$195,'300'!$D$197,'300'!$D$199,'300'!$D$201,'300'!$D$203,'300'!$D$205,'300'!$D$207:$D$209,'300'!$D$211:$D$213,'300'!$D$215:$D$218,'300'!$D$220:$D$221,'300'!$D$223:$D$228,'300'!$D$230:$D$231,'300'!$D$233,'300'!$D$235:$D$237,'300'!$D$239</definedName>
    <definedName name="OSRRefD22x_0" localSheetId="49">'300 &amp; 317'!$D$182:$D$190,'300 &amp; 317'!$D$192:$D$198,'300 &amp; 317'!$D$200,'300 &amp; 317'!$D$202,'300 &amp; 317'!$D$204,'300 &amp; 317'!$D$206:$D$207,'300 &amp; 317'!$D$209:$D$210,'300 &amp; 317'!$D$212,'300 &amp; 317'!$D$214,'300 &amp; 317'!$D$216,'300 &amp; 317'!$D$218:$D$219,'300 &amp; 317'!$D$221,'300 &amp; 317'!$D$223,'300 &amp; 317'!$D$225,'300 &amp; 317'!$D$227,'300 &amp; 317'!$D$229,'300 &amp; 317'!$D$231:$D$233,'300 &amp; 317'!$D$235:$D$237,'300 &amp; 317'!$D$239:$D$242,'300 &amp; 317'!$D$244:$D$245,'300 &amp; 317'!$D$247:$D$252,'300 &amp; 317'!$D$254:$D$255,'300 &amp; 317'!$D$257,'300 &amp; 317'!$D$259:$D$261,'300 &amp; 317'!$D$263</definedName>
    <definedName name="OSRRefD22x_0" localSheetId="50">'301'!$D$20:$D$27,'301'!$D$29:$D$35,'301'!$D$37,'301'!$D$39,'301'!$D$41,'301'!$D$43:$D$44,'301'!$D$46:$D$47,'301'!$D$49,'301'!$D$51,'301'!$D$53,'301'!$D$55,'301'!$D$57,'301'!$D$59,'301'!$D$61,'301'!$D$63:$D$65,'301'!$D$67:$D$69,'301'!$D$71,'301'!$D$73:$D$77,'301'!$D$79,'301'!$D$81,'301'!$D$83:$D$84,'301'!$D$86</definedName>
    <definedName name="OSRRefD22x_0" localSheetId="51">'306'!$D$20:$D$28,'306'!$D$30:$D$34,'306'!$D$36,'306'!$D$38,'306'!$D$40,'306'!$D$42,'306'!$D$44:$D$46,'306'!$D$48,'306'!$D$50</definedName>
    <definedName name="OSRRefD22x_0" localSheetId="53">'307'!$D$69:$D$76,'307'!$D$78:$D$80,'307'!$D$82,'307'!$D$84,'307'!$D$86:$D$87,'307'!$D$89,'307'!$D$91,'307'!$D$93,'307'!$D$95:$D$96,'307'!$D$98:$D$99,'307'!$D$101,'307'!$D$103</definedName>
    <definedName name="OSRRefD22x_0" localSheetId="55">'308'!$D$62:$D$70,'308'!$D$72:$D$76,'308'!$D$78,'308'!$D$80:$D$81,'308'!$D$83,'308'!$D$85,'308'!$D$87:$D$88,'308'!$D$90,'308'!$D$92,'308'!$D$94:$D$95,'308'!$D$97,'308'!$D$99:$D$101,'308'!$D$103:$D$104,'308'!$D$106,'308'!$D$108</definedName>
    <definedName name="OSRRefD22x_0" localSheetId="67">'309'!$D$24:$D$31,'309'!$D$33:$D$37,'309'!$D$39,'309'!$D$41,'309'!$D$43,'309'!$D$45,'309'!$D$47,'309'!$D$49:$D$50,'309'!$D$52:$D$53,'309'!$D$55,'309'!$D$57:$D$62,'309'!$D$64</definedName>
    <definedName name="OSRRefD22x_0" localSheetId="66">'310'!$D$31:$D$38,'310'!$D$40:$D$45,'310'!$D$47,'310'!$D$49,'310'!$D$51,'310'!$D$53:$D$54,'310'!$D$56,'310'!$D$58,'310'!$D$60,'310'!$D$62,'310'!$D$64,'310'!$D$66,'310'!$D$68,'310'!$D$70,'310'!$D$72:$D$74,'310'!$D$76,'310'!$D$78:$D$81,'310'!$D$83:$D$84,'310'!$D$86:$D$92,'310'!$D$94,'310'!$D$96,'310'!$D$98</definedName>
    <definedName name="OSRRefD22x_0" localSheetId="74">'310 &amp; 491'!$D$39:$D$47,'310 &amp; 491'!$D$49:$D$55,'310 &amp; 491'!$D$57,'310 &amp; 491'!$D$59,'310 &amp; 491'!$D$61,'310 &amp; 491'!$D$63:$D$65,'310 &amp; 491'!$D$67,'310 &amp; 491'!$D$69,'310 &amp; 491'!$D$71,'310 &amp; 491'!$D$73,'310 &amp; 491'!$D$75,'310 &amp; 491'!$D$77:$D$78,'310 &amp; 491'!$D$80,'310 &amp; 491'!$D$82,'310 &amp; 491'!$D$84,'310 &amp; 491'!$D$86,'310 &amp; 491'!$D$88:$D$90,'310 &amp; 491'!$D$92:$D$93,'310 &amp; 491'!$D$95:$D$99,'310 &amp; 491'!$D$101:$D$102,'310 &amp; 491'!$D$104:$D$111,'310 &amp; 491'!$D$113,'310 &amp; 491'!$D$115,'310 &amp; 491'!$D$117:$D$119,'310 &amp; 491'!$D$121</definedName>
    <definedName name="OSRRefD22x_0" localSheetId="56">'311'!$D$61:$D$69,'311'!$D$71:$D$75,'311'!$D$77,'311'!$D$79:$D$80,'311'!$D$82,'311'!$D$84,'311'!$D$86:$D$87,'311'!$D$89,'311'!$D$91,'311'!$D$93:$D$94,'311'!$D$96,'311'!$D$98:$D$100,'311'!$D$102:$D$103,'311'!$D$105,'311'!$D$107</definedName>
    <definedName name="OSRRefD22x_0" localSheetId="68">'313'!$D$28:$D$35,'313'!$D$37:$D$41,'313'!$D$43,'313'!$D$45,'313'!$D$47,'313'!$D$49,'313'!$D$51,'313'!$D$53,'313'!$D$55,'313'!$D$57:$D$59,'313'!$D$61,'313'!$D$63:$D$68,'313'!$D$70,'313'!$D$72</definedName>
    <definedName name="OSRRefD22x_0" localSheetId="54">'314'!$D$55:$D$61,'314'!$D$63:$D$65,'314'!$D$67,'314'!$D$69:$D$70,'314'!$D$72,'314'!$D$74:$D$75,'314'!$D$77</definedName>
    <definedName name="OSRRefD22x_0" localSheetId="59">'315'!$D$54:$D$61,'315'!$D$63:$D$67,'315'!$D$69,'315'!$D$71:$D$72,'315'!$D$74,'315'!$D$76,'315'!$D$78,'315'!$D$80,'315'!$D$82,'315'!$D$84:$D$85,'315'!$D$87,'315'!$D$89:$D$92,'315'!$D$94,'315'!$D$96,'315'!$D$98</definedName>
    <definedName name="OSRRefD22x_0" localSheetId="62">'316'!$D$32:$D$39,'316'!$D$41:$D$44,'316'!$D$46,'316'!$D$48,'316'!$D$50,'316'!$D$52,'316'!$D$54,'316'!$D$56:$D$59,'316'!$D$61,'316'!$D$63</definedName>
    <definedName name="OSRRefD22x_0" localSheetId="65">'317'!$D$56:$D$64,'317'!$D$66:$D$69,'317'!$D$71,'317'!$D$73,'317'!$D$75,'317'!$D$77,'317'!$D$79,'317'!$D$81,'317'!$D$83,'317'!$D$85:$D$86,'317'!$D$88</definedName>
    <definedName name="OSRRefD22x_0" localSheetId="63">'320'!$D$29:$D$35,'320'!$D$37:$D$39,'320'!$D$41,'320'!$D$43,'320'!$D$45:$D$46,'320'!$D$48,'320'!$D$50,'320'!$D$52:$D$53,'320'!$D$55</definedName>
    <definedName name="OSRRefD22x_0" localSheetId="69">'321'!$D$24:$D$30,'321'!$D$32:$D$36,'321'!$D$38,'321'!$D$40,'321'!$D$42,'321'!$D$44,'321'!$D$46:$D$48,'321'!$D$50,'321'!$D$52:$D$54,'321'!$D$56:$D$60,'321'!$D$62,'321'!$D$64</definedName>
    <definedName name="OSRRefD22x_0" localSheetId="70">'322'!$D$24:$D$31,'322'!$D$33:$D$37,'322'!$D$39,'322'!$D$41,'322'!$D$43,'322'!$D$45,'322'!$D$47,'322'!$D$49,'322'!$D$51,'322'!$D$53:$D$54,'322'!$D$56:$D$58,'322'!$D$60:$D$65,'322'!$D$67,'322'!$D$69</definedName>
    <definedName name="OSRRefD22x_0" localSheetId="57">'324'!$D$25</definedName>
    <definedName name="OSRRefD22x_0" localSheetId="71">'325'!$D$24:$D$31,'325'!$D$33:$D$38,'325'!$D$40,'325'!$D$42,'325'!$D$44,'325'!$D$46:$D$47,'325'!$D$49,'325'!$D$51,'325'!$D$53,'325'!$D$55,'325'!$D$57:$D$59,'325'!$D$61:$D$63,'325'!$D$65,'325'!$D$67:$D$72,'325'!$D$74,'325'!$D$76</definedName>
    <definedName name="OSRRefD22x_0" localSheetId="60">'326'!$D$57:$D$64,'326'!$D$66:$D$69,'326'!$D$71,'326'!$D$73,'326'!$D$75,'326'!$D$77,'326'!$D$79,'326'!$D$81,'326'!$D$83,'326'!$D$85,'326'!$D$87,'326'!$D$89,'326'!$D$91,'326'!$D$93:$D$94,'326'!$D$96:$D$98,'326'!$D$100,'326'!$D$102:$D$105,'326'!$D$107,'326'!$D$109,'326'!$D$111</definedName>
    <definedName name="OSRRefD22x_0" localSheetId="72">'327'!$D$22,'327'!$D$24</definedName>
    <definedName name="OSRRefD22x_0" localSheetId="52">'330'!$D$77:$D$84,'330'!$D$86:$D$88,'330'!$D$90,'330'!$D$92,'330'!$D$94:$D$95,'330'!$D$97,'330'!$D$99,'330'!$D$101,'330'!$D$103:$D$104,'330'!$D$106:$D$107,'330'!$D$109,'330'!$D$111:$D$112,'330'!$D$114</definedName>
    <definedName name="OSRRefD22x_0" localSheetId="58">'331'!$D$71:$D$78,'331'!$D$80:$D$84,'331'!$D$86,'331'!$D$88,'331'!$D$90,'331'!$D$92:$D$93,'331'!$D$95,'331'!$D$97,'331'!$D$99,'331'!$D$101,'331'!$D$103,'331'!$D$105,'331'!$D$107,'331'!$D$109,'331'!$D$111:$D$113,'331'!$D$115:$D$116,'331'!$D$118:$D$120,'331'!$D$122,'331'!$D$124:$D$128,'331'!$D$130,'331'!$D$132,'331'!$D$134,'331'!$D$136</definedName>
    <definedName name="OSRRefD22x_0" localSheetId="61">'332'!$D$41:$D$48,'332'!$D$50:$D$53,'332'!$D$55,'332'!$D$57,'332'!$D$59,'332'!$D$61:$D$62,'332'!$D$64,'332'!$D$66,'332'!$D$68,'332'!$D$70,'332'!$D$72:$D$76,'332'!$D$78,'332'!$D$80</definedName>
    <definedName name="OSRRefD22x_0" localSheetId="76">'405'!$D$24:$D$31,'405'!$D$33:$D$36,'405'!$D$38,'405'!$D$40,'405'!$D$42,'405'!$D$44:$D$45,'405'!$D$47,'405'!$D$49,'405'!$D$51,'405'!$D$53,'405'!$D$55:$D$56,'405'!$D$58,'405'!$D$60:$D$62,'405'!$D$64,'405'!$D$66:$D$72,'405'!$D$74,'405'!$D$76,'405'!$D$78</definedName>
    <definedName name="OSRRefD22x_0" localSheetId="77">'406'!$D$24:$D$31,'406'!$D$33:$D$37,'406'!$D$39,'406'!$D$41,'406'!$D$43,'406'!$D$45,'406'!$D$47,'406'!$D$49,'406'!$D$51:$D$53,'406'!$D$55,'406'!$D$57:$D$62,'406'!$D$64,'406'!$D$66</definedName>
    <definedName name="OSRRefD22x_0" localSheetId="78">'411'!$D$20:$D$28,'411'!$D$30:$D$35,'411'!$D$37,'411'!$D$39:$D$41,'411'!$D$43,'411'!$D$45,'411'!$D$47,'411'!$D$49,'411'!$D$51,'411'!$D$53:$D$55,'411'!$D$57:$D$61,'411'!$D$63:$D$69,'411'!$D$71,'411'!$D$73,'411'!$D$75:$D$77,'411'!$D$79</definedName>
    <definedName name="OSRRefD22x_0" localSheetId="79">'412'!$D$23:$D$30,'412'!$D$32:$D$37,'412'!$D$39,'412'!$D$41,'412'!$D$43,'412'!$D$45,'412'!$D$47,'412'!$D$49,'412'!$D$51:$D$52,'412'!$D$54,'412'!$D$56:$D$58,'412'!$D$60:$D$66,'412'!$D$68,'412'!$D$70</definedName>
    <definedName name="OSRRefD22x_0" localSheetId="80">'413'!$D$24:$D$31,'413'!$D$33:$D$37,'413'!$D$39,'413'!$D$41,'413'!$D$43,'413'!$D$45,'413'!$D$47,'413'!$D$49:$D$51,'413'!$D$53,'413'!$D$55:$D$58,'413'!$D$60</definedName>
    <definedName name="OSRRefD22x_0" localSheetId="81">'414'!$D$24:$D$31,'414'!$D$33:$D$38,'414'!$D$40,'414'!$D$42,'414'!$D$44,'414'!$D$46,'414'!$D$48,'414'!$D$50,'414'!$D$52:$D$53,'414'!$D$55,'414'!$D$57,'414'!$D$59,'414'!$D$61:$D$67,'414'!$D$69,'414'!$D$71</definedName>
    <definedName name="OSRRefD22x_0" localSheetId="82">'415'!$D$24:$D$31,'415'!$D$33:$D$37,'415'!$D$39,'415'!$D$41,'415'!$D$43,'415'!$D$45:$D$46,'415'!$D$48,'415'!$D$50,'415'!$D$52,'415'!$D$54,'415'!$D$56,'415'!$D$58:$D$60,'415'!$D$62:$D$66,'415'!$D$68,'415'!$D$70:$D$76,'415'!$D$78,'415'!$D$80,'415'!$D$82</definedName>
    <definedName name="OSRRefD22x_0" localSheetId="83">'418'!$D$24:$D$31,'418'!$D$33:$D$38,'418'!$D$40,'418'!$D$42,'418'!$D$44,'418'!$D$46:$D$47,'418'!$D$49,'418'!$D$51,'418'!$D$53:$D$54,'418'!$D$56:$D$58,'418'!$D$60:$D$62,'418'!$D$64,'418'!$D$66:$D$72,'418'!$D$74,'418'!$D$76</definedName>
    <definedName name="OSRRefD22x_0" localSheetId="84">'420'!$D$20:$D$21,'420'!$D$23</definedName>
    <definedName name="OSRRefD22x_0" localSheetId="85">'423'!$D$21:$D$28,'423'!$D$30,'423'!$D$32,'423'!$D$34,'423'!$D$36,'423'!$D$38</definedName>
    <definedName name="OSRRefD22x_0" localSheetId="86">'424'!$D$24:$D$26,'424'!$D$28:$D$31,'424'!$D$33,'424'!$D$35,'424'!$D$37,'424'!$D$39,'424'!$D$41,'424'!$D$43:$D$44,'424'!$D$46,'424'!$D$48:$D$52,'424'!$D$54</definedName>
    <definedName name="OSRRefD22x_0" localSheetId="87">'425'!$D$26:$D$33,'425'!$D$35:$D$39,'425'!$D$41,'425'!$D$43,'425'!$D$45,'425'!$D$47,'425'!$D$49,'425'!$D$51,'425'!$D$53,'425'!$D$55:$D$56,'425'!$D$58,'425'!$D$60:$D$61,'425'!$D$63:$D$68,'425'!$D$70,'425'!$D$72,'425'!$D$74</definedName>
    <definedName name="OSRRefD22x_0" localSheetId="90">'430'!$D$20:$D$27,'430'!$D$29,'430'!$D$31,'430'!$D$33,'430'!$D$35,'430'!$D$37:$D$38,'430'!$D$40,'430'!$D$42,'430'!$D$44</definedName>
    <definedName name="OSRRefD22x_0" localSheetId="91">'433'!$D$26:$D$34,'433'!$D$36:$D$41,'433'!$D$43,'433'!$D$45,'433'!$D$47,'433'!$D$49,'433'!$D$51,'433'!$D$53,'433'!$D$55,'433'!$D$57,'433'!$D$59,'433'!$D$61:$D$63,'433'!$D$65:$D$70,'433'!$D$72,'433'!$D$74,'433'!$D$76:$D$77</definedName>
    <definedName name="OSRRefD22x_0" localSheetId="92">'435'!$D$25:$D$27,'435'!$D$29:$D$30,'435'!$D$32,'435'!$D$34,'435'!$D$36,'435'!$D$38,'435'!$D$40:$D$43,'435'!$D$45</definedName>
    <definedName name="OSRRefD22x_0" localSheetId="93">'444'!$D$25:$D$33,'444'!$D$35:$D$40,'444'!$D$42,'444'!$D$44,'444'!$D$46,'444'!$D$48,'444'!$D$50,'444'!$D$52,'444'!$D$54,'444'!$D$56,'444'!$D$58,'444'!$D$60:$D$61,'444'!$D$63:$D$65,'444'!$D$67:$D$73,'444'!$D$75,'444'!$D$77,'444'!$D$79</definedName>
    <definedName name="OSRRefD22x_0" localSheetId="94">'445'!$D$20</definedName>
    <definedName name="OSRRefD22x_0" localSheetId="95">'450'!$D$25:$D$33,'450'!$D$35:$D$40,'450'!$D$42,'450'!$D$44,'450'!$D$46,'450'!$D$48,'450'!$D$50,'450'!$D$52,'450'!$D$54,'450'!$D$56,'450'!$D$58,'450'!$D$60:$D$61,'450'!$D$63:$D$65,'450'!$D$67:$D$72,'450'!$D$74,'450'!$D$76,'450'!$D$78:$D$79</definedName>
    <definedName name="OSRRefD22x_0" localSheetId="88">'455'!$D$20:$D$26,'455'!$D$28:$D$29</definedName>
    <definedName name="OSRRefD22x_0" localSheetId="75">'491'!$D$32:$D$40,'491'!$D$42:$D$48,'491'!$D$50,'491'!$D$52,'491'!$D$54,'491'!$D$56:$D$58,'491'!$D$60,'491'!$D$62,'491'!$D$64,'491'!$D$66:$D$67,'491'!$D$69,'491'!$D$71,'491'!$D$73,'491'!$D$75,'491'!$D$77:$D$79,'491'!$D$81:$D$82,'491'!$D$84:$D$88,'491'!$D$90,'491'!$D$92:$D$99,'491'!$D$101,'491'!$D$103,'491'!$D$105:$D$107,'491'!$D$109</definedName>
    <definedName name="OSRRefD22x_0" localSheetId="89">'492'!$D$28:$D$36,'492'!$D$38:$D$44,'492'!$D$46,'492'!$D$48,'492'!$D$50,'492'!$D$52,'492'!$D$54,'492'!$D$56,'492'!$D$58,'492'!$D$60,'492'!$D$62,'492'!$D$64,'492'!$D$66:$D$68,'492'!$D$70:$D$72,'492'!$D$74:$D$80,'492'!$D$82,'492'!$D$84,'492'!$D$86:$D$87</definedName>
    <definedName name="OSRRefD22x_0" localSheetId="97">'501'!$D$21:$D$28,'501'!$D$30:$D$35,'501'!$D$37,'501'!$D$39,'501'!$D$41,'501'!$D$43,'501'!$D$45,'501'!$D$47,'501'!$D$49,'501'!$D$51,'501'!$D$53:$D$54,'501'!$D$56:$D$59,'501'!$D$61</definedName>
    <definedName name="OSRRefD22x_0" localSheetId="39">'Div 2'!$D$20:$D$30,'Div 2'!$D$32:$D$38,'Div 2'!$D$40,'Div 2'!$D$42,'Div 2'!$D$44,'Div 2'!$D$46:$D$47,'Div 2'!$D$49,'Div 2'!$D$51,'Div 2'!$D$53,'Div 2'!$D$55,'Div 2'!$D$57,'Div 2'!$D$59,'Div 2'!$D$61:$D$64,'Div 2'!$D$66:$D$68,'Div 2'!$D$70:$D$71,'Div 2'!$D$73,'Div 2'!$D$75:$D$78,'Div 2'!$D$80:$D$81,'Div 2'!$D$83,'Div 2'!$D$85:$D$86</definedName>
    <definedName name="OSRRefD22x_0" localSheetId="47">'Div 3'!$D$164:$D$172,'Div 3'!$D$174:$D$180,'Div 3'!$D$182,'Div 3'!$D$184,'Div 3'!$D$186,'Div 3'!$D$188:$D$189,'Div 3'!$D$191:$D$192,'Div 3'!$D$194,'Div 3'!$D$196,'Div 3'!$D$198,'Div 3'!$D$200:$D$201,'Div 3'!$D$203,'Div 3'!$D$205,'Div 3'!$D$207,'Div 3'!$D$209,'Div 3'!$D$211,'Div 3'!$D$213,'Div 3'!$D$215:$D$217,'Div 3'!$D$219:$D$221,'Div 3'!$D$223:$D$227,'Div 3'!$D$229:$D$230,'Div 3'!$D$232:$D$238,'Div 3'!$D$240:$D$241,'Div 3'!$D$243,'Div 3'!$D$245:$D$247,'Div 3'!$D$249</definedName>
    <definedName name="OSRRefD22x_0" localSheetId="73">'Div 4'!$D$34:$D$42,'Div 4'!$D$44:$D$50,'Div 4'!$D$52,'Div 4'!$D$54,'Div 4'!$D$56,'Div 4'!$D$58:$D$60,'Div 4'!$D$62,'Div 4'!$D$64,'Div 4'!$D$66,'Div 4'!$D$68,'Div 4'!$D$70:$D$71,'Div 4'!$D$73,'Div 4'!$D$75,'Div 4'!$D$77,'Div 4'!$D$79,'Div 4'!$D$81,'Div 4'!$D$83:$D$85,'Div 4'!$D$87:$D$88,'Div 4'!$D$90:$D$94,'Div 4'!$D$96,'Div 4'!$D$98:$D$105,'Div 4'!$D$107,'Div 4'!$D$109,'Div 4'!$D$111:$D$113,'Div 4'!$D$115</definedName>
    <definedName name="OSRRefD22x_0" localSheetId="96">'Div 5'!$D$21:$D$28,'Div 5'!$D$30:$D$35,'Div 5'!$D$37,'Div 5'!$D$39,'Div 5'!$D$41,'Div 5'!$D$43,'Div 5'!$D$45,'Div 5'!$D$47,'Div 5'!$D$49,'Div 5'!$D$51,'Div 5'!$D$53:$D$54,'Div 5'!$D$56:$D$59,'Div 5'!$D$61</definedName>
    <definedName name="OSRRefD22x_0" localSheetId="64">'Div 6'!$D$56:$D$64,'Div 6'!$D$66:$D$69,'Div 6'!$D$71,'Div 6'!$D$73,'Div 6'!$D$75,'Div 6'!$D$77,'Div 6'!$D$79,'Div 6'!$D$81,'Div 6'!$D$83,'Div 6'!$D$85:$D$86,'Div 6'!$D$88</definedName>
    <definedName name="OSRRefD22x_0" localSheetId="2">Summary!$D$197:$D$205,Summary!$D$207:$D$213,Summary!$D$215,Summary!$D$217,Summary!$D$219,Summary!$D$221:$D$223,Summary!$D$225:$D$226,Summary!$D$228,Summary!$D$230,Summary!$D$232,Summary!$D$234:$D$235,Summary!$D$237:$D$238,Summary!$D$240,Summary!$D$242,Summary!$D$244,Summary!$D$246,Summary!$D$248,Summary!$D$250,Summary!$D$252:$D$254,Summary!$D$256:$D$258,Summary!$D$260:$D$264,Summary!$D$266:$D$267,Summary!$D$269:$D$276,Summary!$D$278:$D$279,Summary!$D$281,Summary!$D$283:$D$285,Summary!$D$287</definedName>
    <definedName name="OSRRefD25x_0" localSheetId="48">'300'!$D$242:$D$248</definedName>
    <definedName name="OSRRefD25x_0" localSheetId="49">'300 &amp; 317'!$D$266:$D$274</definedName>
    <definedName name="OSRRefD25x_0" localSheetId="50">'301'!$D$89:$D$90</definedName>
    <definedName name="OSRRefD25x_0" localSheetId="55">'308'!$D$111:$D$113</definedName>
    <definedName name="OSRRefD25x_0" localSheetId="74">'310 &amp; 491'!$D$124:$D$126</definedName>
    <definedName name="OSRRefD25x_0" localSheetId="56">'311'!$D$110:$D$112</definedName>
    <definedName name="OSRRefD25x_0" localSheetId="59">'315'!$D$101</definedName>
    <definedName name="OSRRefD25x_0" localSheetId="62">'316'!$D$66</definedName>
    <definedName name="OSRRefD25x_0" localSheetId="65">'317'!$D$91:$D$93</definedName>
    <definedName name="OSRRefD25x_0" localSheetId="63">'320'!$D$58:$D$61</definedName>
    <definedName name="OSRRefD25x_0" localSheetId="58">'331'!$D$139</definedName>
    <definedName name="OSRRefD25x_0" localSheetId="61">'332'!$D$83:$D$87</definedName>
    <definedName name="OSRRefD25x_0" localSheetId="78">'411'!$D$82:$D$83</definedName>
    <definedName name="OSRRefD25x_0" localSheetId="80">'413'!$D$63</definedName>
    <definedName name="OSRRefD25x_0" localSheetId="83">'418'!$D$79</definedName>
    <definedName name="OSRRefD25x_0" localSheetId="85">'423'!$D$41</definedName>
    <definedName name="OSRRefD25x_0" localSheetId="86">'424'!$D$57</definedName>
    <definedName name="OSRRefD25x_0" localSheetId="87">'425'!$D$77</definedName>
    <definedName name="OSRRefD25x_0" localSheetId="88">'455'!$D$32:$D$33</definedName>
    <definedName name="OSRRefD25x_0" localSheetId="75">'491'!$D$112:$D$114</definedName>
    <definedName name="OSRRefD25x_0" localSheetId="97">'501'!$D$64</definedName>
    <definedName name="OSRRefD25x_0" localSheetId="47">'Div 3'!$D$252:$D$258</definedName>
    <definedName name="OSRRefD25x_0" localSheetId="73">'Div 4'!$D$118:$D$120</definedName>
    <definedName name="OSRRefD25x_0" localSheetId="96">'Div 5'!$D$64</definedName>
    <definedName name="OSRRefD25x_0" localSheetId="64">'Div 6'!$D$91:$D$93</definedName>
    <definedName name="OSRRefD25x_0" localSheetId="2">Summary!$D$290:$D$299</definedName>
    <definedName name="OSRRefH13x_0" localSheetId="48">'300'!$H$13:$H$102</definedName>
    <definedName name="OSRRefH13x_0" localSheetId="49">'300 &amp; 317'!$H$13:$H$119</definedName>
    <definedName name="OSRRefH13x_0" localSheetId="53">'307'!$H$13:$H$43</definedName>
    <definedName name="OSRRefH13x_0" localSheetId="55">'308'!$H$13:$H$39</definedName>
    <definedName name="OSRRefH13x_0" localSheetId="67">'309'!$H$13:$H$14</definedName>
    <definedName name="OSRRefH13x_0" localSheetId="66">'310'!$H$13:$H$21</definedName>
    <definedName name="OSRRefH13x_0" localSheetId="74">'310 &amp; 491'!$H$13:$H$29</definedName>
    <definedName name="OSRRefH13x_0" localSheetId="56">'311'!$H$13:$H$38</definedName>
    <definedName name="OSRRefH13x_0" localSheetId="68">'313'!$H$13:$H$18</definedName>
    <definedName name="OSRRefH13x_0" localSheetId="54">'314'!$H$13:$H$33</definedName>
    <definedName name="OSRRefH13x_0" localSheetId="59">'315'!$H$13:$H$32</definedName>
    <definedName name="OSRRefH13x_0" localSheetId="62">'316'!$H$13:$H$24</definedName>
    <definedName name="OSRRefH13x_0" localSheetId="65">'317'!$H$13:$H$35</definedName>
    <definedName name="OSRRefH13x_0" localSheetId="63">'320'!$H$13:$H$16</definedName>
    <definedName name="OSRRefH13x_0" localSheetId="69">'321'!$H$13:$H$14</definedName>
    <definedName name="OSRRefH13x_0" localSheetId="70">'322'!$H$13:$H$14</definedName>
    <definedName name="OSRRefH13x_0" localSheetId="57">'324'!$H$13:$H$15</definedName>
    <definedName name="OSRRefH13x_0" localSheetId="71">'325'!$H$13:$H$14</definedName>
    <definedName name="OSRRefH13x_0" localSheetId="60">'326'!$H$13:$H$33</definedName>
    <definedName name="OSRRefH13x_0" localSheetId="72">'327'!$H$13</definedName>
    <definedName name="OSRRefH13x_0" localSheetId="52">'330'!$H$13:$H$48</definedName>
    <definedName name="OSRRefH13x_0" localSheetId="58">'331'!$H$13:$H$41</definedName>
    <definedName name="OSRRefH13x_0" localSheetId="61">'332'!$H$13:$H$28</definedName>
    <definedName name="OSRRefH13x_0" localSheetId="76">'405'!$H$13:$H$14</definedName>
    <definedName name="OSRRefH13x_0" localSheetId="77">'406'!$H$13:$H$14</definedName>
    <definedName name="OSRRefH13x_0" localSheetId="79">'412'!$H$13:$H$14</definedName>
    <definedName name="OSRRefH13x_0" localSheetId="80">'413'!$H$13:$H$14</definedName>
    <definedName name="OSRRefH13x_0" localSheetId="81">'414'!$H$13:$H$14</definedName>
    <definedName name="OSRRefH13x_0" localSheetId="82">'415'!$H$13:$H$14</definedName>
    <definedName name="OSRRefH13x_0" localSheetId="83">'418'!$H$13:$H$14</definedName>
    <definedName name="OSRRefH13x_0" localSheetId="86">'424'!$H$13:$H$14</definedName>
    <definedName name="OSRRefH13x_0" localSheetId="87">'425'!$H$13:$H$16</definedName>
    <definedName name="OSRRefH13x_0" localSheetId="91">'433'!$H$13:$H$16</definedName>
    <definedName name="OSRRefH13x_0" localSheetId="92">'435'!$H$13:$H$15</definedName>
    <definedName name="OSRRefH13x_0" localSheetId="93">'444'!$H$13:$H$15</definedName>
    <definedName name="OSRRefH13x_0" localSheetId="95">'450'!$H$13:$H$15</definedName>
    <definedName name="OSRRefH13x_0" localSheetId="75">'491'!$H$13:$H$22</definedName>
    <definedName name="OSRRefH13x_0" localSheetId="89">'492'!$H$13:$H$18</definedName>
    <definedName name="OSRRefH13x_0" localSheetId="97">'501'!$H$13</definedName>
    <definedName name="OSRRefH13x_0" localSheetId="47">'Div 3'!$H$13:$H$106</definedName>
    <definedName name="OSRRefH13x_0" localSheetId="73">'Div 4'!$H$13:$H$24</definedName>
    <definedName name="OSRRefH13x_0" localSheetId="96">'Div 5'!$H$13</definedName>
    <definedName name="OSRRefH13x_0" localSheetId="64">'Div 6'!$H$13:$H$35</definedName>
    <definedName name="OSRRefH13x_0" localSheetId="2">Summary!$H$13:$H$132</definedName>
    <definedName name="OSRRefH16x_0" localSheetId="48">'300'!$H$105:$H$152</definedName>
    <definedName name="OSRRefH16x_0" localSheetId="49">'300 &amp; 317'!$H$122:$H$176</definedName>
    <definedName name="OSRRefH16x_0" localSheetId="53">'307'!$H$46:$H$63</definedName>
    <definedName name="OSRRefH16x_0" localSheetId="55">'308'!$H$42:$H$56</definedName>
    <definedName name="OSRRefH16x_0" localSheetId="67">'309'!$H$17:$H$18</definedName>
    <definedName name="OSRRefH16x_0" localSheetId="66">'310'!$H$24:$H$25</definedName>
    <definedName name="OSRRefH16x_0" localSheetId="74">'310 &amp; 491'!$H$32:$H$33</definedName>
    <definedName name="OSRRefH16x_0" localSheetId="56">'311'!$H$41:$H$55</definedName>
    <definedName name="OSRRefH16x_0" localSheetId="68">'313'!$H$21:$H$22</definedName>
    <definedName name="OSRRefH16x_0" localSheetId="54">'314'!$H$36:$H$49</definedName>
    <definedName name="OSRRefH16x_0" localSheetId="59">'315'!$H$35:$H$48</definedName>
    <definedName name="OSRRefH16x_0" localSheetId="65">'317'!$H$38:$H$50</definedName>
    <definedName name="OSRRefH16x_0" localSheetId="63">'320'!$H$19:$H$23</definedName>
    <definedName name="OSRRefH16x_0" localSheetId="69">'321'!$H$17:$H$18</definedName>
    <definedName name="OSRRefH16x_0" localSheetId="70">'322'!$H$17:$H$18</definedName>
    <definedName name="OSRRefH16x_0" localSheetId="57">'324'!$H$18:$H$19</definedName>
    <definedName name="OSRRefH16x_0" localSheetId="71">'325'!$H$17:$H$18</definedName>
    <definedName name="OSRRefH16x_0" localSheetId="60">'326'!$H$36:$H$51</definedName>
    <definedName name="OSRRefH16x_0" localSheetId="72">'327'!$H$16</definedName>
    <definedName name="OSRRefH16x_0" localSheetId="52">'330'!$H$51:$H$71</definedName>
    <definedName name="OSRRefH16x_0" localSheetId="58">'331'!$H$44:$H$65</definedName>
    <definedName name="OSRRefH16x_0" localSheetId="61">'332'!$H$31:$H$35</definedName>
    <definedName name="OSRRefH16x_0" localSheetId="76">'405'!$H$17:$H$18</definedName>
    <definedName name="OSRRefH16x_0" localSheetId="77">'406'!$H$17:$H$18</definedName>
    <definedName name="OSRRefH16x_0" localSheetId="79">'412'!$H$17</definedName>
    <definedName name="OSRRefH16x_0" localSheetId="80">'413'!$H$17:$H$18</definedName>
    <definedName name="OSRRefH16x_0" localSheetId="81">'414'!$H$17:$H$18</definedName>
    <definedName name="OSRRefH16x_0" localSheetId="82">'415'!$H$17:$H$18</definedName>
    <definedName name="OSRRefH16x_0" localSheetId="83">'418'!$H$17:$H$18</definedName>
    <definedName name="OSRRefH16x_0" localSheetId="85">'423'!$H$15</definedName>
    <definedName name="OSRRefH16x_0" localSheetId="86">'424'!$H$17:$H$18</definedName>
    <definedName name="OSRRefH16x_0" localSheetId="87">'425'!$H$19:$H$20</definedName>
    <definedName name="OSRRefH16x_0" localSheetId="91">'433'!$H$19:$H$20</definedName>
    <definedName name="OSRRefH16x_0" localSheetId="92">'435'!$H$18:$H$19</definedName>
    <definedName name="OSRRefH16x_0" localSheetId="93">'444'!$H$18:$H$19</definedName>
    <definedName name="OSRRefH16x_0" localSheetId="95">'450'!$H$18:$H$19</definedName>
    <definedName name="OSRRefH16x_0" localSheetId="75">'491'!$H$25:$H$26</definedName>
    <definedName name="OSRRefH16x_0" localSheetId="89">'492'!$H$21:$H$22</definedName>
    <definedName name="OSRRefH16x_0" localSheetId="47">'Div 3'!$H$109:$H$158</definedName>
    <definedName name="OSRRefH16x_0" localSheetId="73">'Div 4'!$H$27:$H$28</definedName>
    <definedName name="OSRRefH16x_0" localSheetId="64">'Div 6'!$H$38:$H$50</definedName>
    <definedName name="OSRRefH16x_0" localSheetId="2">Summary!$H$135:$H$191</definedName>
    <definedName name="OSRRefH22_0x_0" localSheetId="40">'200'!$H$20</definedName>
    <definedName name="OSRRefH22_0x_0" localSheetId="41">'201'!$H$20:$H$28</definedName>
    <definedName name="OSRRefH22_0x_0" localSheetId="42">'202'!$H$20:$H$27</definedName>
    <definedName name="OSRRefH22_0x_0" localSheetId="43">'203'!$H$20:$H$29</definedName>
    <definedName name="OSRRefH22_0x_0" localSheetId="44">'204'!$H$20:$H$28</definedName>
    <definedName name="OSRRefH22_0x_0" localSheetId="45">'205'!$H$20:$H$27</definedName>
    <definedName name="OSRRefH22_0x_0" localSheetId="46">'206'!$H$20:$H$27</definedName>
    <definedName name="OSRRefH22_0x_0" localSheetId="48">'300'!$H$158:$H$166</definedName>
    <definedName name="OSRRefH22_0x_0" localSheetId="49">'300 &amp; 317'!$H$182:$H$190</definedName>
    <definedName name="OSRRefH22_0x_0" localSheetId="50">'301'!$H$20:$H$27</definedName>
    <definedName name="OSRRefH22_0x_0" localSheetId="51">'306'!$H$20:$H$28</definedName>
    <definedName name="OSRRefH22_0x_0" localSheetId="53">'307'!$H$69:$H$76</definedName>
    <definedName name="OSRRefH22_0x_0" localSheetId="55">'308'!$H$62:$H$70</definedName>
    <definedName name="OSRRefH22_0x_0" localSheetId="67">'309'!$H$24:$H$31</definedName>
    <definedName name="OSRRefH22_0x_0" localSheetId="66">'310'!$H$31:$H$38</definedName>
    <definedName name="OSRRefH22_0x_0" localSheetId="74">'310 &amp; 491'!$H$39:$H$47</definedName>
    <definedName name="OSRRefH22_0x_0" localSheetId="56">'311'!$H$61:$H$69</definedName>
    <definedName name="OSRRefH22_0x_0" localSheetId="68">'313'!$H$28:$H$35</definedName>
    <definedName name="OSRRefH22_0x_0" localSheetId="54">'314'!$H$55:$H$61</definedName>
    <definedName name="OSRRefH22_0x_0" localSheetId="59">'315'!$H$54:$H$61</definedName>
    <definedName name="OSRRefH22_0x_0" localSheetId="62">'316'!$H$32:$H$39</definedName>
    <definedName name="OSRRefH22_0x_0" localSheetId="65">'317'!$H$56:$H$64</definedName>
    <definedName name="OSRRefH22_0x_0" localSheetId="63">'320'!$H$29:$H$35</definedName>
    <definedName name="OSRRefH22_0x_0" localSheetId="69">'321'!$H$24:$H$30</definedName>
    <definedName name="OSRRefH22_0x_0" localSheetId="70">'322'!$H$24:$H$31</definedName>
    <definedName name="OSRRefH22_0x_0" localSheetId="57">'324'!$H$25</definedName>
    <definedName name="OSRRefH22_0x_0" localSheetId="71">'325'!$H$24:$H$31</definedName>
    <definedName name="OSRRefH22_0x_0" localSheetId="60">'326'!$H$57:$H$64</definedName>
    <definedName name="OSRRefH22_0x_0" localSheetId="72">'327'!$H$22</definedName>
    <definedName name="OSRRefH22_0x_0" localSheetId="52">'330'!$H$77:$H$84</definedName>
    <definedName name="OSRRefH22_0x_0" localSheetId="58">'331'!$H$71:$H$78</definedName>
    <definedName name="OSRRefH22_0x_0" localSheetId="61">'332'!$H$41:$H$48</definedName>
    <definedName name="OSRRefH22_0x_0" localSheetId="76">'405'!$H$24:$H$31</definedName>
    <definedName name="OSRRefH22_0x_0" localSheetId="77">'406'!$H$24:$H$31</definedName>
    <definedName name="OSRRefH22_0x_0" localSheetId="78">'411'!$H$20:$H$28</definedName>
    <definedName name="OSRRefH22_0x_0" localSheetId="79">'412'!$H$23:$H$30</definedName>
    <definedName name="OSRRefH22_0x_0" localSheetId="80">'413'!$H$24:$H$31</definedName>
    <definedName name="OSRRefH22_0x_0" localSheetId="81">'414'!$H$24:$H$31</definedName>
    <definedName name="OSRRefH22_0x_0" localSheetId="82">'415'!$H$24:$H$31</definedName>
    <definedName name="OSRRefH22_0x_0" localSheetId="83">'418'!$H$24:$H$31</definedName>
    <definedName name="OSRRefH22_0x_0" localSheetId="84">'420'!$H$20:$H$21</definedName>
    <definedName name="OSRRefH22_0x_0" localSheetId="85">'423'!$H$21:$H$28</definedName>
    <definedName name="OSRRefH22_0x_0" localSheetId="86">'424'!$H$24:$H$26</definedName>
    <definedName name="OSRRefH22_0x_0" localSheetId="87">'425'!$H$26:$H$33</definedName>
    <definedName name="OSRRefH22_0x_0" localSheetId="90">'430'!$H$20:$H$27</definedName>
    <definedName name="OSRRefH22_0x_0" localSheetId="91">'433'!$H$26:$H$34</definedName>
    <definedName name="OSRRefH22_0x_0" localSheetId="92">'435'!$H$25:$H$27</definedName>
    <definedName name="OSRRefH22_0x_0" localSheetId="93">'444'!$H$25:$H$33</definedName>
    <definedName name="OSRRefH22_0x_0" localSheetId="94">'445'!$H$20</definedName>
    <definedName name="OSRRefH22_0x_0" localSheetId="95">'450'!$H$25:$H$33</definedName>
    <definedName name="OSRRefH22_0x_0" localSheetId="88">'455'!$H$20:$H$26</definedName>
    <definedName name="OSRRefH22_0x_0" localSheetId="75">'491'!$H$32:$H$40</definedName>
    <definedName name="OSRRefH22_0x_0" localSheetId="89">'492'!$H$28:$H$36</definedName>
    <definedName name="OSRRefH22_0x_0" localSheetId="97">'501'!$H$21:$H$28</definedName>
    <definedName name="OSRRefH22_0x_0" localSheetId="39">'Div 2'!$H$20:$H$30</definedName>
    <definedName name="OSRRefH22_0x_0" localSheetId="47">'Div 3'!$H$164:$H$172</definedName>
    <definedName name="OSRRefH22_0x_0" localSheetId="73">'Div 4'!$H$34:$H$42</definedName>
    <definedName name="OSRRefH22_0x_0" localSheetId="96">'Div 5'!$H$21:$H$28</definedName>
    <definedName name="OSRRefH22_0x_0" localSheetId="64">'Div 6'!$H$56:$H$64</definedName>
    <definedName name="OSRRefH22_0x_0" localSheetId="2">Summary!$H$197:$H$205</definedName>
    <definedName name="OSRRefH22_10x_0" localSheetId="41">'201'!$H$52:$H$54</definedName>
    <definedName name="OSRRefH22_10x_0" localSheetId="42">'202'!$H$51</definedName>
    <definedName name="OSRRefH22_10x_0" localSheetId="43">'203'!$H$54:$H$55</definedName>
    <definedName name="OSRRefH22_10x_0" localSheetId="44">'204'!$H$57:$H$58</definedName>
    <definedName name="OSRRefH22_10x_0" localSheetId="48">'300'!$H$194:$H$195</definedName>
    <definedName name="OSRRefH22_10x_0" localSheetId="49">'300 &amp; 317'!$H$218:$H$219</definedName>
    <definedName name="OSRRefH22_10x_0" localSheetId="50">'301'!$H$55</definedName>
    <definedName name="OSRRefH22_10x_0" localSheetId="53">'307'!$H$101</definedName>
    <definedName name="OSRRefH22_10x_0" localSheetId="55">'308'!$H$97</definedName>
    <definedName name="OSRRefH22_10x_0" localSheetId="67">'309'!$H$57:$H$62</definedName>
    <definedName name="OSRRefH22_10x_0" localSheetId="66">'310'!$H$64</definedName>
    <definedName name="OSRRefH22_10x_0" localSheetId="74">'310 &amp; 491'!$H$75</definedName>
    <definedName name="OSRRefH22_10x_0" localSheetId="56">'311'!$H$96</definedName>
    <definedName name="OSRRefH22_10x_0" localSheetId="68">'313'!$H$61</definedName>
    <definedName name="OSRRefH22_10x_0" localSheetId="59">'315'!$H$87</definedName>
    <definedName name="OSRRefH22_10x_0" localSheetId="65">'317'!$H$88</definedName>
    <definedName name="OSRRefH22_10x_0" localSheetId="69">'321'!$H$62</definedName>
    <definedName name="OSRRefH22_10x_0" localSheetId="70">'322'!$H$56:$H$58</definedName>
    <definedName name="OSRRefH22_10x_0" localSheetId="71">'325'!$H$57:$H$59</definedName>
    <definedName name="OSRRefH22_10x_0" localSheetId="60">'326'!$H$87</definedName>
    <definedName name="OSRRefH22_10x_0" localSheetId="52">'330'!$H$109</definedName>
    <definedName name="OSRRefH22_10x_0" localSheetId="58">'331'!$H$103</definedName>
    <definedName name="OSRRefH22_10x_0" localSheetId="61">'332'!$H$72:$H$76</definedName>
    <definedName name="OSRRefH22_10x_0" localSheetId="76">'405'!$H$55:$H$56</definedName>
    <definedName name="OSRRefH22_10x_0" localSheetId="77">'406'!$H$57:$H$62</definedName>
    <definedName name="OSRRefH22_10x_0" localSheetId="78">'411'!$H$57:$H$61</definedName>
    <definedName name="OSRRefH22_10x_0" localSheetId="79">'412'!$H$56:$H$58</definedName>
    <definedName name="OSRRefH22_10x_0" localSheetId="80">'413'!$H$60</definedName>
    <definedName name="OSRRefH22_10x_0" localSheetId="81">'414'!$H$57</definedName>
    <definedName name="OSRRefH22_10x_0" localSheetId="82">'415'!$H$56</definedName>
    <definedName name="OSRRefH22_10x_0" localSheetId="83">'418'!$H$60:$H$62</definedName>
    <definedName name="OSRRefH22_10x_0" localSheetId="86">'424'!$H$54</definedName>
    <definedName name="OSRRefH22_10x_0" localSheetId="87">'425'!$H$58</definedName>
    <definedName name="OSRRefH22_10x_0" localSheetId="91">'433'!$H$59</definedName>
    <definedName name="OSRRefH22_10x_0" localSheetId="93">'444'!$H$58</definedName>
    <definedName name="OSRRefH22_10x_0" localSheetId="95">'450'!$H$58</definedName>
    <definedName name="OSRRefH22_10x_0" localSheetId="75">'491'!$H$69</definedName>
    <definedName name="OSRRefH22_10x_0" localSheetId="89">'492'!$H$62</definedName>
    <definedName name="OSRRefH22_10x_0" localSheetId="97">'501'!$H$53:$H$54</definedName>
    <definedName name="OSRRefH22_10x_0" localSheetId="39">'Div 2'!$H$57</definedName>
    <definedName name="OSRRefH22_10x_0" localSheetId="47">'Div 3'!$H$200:$H$201</definedName>
    <definedName name="OSRRefH22_10x_0" localSheetId="73">'Div 4'!$H$70:$H$71</definedName>
    <definedName name="OSRRefH22_10x_0" localSheetId="96">'Div 5'!$H$53:$H$54</definedName>
    <definedName name="OSRRefH22_10x_0" localSheetId="64">'Div 6'!$H$88</definedName>
    <definedName name="OSRRefH22_10x_0" localSheetId="2">Summary!$H$234:$H$235</definedName>
    <definedName name="OSRRefH22_11x_0" localSheetId="41">'201'!$H$56</definedName>
    <definedName name="OSRRefH22_11x_0" localSheetId="42">'202'!$H$53:$H$54</definedName>
    <definedName name="OSRRefH22_11x_0" localSheetId="43">'203'!$H$57</definedName>
    <definedName name="OSRRefH22_11x_0" localSheetId="48">'300'!$H$197</definedName>
    <definedName name="OSRRefH22_11x_0" localSheetId="49">'300 &amp; 317'!$H$221</definedName>
    <definedName name="OSRRefH22_11x_0" localSheetId="50">'301'!$H$57</definedName>
    <definedName name="OSRRefH22_11x_0" localSheetId="53">'307'!$H$103</definedName>
    <definedName name="OSRRefH22_11x_0" localSheetId="55">'308'!$H$99:$H$101</definedName>
    <definedName name="OSRRefH22_11x_0" localSheetId="67">'309'!$H$64</definedName>
    <definedName name="OSRRefH22_11x_0" localSheetId="66">'310'!$H$66</definedName>
    <definedName name="OSRRefH22_11x_0" localSheetId="74">'310 &amp; 491'!$H$77:$H$78</definedName>
    <definedName name="OSRRefH22_11x_0" localSheetId="56">'311'!$H$98:$H$100</definedName>
    <definedName name="OSRRefH22_11x_0" localSheetId="68">'313'!$H$63:$H$68</definedName>
    <definedName name="OSRRefH22_11x_0" localSheetId="59">'315'!$H$89:$H$92</definedName>
    <definedName name="OSRRefH22_11x_0" localSheetId="69">'321'!$H$64</definedName>
    <definedName name="OSRRefH22_11x_0" localSheetId="70">'322'!$H$60:$H$65</definedName>
    <definedName name="OSRRefH22_11x_0" localSheetId="71">'325'!$H$61:$H$63</definedName>
    <definedName name="OSRRefH22_11x_0" localSheetId="60">'326'!$H$89</definedName>
    <definedName name="OSRRefH22_11x_0" localSheetId="52">'330'!$H$111:$H$112</definedName>
    <definedName name="OSRRefH22_11x_0" localSheetId="58">'331'!$H$105</definedName>
    <definedName name="OSRRefH22_11x_0" localSheetId="61">'332'!$H$78</definedName>
    <definedName name="OSRRefH22_11x_0" localSheetId="76">'405'!$H$58</definedName>
    <definedName name="OSRRefH22_11x_0" localSheetId="77">'406'!$H$64</definedName>
    <definedName name="OSRRefH22_11x_0" localSheetId="78">'411'!$H$63:$H$69</definedName>
    <definedName name="OSRRefH22_11x_0" localSheetId="79">'412'!$H$60:$H$66</definedName>
    <definedName name="OSRRefH22_11x_0" localSheetId="81">'414'!$H$59</definedName>
    <definedName name="OSRRefH22_11x_0" localSheetId="82">'415'!$H$58:$H$60</definedName>
    <definedName name="OSRRefH22_11x_0" localSheetId="83">'418'!$H$64</definedName>
    <definedName name="OSRRefH22_11x_0" localSheetId="87">'425'!$H$60:$H$61</definedName>
    <definedName name="OSRRefH22_11x_0" localSheetId="91">'433'!$H$61:$H$63</definedName>
    <definedName name="OSRRefH22_11x_0" localSheetId="93">'444'!$H$60:$H$61</definedName>
    <definedName name="OSRRefH22_11x_0" localSheetId="95">'450'!$H$60:$H$61</definedName>
    <definedName name="OSRRefH22_11x_0" localSheetId="75">'491'!$H$71</definedName>
    <definedName name="OSRRefH22_11x_0" localSheetId="89">'492'!$H$64</definedName>
    <definedName name="OSRRefH22_11x_0" localSheetId="97">'501'!$H$56:$H$59</definedName>
    <definedName name="OSRRefH22_11x_0" localSheetId="39">'Div 2'!$H$59</definedName>
    <definedName name="OSRRefH22_11x_0" localSheetId="47">'Div 3'!$H$203</definedName>
    <definedName name="OSRRefH22_11x_0" localSheetId="73">'Div 4'!$H$73</definedName>
    <definedName name="OSRRefH22_11x_0" localSheetId="96">'Div 5'!$H$56:$H$59</definedName>
    <definedName name="OSRRefH22_11x_0" localSheetId="2">Summary!$H$237:$H$238</definedName>
    <definedName name="OSRRefH22_12x_0" localSheetId="41">'201'!$H$58:$H$60</definedName>
    <definedName name="OSRRefH22_12x_0" localSheetId="42">'202'!$H$56</definedName>
    <definedName name="OSRRefH22_12x_0" localSheetId="43">'203'!$H$59:$H$61</definedName>
    <definedName name="OSRRefH22_12x_0" localSheetId="48">'300'!$H$199</definedName>
    <definedName name="OSRRefH22_12x_0" localSheetId="49">'300 &amp; 317'!$H$223</definedName>
    <definedName name="OSRRefH22_12x_0" localSheetId="50">'301'!$H$59</definedName>
    <definedName name="OSRRefH22_12x_0" localSheetId="55">'308'!$H$103:$H$104</definedName>
    <definedName name="OSRRefH22_12x_0" localSheetId="66">'310'!$H$68</definedName>
    <definedName name="OSRRefH22_12x_0" localSheetId="74">'310 &amp; 491'!$H$80</definedName>
    <definedName name="OSRRefH22_12x_0" localSheetId="56">'311'!$H$102:$H$103</definedName>
    <definedName name="OSRRefH22_12x_0" localSheetId="68">'313'!$H$70</definedName>
    <definedName name="OSRRefH22_12x_0" localSheetId="59">'315'!$H$94</definedName>
    <definedName name="OSRRefH22_12x_0" localSheetId="70">'322'!$H$67</definedName>
    <definedName name="OSRRefH22_12x_0" localSheetId="71">'325'!$H$65</definedName>
    <definedName name="OSRRefH22_12x_0" localSheetId="60">'326'!$H$91</definedName>
    <definedName name="OSRRefH22_12x_0" localSheetId="52">'330'!$H$114</definedName>
    <definedName name="OSRRefH22_12x_0" localSheetId="58">'331'!$H$107</definedName>
    <definedName name="OSRRefH22_12x_0" localSheetId="61">'332'!$H$80</definedName>
    <definedName name="OSRRefH22_12x_0" localSheetId="76">'405'!$H$60:$H$62</definedName>
    <definedName name="OSRRefH22_12x_0" localSheetId="77">'406'!$H$66</definedName>
    <definedName name="OSRRefH22_12x_0" localSheetId="78">'411'!$H$71</definedName>
    <definedName name="OSRRefH22_12x_0" localSheetId="79">'412'!$H$68</definedName>
    <definedName name="OSRRefH22_12x_0" localSheetId="81">'414'!$H$61:$H$67</definedName>
    <definedName name="OSRRefH22_12x_0" localSheetId="82">'415'!$H$62:$H$66</definedName>
    <definedName name="OSRRefH22_12x_0" localSheetId="83">'418'!$H$66:$H$72</definedName>
    <definedName name="OSRRefH22_12x_0" localSheetId="87">'425'!$H$63:$H$68</definedName>
    <definedName name="OSRRefH22_12x_0" localSheetId="91">'433'!$H$65:$H$70</definedName>
    <definedName name="OSRRefH22_12x_0" localSheetId="93">'444'!$H$63:$H$65</definedName>
    <definedName name="OSRRefH22_12x_0" localSheetId="95">'450'!$H$63:$H$65</definedName>
    <definedName name="OSRRefH22_12x_0" localSheetId="75">'491'!$H$73</definedName>
    <definedName name="OSRRefH22_12x_0" localSheetId="89">'492'!$H$66:$H$68</definedName>
    <definedName name="OSRRefH22_12x_0" localSheetId="97">'501'!$H$61</definedName>
    <definedName name="OSRRefH22_12x_0" localSheetId="39">'Div 2'!$H$61:$H$64</definedName>
    <definedName name="OSRRefH22_12x_0" localSheetId="47">'Div 3'!$H$205</definedName>
    <definedName name="OSRRefH22_12x_0" localSheetId="73">'Div 4'!$H$75</definedName>
    <definedName name="OSRRefH22_12x_0" localSheetId="96">'Div 5'!$H$61</definedName>
    <definedName name="OSRRefH22_12x_0" localSheetId="2">Summary!$H$240</definedName>
    <definedName name="OSRRefH22_13x_0" localSheetId="41">'201'!$H$62</definedName>
    <definedName name="OSRRefH22_13x_0" localSheetId="42">'202'!$H$58</definedName>
    <definedName name="OSRRefH22_13x_0" localSheetId="43">'203'!$H$63</definedName>
    <definedName name="OSRRefH22_13x_0" localSheetId="48">'300'!$H$201</definedName>
    <definedName name="OSRRefH22_13x_0" localSheetId="49">'300 &amp; 317'!$H$225</definedName>
    <definedName name="OSRRefH22_13x_0" localSheetId="50">'301'!$H$61</definedName>
    <definedName name="OSRRefH22_13x_0" localSheetId="55">'308'!$H$106</definedName>
    <definedName name="OSRRefH22_13x_0" localSheetId="66">'310'!$H$70</definedName>
    <definedName name="OSRRefH22_13x_0" localSheetId="74">'310 &amp; 491'!$H$82</definedName>
    <definedName name="OSRRefH22_13x_0" localSheetId="56">'311'!$H$105</definedName>
    <definedName name="OSRRefH22_13x_0" localSheetId="68">'313'!$H$72</definedName>
    <definedName name="OSRRefH22_13x_0" localSheetId="59">'315'!$H$96</definedName>
    <definedName name="OSRRefH22_13x_0" localSheetId="70">'322'!$H$69</definedName>
    <definedName name="OSRRefH22_13x_0" localSheetId="71">'325'!$H$67:$H$72</definedName>
    <definedName name="OSRRefH22_13x_0" localSheetId="60">'326'!$H$93:$H$94</definedName>
    <definedName name="OSRRefH22_13x_0" localSheetId="58">'331'!$H$109</definedName>
    <definedName name="OSRRefH22_13x_0" localSheetId="76">'405'!$H$64</definedName>
    <definedName name="OSRRefH22_13x_0" localSheetId="78">'411'!$H$73</definedName>
    <definedName name="OSRRefH22_13x_0" localSheetId="79">'412'!$H$70</definedName>
    <definedName name="OSRRefH22_13x_0" localSheetId="81">'414'!$H$69</definedName>
    <definedName name="OSRRefH22_13x_0" localSheetId="82">'415'!$H$68</definedName>
    <definedName name="OSRRefH22_13x_0" localSheetId="83">'418'!$H$74</definedName>
    <definedName name="OSRRefH22_13x_0" localSheetId="87">'425'!$H$70</definedName>
    <definedName name="OSRRefH22_13x_0" localSheetId="91">'433'!$H$72</definedName>
    <definedName name="OSRRefH22_13x_0" localSheetId="93">'444'!$H$67:$H$73</definedName>
    <definedName name="OSRRefH22_13x_0" localSheetId="95">'450'!$H$67:$H$72</definedName>
    <definedName name="OSRRefH22_13x_0" localSheetId="75">'491'!$H$75</definedName>
    <definedName name="OSRRefH22_13x_0" localSheetId="89">'492'!$H$70:$H$72</definedName>
    <definedName name="OSRRefH22_13x_0" localSheetId="39">'Div 2'!$H$66:$H$68</definedName>
    <definedName name="OSRRefH22_13x_0" localSheetId="47">'Div 3'!$H$207</definedName>
    <definedName name="OSRRefH22_13x_0" localSheetId="73">'Div 4'!$H$77</definedName>
    <definedName name="OSRRefH22_13x_0" localSheetId="2">Summary!$H$242</definedName>
    <definedName name="OSRRefH22_14x_0" localSheetId="41">'201'!$H$64</definedName>
    <definedName name="OSRRefH22_14x_0" localSheetId="43">'203'!$H$65</definedName>
    <definedName name="OSRRefH22_14x_0" localSheetId="48">'300'!$H$203</definedName>
    <definedName name="OSRRefH22_14x_0" localSheetId="49">'300 &amp; 317'!$H$227</definedName>
    <definedName name="OSRRefH22_14x_0" localSheetId="50">'301'!$H$63:$H$65</definedName>
    <definedName name="OSRRefH22_14x_0" localSheetId="55">'308'!$H$108</definedName>
    <definedName name="OSRRefH22_14x_0" localSheetId="66">'310'!$H$72:$H$74</definedName>
    <definedName name="OSRRefH22_14x_0" localSheetId="74">'310 &amp; 491'!$H$84</definedName>
    <definedName name="OSRRefH22_14x_0" localSheetId="56">'311'!$H$107</definedName>
    <definedName name="OSRRefH22_14x_0" localSheetId="59">'315'!$H$98</definedName>
    <definedName name="OSRRefH22_14x_0" localSheetId="71">'325'!$H$74</definedName>
    <definedName name="OSRRefH22_14x_0" localSheetId="60">'326'!$H$96:$H$98</definedName>
    <definedName name="OSRRefH22_14x_0" localSheetId="58">'331'!$H$111:$H$113</definedName>
    <definedName name="OSRRefH22_14x_0" localSheetId="76">'405'!$H$66:$H$72</definedName>
    <definedName name="OSRRefH22_14x_0" localSheetId="78">'411'!$H$75:$H$77</definedName>
    <definedName name="OSRRefH22_14x_0" localSheetId="81">'414'!$H$71</definedName>
    <definedName name="OSRRefH22_14x_0" localSheetId="82">'415'!$H$70:$H$76</definedName>
    <definedName name="OSRRefH22_14x_0" localSheetId="83">'418'!$H$76</definedName>
    <definedName name="OSRRefH22_14x_0" localSheetId="87">'425'!$H$72</definedName>
    <definedName name="OSRRefH22_14x_0" localSheetId="91">'433'!$H$74</definedName>
    <definedName name="OSRRefH22_14x_0" localSheetId="93">'444'!$H$75</definedName>
    <definedName name="OSRRefH22_14x_0" localSheetId="95">'450'!$H$74</definedName>
    <definedName name="OSRRefH22_14x_0" localSheetId="75">'491'!$H$77:$H$79</definedName>
    <definedName name="OSRRefH22_14x_0" localSheetId="89">'492'!$H$74:$H$80</definedName>
    <definedName name="OSRRefH22_14x_0" localSheetId="39">'Div 2'!$H$70:$H$71</definedName>
    <definedName name="OSRRefH22_14x_0" localSheetId="47">'Div 3'!$H$209</definedName>
    <definedName name="OSRRefH22_14x_0" localSheetId="73">'Div 4'!$H$79</definedName>
    <definedName name="OSRRefH22_14x_0" localSheetId="2">Summary!$H$244</definedName>
    <definedName name="OSRRefH22_15x_0" localSheetId="41">'201'!$H$66:$H$67</definedName>
    <definedName name="OSRRefH22_15x_0" localSheetId="43">'203'!$H$67</definedName>
    <definedName name="OSRRefH22_15x_0" localSheetId="48">'300'!$H$205</definedName>
    <definedName name="OSRRefH22_15x_0" localSheetId="49">'300 &amp; 317'!$H$229</definedName>
    <definedName name="OSRRefH22_15x_0" localSheetId="50">'301'!$H$67:$H$69</definedName>
    <definedName name="OSRRefH22_15x_0" localSheetId="66">'310'!$H$76</definedName>
    <definedName name="OSRRefH22_15x_0" localSheetId="74">'310 &amp; 491'!$H$86</definedName>
    <definedName name="OSRRefH22_15x_0" localSheetId="71">'325'!$H$76</definedName>
    <definedName name="OSRRefH22_15x_0" localSheetId="60">'326'!$H$100</definedName>
    <definedName name="OSRRefH22_15x_0" localSheetId="58">'331'!$H$115:$H$116</definedName>
    <definedName name="OSRRefH22_15x_0" localSheetId="76">'405'!$H$74</definedName>
    <definedName name="OSRRefH22_15x_0" localSheetId="78">'411'!$H$79</definedName>
    <definedName name="OSRRefH22_15x_0" localSheetId="82">'415'!$H$78</definedName>
    <definedName name="OSRRefH22_15x_0" localSheetId="87">'425'!$H$74</definedName>
    <definedName name="OSRRefH22_15x_0" localSheetId="91">'433'!$H$76:$H$77</definedName>
    <definedName name="OSRRefH22_15x_0" localSheetId="93">'444'!$H$77</definedName>
    <definedName name="OSRRefH22_15x_0" localSheetId="95">'450'!$H$76</definedName>
    <definedName name="OSRRefH22_15x_0" localSheetId="75">'491'!$H$81:$H$82</definedName>
    <definedName name="OSRRefH22_15x_0" localSheetId="89">'492'!$H$82</definedName>
    <definedName name="OSRRefH22_15x_0" localSheetId="39">'Div 2'!$H$73</definedName>
    <definedName name="OSRRefH22_15x_0" localSheetId="47">'Div 3'!$H$211</definedName>
    <definedName name="OSRRefH22_15x_0" localSheetId="73">'Div 4'!$H$81</definedName>
    <definedName name="OSRRefH22_15x_0" localSheetId="2">Summary!$H$246</definedName>
    <definedName name="OSRRefH22_16x_0" localSheetId="48">'300'!$H$207:$H$209</definedName>
    <definedName name="OSRRefH22_16x_0" localSheetId="49">'300 &amp; 317'!$H$231:$H$233</definedName>
    <definedName name="OSRRefH22_16x_0" localSheetId="50">'301'!$H$71</definedName>
    <definedName name="OSRRefH22_16x_0" localSheetId="66">'310'!$H$78:$H$81</definedName>
    <definedName name="OSRRefH22_16x_0" localSheetId="74">'310 &amp; 491'!$H$88:$H$90</definedName>
    <definedName name="OSRRefH22_16x_0" localSheetId="60">'326'!$H$102:$H$105</definedName>
    <definedName name="OSRRefH22_16x_0" localSheetId="58">'331'!$H$118:$H$120</definedName>
    <definedName name="OSRRefH22_16x_0" localSheetId="76">'405'!$H$76</definedName>
    <definedName name="OSRRefH22_16x_0" localSheetId="82">'415'!$H$80</definedName>
    <definedName name="OSRRefH22_16x_0" localSheetId="93">'444'!$H$79</definedName>
    <definedName name="OSRRefH22_16x_0" localSheetId="95">'450'!$H$78:$H$79</definedName>
    <definedName name="OSRRefH22_16x_0" localSheetId="75">'491'!$H$84:$H$88</definedName>
    <definedName name="OSRRefH22_16x_0" localSheetId="89">'492'!$H$84</definedName>
    <definedName name="OSRRefH22_16x_0" localSheetId="39">'Div 2'!$H$75:$H$78</definedName>
    <definedName name="OSRRefH22_16x_0" localSheetId="47">'Div 3'!$H$213</definedName>
    <definedName name="OSRRefH22_16x_0" localSheetId="73">'Div 4'!$H$83:$H$85</definedName>
    <definedName name="OSRRefH22_16x_0" localSheetId="2">Summary!$H$248</definedName>
    <definedName name="OSRRefH22_17x_0" localSheetId="48">'300'!$H$211:$H$213</definedName>
    <definedName name="OSRRefH22_17x_0" localSheetId="49">'300 &amp; 317'!$H$235:$H$237</definedName>
    <definedName name="OSRRefH22_17x_0" localSheetId="50">'301'!$H$73:$H$77</definedName>
    <definedName name="OSRRefH22_17x_0" localSheetId="66">'310'!$H$83:$H$84</definedName>
    <definedName name="OSRRefH22_17x_0" localSheetId="74">'310 &amp; 491'!$H$92:$H$93</definedName>
    <definedName name="OSRRefH22_17x_0" localSheetId="60">'326'!$H$107</definedName>
    <definedName name="OSRRefH22_17x_0" localSheetId="58">'331'!$H$122</definedName>
    <definedName name="OSRRefH22_17x_0" localSheetId="76">'405'!$H$78</definedName>
    <definedName name="OSRRefH22_17x_0" localSheetId="82">'415'!$H$82</definedName>
    <definedName name="OSRRefH22_17x_0" localSheetId="75">'491'!$H$90</definedName>
    <definedName name="OSRRefH22_17x_0" localSheetId="89">'492'!$H$86:$H$87</definedName>
    <definedName name="OSRRefH22_17x_0" localSheetId="39">'Div 2'!$H$80:$H$81</definedName>
    <definedName name="OSRRefH22_17x_0" localSheetId="47">'Div 3'!$H$215:$H$217</definedName>
    <definedName name="OSRRefH22_17x_0" localSheetId="73">'Div 4'!$H$87:$H$88</definedName>
    <definedName name="OSRRefH22_17x_0" localSheetId="2">Summary!$H$250</definedName>
    <definedName name="OSRRefH22_18x_0" localSheetId="48">'300'!$H$215:$H$218</definedName>
    <definedName name="OSRRefH22_18x_0" localSheetId="49">'300 &amp; 317'!$H$239:$H$242</definedName>
    <definedName name="OSRRefH22_18x_0" localSheetId="50">'301'!$H$79</definedName>
    <definedName name="OSRRefH22_18x_0" localSheetId="66">'310'!$H$86:$H$92</definedName>
    <definedName name="OSRRefH22_18x_0" localSheetId="74">'310 &amp; 491'!$H$95:$H$99</definedName>
    <definedName name="OSRRefH22_18x_0" localSheetId="60">'326'!$H$109</definedName>
    <definedName name="OSRRefH22_18x_0" localSheetId="58">'331'!$H$124:$H$128</definedName>
    <definedName name="OSRRefH22_18x_0" localSheetId="75">'491'!$H$92:$H$99</definedName>
    <definedName name="OSRRefH22_18x_0" localSheetId="39">'Div 2'!$H$83</definedName>
    <definedName name="OSRRefH22_18x_0" localSheetId="47">'Div 3'!$H$219:$H$221</definedName>
    <definedName name="OSRRefH22_18x_0" localSheetId="73">'Div 4'!$H$90:$H$94</definedName>
    <definedName name="OSRRefH22_18x_0" localSheetId="2">Summary!$H$252:$H$254</definedName>
    <definedName name="OSRRefH22_19x_0" localSheetId="48">'300'!$H$220:$H$221</definedName>
    <definedName name="OSRRefH22_19x_0" localSheetId="49">'300 &amp; 317'!$H$244:$H$245</definedName>
    <definedName name="OSRRefH22_19x_0" localSheetId="50">'301'!$H$81</definedName>
    <definedName name="OSRRefH22_19x_0" localSheetId="66">'310'!$H$94</definedName>
    <definedName name="OSRRefH22_19x_0" localSheetId="74">'310 &amp; 491'!$H$101:$H$102</definedName>
    <definedName name="OSRRefH22_19x_0" localSheetId="60">'326'!$H$111</definedName>
    <definedName name="OSRRefH22_19x_0" localSheetId="58">'331'!$H$130</definedName>
    <definedName name="OSRRefH22_19x_0" localSheetId="75">'491'!$H$101</definedName>
    <definedName name="OSRRefH22_19x_0" localSheetId="39">'Div 2'!$H$85:$H$86</definedName>
    <definedName name="OSRRefH22_19x_0" localSheetId="47">'Div 3'!$H$223:$H$227</definedName>
    <definedName name="OSRRefH22_19x_0" localSheetId="73">'Div 4'!$H$96</definedName>
    <definedName name="OSRRefH22_19x_0" localSheetId="2">Summary!$H$256:$H$258</definedName>
    <definedName name="OSRRefH22_1x_0" localSheetId="40">'200'!$H$22</definedName>
    <definedName name="OSRRefH22_1x_0" localSheetId="41">'201'!$H$30:$H$32</definedName>
    <definedName name="OSRRefH22_1x_0" localSheetId="42">'202'!$H$29:$H$32</definedName>
    <definedName name="OSRRefH22_1x_0" localSheetId="43">'203'!$H$31:$H$34</definedName>
    <definedName name="OSRRefH22_1x_0" localSheetId="44">'204'!$H$30:$H$34</definedName>
    <definedName name="OSRRefH22_1x_0" localSheetId="45">'205'!$H$29</definedName>
    <definedName name="OSRRefH22_1x_0" localSheetId="46">'206'!$H$29:$H$34</definedName>
    <definedName name="OSRRefH22_1x_0" localSheetId="48">'300'!$H$168:$H$174</definedName>
    <definedName name="OSRRefH22_1x_0" localSheetId="49">'300 &amp; 317'!$H$192:$H$198</definedName>
    <definedName name="OSRRefH22_1x_0" localSheetId="50">'301'!$H$29:$H$35</definedName>
    <definedName name="OSRRefH22_1x_0" localSheetId="51">'306'!$H$30:$H$34</definedName>
    <definedName name="OSRRefH22_1x_0" localSheetId="53">'307'!$H$78:$H$80</definedName>
    <definedName name="OSRRefH22_1x_0" localSheetId="55">'308'!$H$72:$H$76</definedName>
    <definedName name="OSRRefH22_1x_0" localSheetId="67">'309'!$H$33:$H$37</definedName>
    <definedName name="OSRRefH22_1x_0" localSheetId="66">'310'!$H$40:$H$45</definedName>
    <definedName name="OSRRefH22_1x_0" localSheetId="74">'310 &amp; 491'!$H$49:$H$55</definedName>
    <definedName name="OSRRefH22_1x_0" localSheetId="56">'311'!$H$71:$H$75</definedName>
    <definedName name="OSRRefH22_1x_0" localSheetId="68">'313'!$H$37:$H$41</definedName>
    <definedName name="OSRRefH22_1x_0" localSheetId="54">'314'!$H$63:$H$65</definedName>
    <definedName name="OSRRefH22_1x_0" localSheetId="59">'315'!$H$63:$H$67</definedName>
    <definedName name="OSRRefH22_1x_0" localSheetId="62">'316'!$H$41:$H$44</definedName>
    <definedName name="OSRRefH22_1x_0" localSheetId="65">'317'!$H$66:$H$69</definedName>
    <definedName name="OSRRefH22_1x_0" localSheetId="63">'320'!$H$37:$H$39</definedName>
    <definedName name="OSRRefH22_1x_0" localSheetId="69">'321'!$H$32:$H$36</definedName>
    <definedName name="OSRRefH22_1x_0" localSheetId="70">'322'!$H$33:$H$37</definedName>
    <definedName name="OSRRefH22_1x_0" localSheetId="71">'325'!$H$33:$H$38</definedName>
    <definedName name="OSRRefH22_1x_0" localSheetId="60">'326'!$H$66:$H$69</definedName>
    <definedName name="OSRRefH22_1x_0" localSheetId="72">'327'!$H$24</definedName>
    <definedName name="OSRRefH22_1x_0" localSheetId="52">'330'!$H$86:$H$88</definedName>
    <definedName name="OSRRefH22_1x_0" localSheetId="58">'331'!$H$80:$H$84</definedName>
    <definedName name="OSRRefH22_1x_0" localSheetId="61">'332'!$H$50:$H$53</definedName>
    <definedName name="OSRRefH22_1x_0" localSheetId="76">'405'!$H$33:$H$36</definedName>
    <definedName name="OSRRefH22_1x_0" localSheetId="77">'406'!$H$33:$H$37</definedName>
    <definedName name="OSRRefH22_1x_0" localSheetId="78">'411'!$H$30:$H$35</definedName>
    <definedName name="OSRRefH22_1x_0" localSheetId="79">'412'!$H$32:$H$37</definedName>
    <definedName name="OSRRefH22_1x_0" localSheetId="80">'413'!$H$33:$H$37</definedName>
    <definedName name="OSRRefH22_1x_0" localSheetId="81">'414'!$H$33:$H$38</definedName>
    <definedName name="OSRRefH22_1x_0" localSheetId="82">'415'!$H$33:$H$37</definedName>
    <definedName name="OSRRefH22_1x_0" localSheetId="83">'418'!$H$33:$H$38</definedName>
    <definedName name="OSRRefH22_1x_0" localSheetId="84">'420'!$H$23</definedName>
    <definedName name="OSRRefH22_1x_0" localSheetId="85">'423'!$H$30</definedName>
    <definedName name="OSRRefH22_1x_0" localSheetId="86">'424'!$H$28:$H$31</definedName>
    <definedName name="OSRRefH22_1x_0" localSheetId="87">'425'!$H$35:$H$39</definedName>
    <definedName name="OSRRefH22_1x_0" localSheetId="90">'430'!$H$29</definedName>
    <definedName name="OSRRefH22_1x_0" localSheetId="91">'433'!$H$36:$H$41</definedName>
    <definedName name="OSRRefH22_1x_0" localSheetId="92">'435'!$H$29:$H$30</definedName>
    <definedName name="OSRRefH22_1x_0" localSheetId="93">'444'!$H$35:$H$40</definedName>
    <definedName name="OSRRefH22_1x_0" localSheetId="95">'450'!$H$35:$H$40</definedName>
    <definedName name="OSRRefH22_1x_0" localSheetId="88">'455'!$H$28:$H$29</definedName>
    <definedName name="OSRRefH22_1x_0" localSheetId="75">'491'!$H$42:$H$48</definedName>
    <definedName name="OSRRefH22_1x_0" localSheetId="89">'492'!$H$38:$H$44</definedName>
    <definedName name="OSRRefH22_1x_0" localSheetId="97">'501'!$H$30:$H$35</definedName>
    <definedName name="OSRRefH22_1x_0" localSheetId="39">'Div 2'!$H$32:$H$38</definedName>
    <definedName name="OSRRefH22_1x_0" localSheetId="47">'Div 3'!$H$174:$H$180</definedName>
    <definedName name="OSRRefH22_1x_0" localSheetId="73">'Div 4'!$H$44:$H$50</definedName>
    <definedName name="OSRRefH22_1x_0" localSheetId="96">'Div 5'!$H$30:$H$35</definedName>
    <definedName name="OSRRefH22_1x_0" localSheetId="64">'Div 6'!$H$66:$H$69</definedName>
    <definedName name="OSRRefH22_1x_0" localSheetId="2">Summary!$H$207:$H$213</definedName>
    <definedName name="OSRRefH22_20x_0" localSheetId="48">'300'!$H$223:$H$228</definedName>
    <definedName name="OSRRefH22_20x_0" localSheetId="49">'300 &amp; 317'!$H$247:$H$252</definedName>
    <definedName name="OSRRefH22_20x_0" localSheetId="50">'301'!$H$83:$H$84</definedName>
    <definedName name="OSRRefH22_20x_0" localSheetId="66">'310'!$H$96</definedName>
    <definedName name="OSRRefH22_20x_0" localSheetId="74">'310 &amp; 491'!$H$104:$H$111</definedName>
    <definedName name="OSRRefH22_20x_0" localSheetId="58">'331'!$H$132</definedName>
    <definedName name="OSRRefH22_20x_0" localSheetId="75">'491'!$H$103</definedName>
    <definedName name="OSRRefH22_20x_0" localSheetId="47">'Div 3'!$H$229:$H$230</definedName>
    <definedName name="OSRRefH22_20x_0" localSheetId="73">'Div 4'!$H$98:$H$105</definedName>
    <definedName name="OSRRefH22_20x_0" localSheetId="2">Summary!$H$260:$H$264</definedName>
    <definedName name="OSRRefH22_21x_0" localSheetId="48">'300'!$H$230:$H$231</definedName>
    <definedName name="OSRRefH22_21x_0" localSheetId="49">'300 &amp; 317'!$H$254:$H$255</definedName>
    <definedName name="OSRRefH22_21x_0" localSheetId="50">'301'!$H$86</definedName>
    <definedName name="OSRRefH22_21x_0" localSheetId="66">'310'!$H$98</definedName>
    <definedName name="OSRRefH22_21x_0" localSheetId="74">'310 &amp; 491'!$H$113</definedName>
    <definedName name="OSRRefH22_21x_0" localSheetId="58">'331'!$H$134</definedName>
    <definedName name="OSRRefH22_21x_0" localSheetId="75">'491'!$H$105:$H$107</definedName>
    <definedName name="OSRRefH22_21x_0" localSheetId="47">'Div 3'!$H$232:$H$238</definedName>
    <definedName name="OSRRefH22_21x_0" localSheetId="73">'Div 4'!$H$107</definedName>
    <definedName name="OSRRefH22_21x_0" localSheetId="2">Summary!$H$266:$H$267</definedName>
    <definedName name="OSRRefH22_22x_0" localSheetId="48">'300'!$H$233</definedName>
    <definedName name="OSRRefH22_22x_0" localSheetId="49">'300 &amp; 317'!$H$257</definedName>
    <definedName name="OSRRefH22_22x_0" localSheetId="74">'310 &amp; 491'!$H$115</definedName>
    <definedName name="OSRRefH22_22x_0" localSheetId="58">'331'!$H$136</definedName>
    <definedName name="OSRRefH22_22x_0" localSheetId="75">'491'!$H$109</definedName>
    <definedName name="OSRRefH22_22x_0" localSheetId="47">'Div 3'!$H$240:$H$241</definedName>
    <definedName name="OSRRefH22_22x_0" localSheetId="73">'Div 4'!$H$109</definedName>
    <definedName name="OSRRefH22_22x_0" localSheetId="2">Summary!$H$269:$H$276</definedName>
    <definedName name="OSRRefH22_23x_0" localSheetId="48">'300'!$H$235:$H$237</definedName>
    <definedName name="OSRRefH22_23x_0" localSheetId="49">'300 &amp; 317'!$H$259:$H$261</definedName>
    <definedName name="OSRRefH22_23x_0" localSheetId="74">'310 &amp; 491'!$H$117:$H$119</definedName>
    <definedName name="OSRRefH22_23x_0" localSheetId="47">'Div 3'!$H$243</definedName>
    <definedName name="OSRRefH22_23x_0" localSheetId="73">'Div 4'!$H$111:$H$113</definedName>
    <definedName name="OSRRefH22_23x_0" localSheetId="2">Summary!$H$278:$H$279</definedName>
    <definedName name="OSRRefH22_24x_0" localSheetId="48">'300'!$H$239</definedName>
    <definedName name="OSRRefH22_24x_0" localSheetId="49">'300 &amp; 317'!$H$263</definedName>
    <definedName name="OSRRefH22_24x_0" localSheetId="74">'310 &amp; 491'!$H$121</definedName>
    <definedName name="OSRRefH22_24x_0" localSheetId="47">'Div 3'!$H$245:$H$247</definedName>
    <definedName name="OSRRefH22_24x_0" localSheetId="73">'Div 4'!$H$115</definedName>
    <definedName name="OSRRefH22_24x_0" localSheetId="2">Summary!$H$281</definedName>
    <definedName name="OSRRefH22_25x_0" localSheetId="47">'Div 3'!$H$249</definedName>
    <definedName name="OSRRefH22_25x_0" localSheetId="2">Summary!$H$283:$H$285</definedName>
    <definedName name="OSRRefH22_26x_0" localSheetId="2">Summary!$H$287</definedName>
    <definedName name="OSRRefH22_2x_0" localSheetId="40">'200'!$H$24</definedName>
    <definedName name="OSRRefH22_2x_0" localSheetId="41">'201'!$H$34</definedName>
    <definedName name="OSRRefH22_2x_0" localSheetId="42">'202'!$H$34</definedName>
    <definedName name="OSRRefH22_2x_0" localSheetId="43">'203'!$H$36</definedName>
    <definedName name="OSRRefH22_2x_0" localSheetId="44">'204'!$H$36</definedName>
    <definedName name="OSRRefH22_2x_0" localSheetId="45">'205'!$H$31</definedName>
    <definedName name="OSRRefH22_2x_0" localSheetId="46">'206'!$H$36</definedName>
    <definedName name="OSRRefH22_2x_0" localSheetId="48">'300'!$H$176</definedName>
    <definedName name="OSRRefH22_2x_0" localSheetId="49">'300 &amp; 317'!$H$200</definedName>
    <definedName name="OSRRefH22_2x_0" localSheetId="50">'301'!$H$37</definedName>
    <definedName name="OSRRefH22_2x_0" localSheetId="51">'306'!$H$36</definedName>
    <definedName name="OSRRefH22_2x_0" localSheetId="53">'307'!$H$82</definedName>
    <definedName name="OSRRefH22_2x_0" localSheetId="55">'308'!$H$78</definedName>
    <definedName name="OSRRefH22_2x_0" localSheetId="67">'309'!$H$39</definedName>
    <definedName name="OSRRefH22_2x_0" localSheetId="66">'310'!$H$47</definedName>
    <definedName name="OSRRefH22_2x_0" localSheetId="74">'310 &amp; 491'!$H$57</definedName>
    <definedName name="OSRRefH22_2x_0" localSheetId="56">'311'!$H$77</definedName>
    <definedName name="OSRRefH22_2x_0" localSheetId="68">'313'!$H$43</definedName>
    <definedName name="OSRRefH22_2x_0" localSheetId="54">'314'!$H$67</definedName>
    <definedName name="OSRRefH22_2x_0" localSheetId="59">'315'!$H$69</definedName>
    <definedName name="OSRRefH22_2x_0" localSheetId="62">'316'!$H$46</definedName>
    <definedName name="OSRRefH22_2x_0" localSheetId="65">'317'!$H$71</definedName>
    <definedName name="OSRRefH22_2x_0" localSheetId="63">'320'!$H$41</definedName>
    <definedName name="OSRRefH22_2x_0" localSheetId="69">'321'!$H$38</definedName>
    <definedName name="OSRRefH22_2x_0" localSheetId="70">'322'!$H$39</definedName>
    <definedName name="OSRRefH22_2x_0" localSheetId="71">'325'!$H$40</definedName>
    <definedName name="OSRRefH22_2x_0" localSheetId="60">'326'!$H$71</definedName>
    <definedName name="OSRRefH22_2x_0" localSheetId="52">'330'!$H$90</definedName>
    <definedName name="OSRRefH22_2x_0" localSheetId="58">'331'!$H$86</definedName>
    <definedName name="OSRRefH22_2x_0" localSheetId="61">'332'!$H$55</definedName>
    <definedName name="OSRRefH22_2x_0" localSheetId="76">'405'!$H$38</definedName>
    <definedName name="OSRRefH22_2x_0" localSheetId="77">'406'!$H$39</definedName>
    <definedName name="OSRRefH22_2x_0" localSheetId="78">'411'!$H$37</definedName>
    <definedName name="OSRRefH22_2x_0" localSheetId="79">'412'!$H$39</definedName>
    <definedName name="OSRRefH22_2x_0" localSheetId="80">'413'!$H$39</definedName>
    <definedName name="OSRRefH22_2x_0" localSheetId="81">'414'!$H$40</definedName>
    <definedName name="OSRRefH22_2x_0" localSheetId="82">'415'!$H$39</definedName>
    <definedName name="OSRRefH22_2x_0" localSheetId="83">'418'!$H$40</definedName>
    <definedName name="OSRRefH22_2x_0" localSheetId="85">'423'!$H$32</definedName>
    <definedName name="OSRRefH22_2x_0" localSheetId="86">'424'!$H$33</definedName>
    <definedName name="OSRRefH22_2x_0" localSheetId="87">'425'!$H$41</definedName>
    <definedName name="OSRRefH22_2x_0" localSheetId="90">'430'!$H$31</definedName>
    <definedName name="OSRRefH22_2x_0" localSheetId="91">'433'!$H$43</definedName>
    <definedName name="OSRRefH22_2x_0" localSheetId="92">'435'!$H$32</definedName>
    <definedName name="OSRRefH22_2x_0" localSheetId="93">'444'!$H$42</definedName>
    <definedName name="OSRRefH22_2x_0" localSheetId="95">'450'!$H$42</definedName>
    <definedName name="OSRRefH22_2x_0" localSheetId="75">'491'!$H$50</definedName>
    <definedName name="OSRRefH22_2x_0" localSheetId="89">'492'!$H$46</definedName>
    <definedName name="OSRRefH22_2x_0" localSheetId="97">'501'!$H$37</definedName>
    <definedName name="OSRRefH22_2x_0" localSheetId="39">'Div 2'!$H$40</definedName>
    <definedName name="OSRRefH22_2x_0" localSheetId="47">'Div 3'!$H$182</definedName>
    <definedName name="OSRRefH22_2x_0" localSheetId="73">'Div 4'!$H$52</definedName>
    <definedName name="OSRRefH22_2x_0" localSheetId="96">'Div 5'!$H$37</definedName>
    <definedName name="OSRRefH22_2x_0" localSheetId="64">'Div 6'!$H$71</definedName>
    <definedName name="OSRRefH22_2x_0" localSheetId="2">Summary!$H$215</definedName>
    <definedName name="OSRRefH22_3x_0" localSheetId="40">'200'!$H$26:$H$27</definedName>
    <definedName name="OSRRefH22_3x_0" localSheetId="41">'201'!$H$36</definedName>
    <definedName name="OSRRefH22_3x_0" localSheetId="42">'202'!$H$36</definedName>
    <definedName name="OSRRefH22_3x_0" localSheetId="43">'203'!$H$38</definedName>
    <definedName name="OSRRefH22_3x_0" localSheetId="44">'204'!$H$38:$H$39</definedName>
    <definedName name="OSRRefH22_3x_0" localSheetId="45">'205'!$H$33</definedName>
    <definedName name="OSRRefH22_3x_0" localSheetId="46">'206'!$H$38</definedName>
    <definedName name="OSRRefH22_3x_0" localSheetId="48">'300'!$H$178</definedName>
    <definedName name="OSRRefH22_3x_0" localSheetId="49">'300 &amp; 317'!$H$202</definedName>
    <definedName name="OSRRefH22_3x_0" localSheetId="50">'301'!$H$39</definedName>
    <definedName name="OSRRefH22_3x_0" localSheetId="51">'306'!$H$38</definedName>
    <definedName name="OSRRefH22_3x_0" localSheetId="53">'307'!$H$84</definedName>
    <definedName name="OSRRefH22_3x_0" localSheetId="55">'308'!$H$80:$H$81</definedName>
    <definedName name="OSRRefH22_3x_0" localSheetId="67">'309'!$H$41</definedName>
    <definedName name="OSRRefH22_3x_0" localSheetId="66">'310'!$H$49</definedName>
    <definedName name="OSRRefH22_3x_0" localSheetId="74">'310 &amp; 491'!$H$59</definedName>
    <definedName name="OSRRefH22_3x_0" localSheetId="56">'311'!$H$79:$H$80</definedName>
    <definedName name="OSRRefH22_3x_0" localSheetId="68">'313'!$H$45</definedName>
    <definedName name="OSRRefH22_3x_0" localSheetId="54">'314'!$H$69:$H$70</definedName>
    <definedName name="OSRRefH22_3x_0" localSheetId="59">'315'!$H$71:$H$72</definedName>
    <definedName name="OSRRefH22_3x_0" localSheetId="62">'316'!$H$48</definedName>
    <definedName name="OSRRefH22_3x_0" localSheetId="65">'317'!$H$73</definedName>
    <definedName name="OSRRefH22_3x_0" localSheetId="63">'320'!$H$43</definedName>
    <definedName name="OSRRefH22_3x_0" localSheetId="69">'321'!$H$40</definedName>
    <definedName name="OSRRefH22_3x_0" localSheetId="70">'322'!$H$41</definedName>
    <definedName name="OSRRefH22_3x_0" localSheetId="71">'325'!$H$42</definedName>
    <definedName name="OSRRefH22_3x_0" localSheetId="60">'326'!$H$73</definedName>
    <definedName name="OSRRefH22_3x_0" localSheetId="52">'330'!$H$92</definedName>
    <definedName name="OSRRefH22_3x_0" localSheetId="58">'331'!$H$88</definedName>
    <definedName name="OSRRefH22_3x_0" localSheetId="61">'332'!$H$57</definedName>
    <definedName name="OSRRefH22_3x_0" localSheetId="76">'405'!$H$40</definedName>
    <definedName name="OSRRefH22_3x_0" localSheetId="77">'406'!$H$41</definedName>
    <definedName name="OSRRefH22_3x_0" localSheetId="78">'411'!$H$39:$H$41</definedName>
    <definedName name="OSRRefH22_3x_0" localSheetId="79">'412'!$H$41</definedName>
    <definedName name="OSRRefH22_3x_0" localSheetId="80">'413'!$H$41</definedName>
    <definedName name="OSRRefH22_3x_0" localSheetId="81">'414'!$H$42</definedName>
    <definedName name="OSRRefH22_3x_0" localSheetId="82">'415'!$H$41</definedName>
    <definedName name="OSRRefH22_3x_0" localSheetId="83">'418'!$H$42</definedName>
    <definedName name="OSRRefH22_3x_0" localSheetId="85">'423'!$H$34</definedName>
    <definedName name="OSRRefH22_3x_0" localSheetId="86">'424'!$H$35</definedName>
    <definedName name="OSRRefH22_3x_0" localSheetId="87">'425'!$H$43</definedName>
    <definedName name="OSRRefH22_3x_0" localSheetId="90">'430'!$H$33</definedName>
    <definedName name="OSRRefH22_3x_0" localSheetId="91">'433'!$H$45</definedName>
    <definedName name="OSRRefH22_3x_0" localSheetId="92">'435'!$H$34</definedName>
    <definedName name="OSRRefH22_3x_0" localSheetId="93">'444'!$H$44</definedName>
    <definedName name="OSRRefH22_3x_0" localSheetId="95">'450'!$H$44</definedName>
    <definedName name="OSRRefH22_3x_0" localSheetId="75">'491'!$H$52</definedName>
    <definedName name="OSRRefH22_3x_0" localSheetId="89">'492'!$H$48</definedName>
    <definedName name="OSRRefH22_3x_0" localSheetId="97">'501'!$H$39</definedName>
    <definedName name="OSRRefH22_3x_0" localSheetId="39">'Div 2'!$H$42</definedName>
    <definedName name="OSRRefH22_3x_0" localSheetId="47">'Div 3'!$H$184</definedName>
    <definedName name="OSRRefH22_3x_0" localSheetId="73">'Div 4'!$H$54</definedName>
    <definedName name="OSRRefH22_3x_0" localSheetId="96">'Div 5'!$H$39</definedName>
    <definedName name="OSRRefH22_3x_0" localSheetId="64">'Div 6'!$H$73</definedName>
    <definedName name="OSRRefH22_3x_0" localSheetId="2">Summary!$H$217</definedName>
    <definedName name="OSRRefH22_4x_0" localSheetId="41">'201'!$H$38</definedName>
    <definedName name="OSRRefH22_4x_0" localSheetId="42">'202'!$H$38</definedName>
    <definedName name="OSRRefH22_4x_0" localSheetId="43">'203'!$H$40</definedName>
    <definedName name="OSRRefH22_4x_0" localSheetId="44">'204'!$H$41</definedName>
    <definedName name="OSRRefH22_4x_0" localSheetId="45">'205'!$H$35:$H$36</definedName>
    <definedName name="OSRRefH22_4x_0" localSheetId="46">'206'!$H$40</definedName>
    <definedName name="OSRRefH22_4x_0" localSheetId="48">'300'!$H$180</definedName>
    <definedName name="OSRRefH22_4x_0" localSheetId="49">'300 &amp; 317'!$H$204</definedName>
    <definedName name="OSRRefH22_4x_0" localSheetId="50">'301'!$H$41</definedName>
    <definedName name="OSRRefH22_4x_0" localSheetId="51">'306'!$H$40</definedName>
    <definedName name="OSRRefH22_4x_0" localSheetId="53">'307'!$H$86:$H$87</definedName>
    <definedName name="OSRRefH22_4x_0" localSheetId="55">'308'!$H$83</definedName>
    <definedName name="OSRRefH22_4x_0" localSheetId="67">'309'!$H$43</definedName>
    <definedName name="OSRRefH22_4x_0" localSheetId="66">'310'!$H$51</definedName>
    <definedName name="OSRRefH22_4x_0" localSheetId="74">'310 &amp; 491'!$H$61</definedName>
    <definedName name="OSRRefH22_4x_0" localSheetId="56">'311'!$H$82</definedName>
    <definedName name="OSRRefH22_4x_0" localSheetId="68">'313'!$H$47</definedName>
    <definedName name="OSRRefH22_4x_0" localSheetId="54">'314'!$H$72</definedName>
    <definedName name="OSRRefH22_4x_0" localSheetId="59">'315'!$H$74</definedName>
    <definedName name="OSRRefH22_4x_0" localSheetId="62">'316'!$H$50</definedName>
    <definedName name="OSRRefH22_4x_0" localSheetId="65">'317'!$H$75</definedName>
    <definedName name="OSRRefH22_4x_0" localSheetId="63">'320'!$H$45:$H$46</definedName>
    <definedName name="OSRRefH22_4x_0" localSheetId="69">'321'!$H$42</definedName>
    <definedName name="OSRRefH22_4x_0" localSheetId="70">'322'!$H$43</definedName>
    <definedName name="OSRRefH22_4x_0" localSheetId="71">'325'!$H$44</definedName>
    <definedName name="OSRRefH22_4x_0" localSheetId="60">'326'!$H$75</definedName>
    <definedName name="OSRRefH22_4x_0" localSheetId="52">'330'!$H$94:$H$95</definedName>
    <definedName name="OSRRefH22_4x_0" localSheetId="58">'331'!$H$90</definedName>
    <definedName name="OSRRefH22_4x_0" localSheetId="61">'332'!$H$59</definedName>
    <definedName name="OSRRefH22_4x_0" localSheetId="76">'405'!$H$42</definedName>
    <definedName name="OSRRefH22_4x_0" localSheetId="77">'406'!$H$43</definedName>
    <definedName name="OSRRefH22_4x_0" localSheetId="78">'411'!$H$43</definedName>
    <definedName name="OSRRefH22_4x_0" localSheetId="79">'412'!$H$43</definedName>
    <definedName name="OSRRefH22_4x_0" localSheetId="80">'413'!$H$43</definedName>
    <definedName name="OSRRefH22_4x_0" localSheetId="81">'414'!$H$44</definedName>
    <definedName name="OSRRefH22_4x_0" localSheetId="82">'415'!$H$43</definedName>
    <definedName name="OSRRefH22_4x_0" localSheetId="83">'418'!$H$44</definedName>
    <definedName name="OSRRefH22_4x_0" localSheetId="85">'423'!$H$36</definedName>
    <definedName name="OSRRefH22_4x_0" localSheetId="86">'424'!$H$37</definedName>
    <definedName name="OSRRefH22_4x_0" localSheetId="87">'425'!$H$45</definedName>
    <definedName name="OSRRefH22_4x_0" localSheetId="90">'430'!$H$35</definedName>
    <definedName name="OSRRefH22_4x_0" localSheetId="91">'433'!$H$47</definedName>
    <definedName name="OSRRefH22_4x_0" localSheetId="92">'435'!$H$36</definedName>
    <definedName name="OSRRefH22_4x_0" localSheetId="93">'444'!$H$46</definedName>
    <definedName name="OSRRefH22_4x_0" localSheetId="95">'450'!$H$46</definedName>
    <definedName name="OSRRefH22_4x_0" localSheetId="75">'491'!$H$54</definedName>
    <definedName name="OSRRefH22_4x_0" localSheetId="89">'492'!$H$50</definedName>
    <definedName name="OSRRefH22_4x_0" localSheetId="97">'501'!$H$41</definedName>
    <definedName name="OSRRefH22_4x_0" localSheetId="39">'Div 2'!$H$44</definedName>
    <definedName name="OSRRefH22_4x_0" localSheetId="47">'Div 3'!$H$186</definedName>
    <definedName name="OSRRefH22_4x_0" localSheetId="73">'Div 4'!$H$56</definedName>
    <definedName name="OSRRefH22_4x_0" localSheetId="96">'Div 5'!$H$41</definedName>
    <definedName name="OSRRefH22_4x_0" localSheetId="64">'Div 6'!$H$75</definedName>
    <definedName name="OSRRefH22_4x_0" localSheetId="2">Summary!$H$219</definedName>
    <definedName name="OSRRefH22_5x_0" localSheetId="41">'201'!$H$40</definedName>
    <definedName name="OSRRefH22_5x_0" localSheetId="42">'202'!$H$40</definedName>
    <definedName name="OSRRefH22_5x_0" localSheetId="43">'203'!$H$42</definedName>
    <definedName name="OSRRefH22_5x_0" localSheetId="44">'204'!$H$43</definedName>
    <definedName name="OSRRefH22_5x_0" localSheetId="45">'205'!$H$38</definedName>
    <definedName name="OSRRefH22_5x_0" localSheetId="46">'206'!$H$42:$H$43</definedName>
    <definedName name="OSRRefH22_5x_0" localSheetId="48">'300'!$H$182:$H$183</definedName>
    <definedName name="OSRRefH22_5x_0" localSheetId="49">'300 &amp; 317'!$H$206:$H$207</definedName>
    <definedName name="OSRRefH22_5x_0" localSheetId="50">'301'!$H$43:$H$44</definedName>
    <definedName name="OSRRefH22_5x_0" localSheetId="51">'306'!$H$42</definedName>
    <definedName name="OSRRefH22_5x_0" localSheetId="53">'307'!$H$89</definedName>
    <definedName name="OSRRefH22_5x_0" localSheetId="55">'308'!$H$85</definedName>
    <definedName name="OSRRefH22_5x_0" localSheetId="67">'309'!$H$45</definedName>
    <definedName name="OSRRefH22_5x_0" localSheetId="66">'310'!$H$53:$H$54</definedName>
    <definedName name="OSRRefH22_5x_0" localSheetId="74">'310 &amp; 491'!$H$63:$H$65</definedName>
    <definedName name="OSRRefH22_5x_0" localSheetId="56">'311'!$H$84</definedName>
    <definedName name="OSRRefH22_5x_0" localSheetId="68">'313'!$H$49</definedName>
    <definedName name="OSRRefH22_5x_0" localSheetId="54">'314'!$H$74:$H$75</definedName>
    <definedName name="OSRRefH22_5x_0" localSheetId="59">'315'!$H$76</definedName>
    <definedName name="OSRRefH22_5x_0" localSheetId="62">'316'!$H$52</definedName>
    <definedName name="OSRRefH22_5x_0" localSheetId="65">'317'!$H$77</definedName>
    <definedName name="OSRRefH22_5x_0" localSheetId="63">'320'!$H$48</definedName>
    <definedName name="OSRRefH22_5x_0" localSheetId="69">'321'!$H$44</definedName>
    <definedName name="OSRRefH22_5x_0" localSheetId="70">'322'!$H$45</definedName>
    <definedName name="OSRRefH22_5x_0" localSheetId="71">'325'!$H$46:$H$47</definedName>
    <definedName name="OSRRefH22_5x_0" localSheetId="60">'326'!$H$77</definedName>
    <definedName name="OSRRefH22_5x_0" localSheetId="52">'330'!$H$97</definedName>
    <definedName name="OSRRefH22_5x_0" localSheetId="58">'331'!$H$92:$H$93</definedName>
    <definedName name="OSRRefH22_5x_0" localSheetId="61">'332'!$H$61:$H$62</definedName>
    <definedName name="OSRRefH22_5x_0" localSheetId="76">'405'!$H$44:$H$45</definedName>
    <definedName name="OSRRefH22_5x_0" localSheetId="77">'406'!$H$45</definedName>
    <definedName name="OSRRefH22_5x_0" localSheetId="78">'411'!$H$45</definedName>
    <definedName name="OSRRefH22_5x_0" localSheetId="79">'412'!$H$45</definedName>
    <definedName name="OSRRefH22_5x_0" localSheetId="80">'413'!$H$45</definedName>
    <definedName name="OSRRefH22_5x_0" localSheetId="81">'414'!$H$46</definedName>
    <definedName name="OSRRefH22_5x_0" localSheetId="82">'415'!$H$45:$H$46</definedName>
    <definedName name="OSRRefH22_5x_0" localSheetId="83">'418'!$H$46:$H$47</definedName>
    <definedName name="OSRRefH22_5x_0" localSheetId="85">'423'!$H$38</definedName>
    <definedName name="OSRRefH22_5x_0" localSheetId="86">'424'!$H$39</definedName>
    <definedName name="OSRRefH22_5x_0" localSheetId="87">'425'!$H$47</definedName>
    <definedName name="OSRRefH22_5x_0" localSheetId="90">'430'!$H$37:$H$38</definedName>
    <definedName name="OSRRefH22_5x_0" localSheetId="91">'433'!$H$49</definedName>
    <definedName name="OSRRefH22_5x_0" localSheetId="92">'435'!$H$38</definedName>
    <definedName name="OSRRefH22_5x_0" localSheetId="93">'444'!$H$48</definedName>
    <definedName name="OSRRefH22_5x_0" localSheetId="95">'450'!$H$48</definedName>
    <definedName name="OSRRefH22_5x_0" localSheetId="75">'491'!$H$56:$H$58</definedName>
    <definedName name="OSRRefH22_5x_0" localSheetId="89">'492'!$H$52</definedName>
    <definedName name="OSRRefH22_5x_0" localSheetId="97">'501'!$H$43</definedName>
    <definedName name="OSRRefH22_5x_0" localSheetId="39">'Div 2'!$H$46:$H$47</definedName>
    <definedName name="OSRRefH22_5x_0" localSheetId="47">'Div 3'!$H$188:$H$189</definedName>
    <definedName name="OSRRefH22_5x_0" localSheetId="73">'Div 4'!$H$58:$H$60</definedName>
    <definedName name="OSRRefH22_5x_0" localSheetId="96">'Div 5'!$H$43</definedName>
    <definedName name="OSRRefH22_5x_0" localSheetId="64">'Div 6'!$H$77</definedName>
    <definedName name="OSRRefH22_5x_0" localSheetId="2">Summary!$H$221:$H$223</definedName>
    <definedName name="OSRRefH22_6x_0" localSheetId="41">'201'!$H$42</definedName>
    <definedName name="OSRRefH22_6x_0" localSheetId="42">'202'!$H$42</definedName>
    <definedName name="OSRRefH22_6x_0" localSheetId="43">'203'!$H$44</definedName>
    <definedName name="OSRRefH22_6x_0" localSheetId="44">'204'!$H$45:$H$47</definedName>
    <definedName name="OSRRefH22_6x_0" localSheetId="45">'205'!$H$40:$H$41</definedName>
    <definedName name="OSRRefH22_6x_0" localSheetId="46">'206'!$H$45</definedName>
    <definedName name="OSRRefH22_6x_0" localSheetId="48">'300'!$H$185:$H$186</definedName>
    <definedName name="OSRRefH22_6x_0" localSheetId="49">'300 &amp; 317'!$H$209:$H$210</definedName>
    <definedName name="OSRRefH22_6x_0" localSheetId="50">'301'!$H$46:$H$47</definedName>
    <definedName name="OSRRefH22_6x_0" localSheetId="51">'306'!$H$44:$H$46</definedName>
    <definedName name="OSRRefH22_6x_0" localSheetId="53">'307'!$H$91</definedName>
    <definedName name="OSRRefH22_6x_0" localSheetId="55">'308'!$H$87:$H$88</definedName>
    <definedName name="OSRRefH22_6x_0" localSheetId="67">'309'!$H$47</definedName>
    <definedName name="OSRRefH22_6x_0" localSheetId="66">'310'!$H$56</definedName>
    <definedName name="OSRRefH22_6x_0" localSheetId="74">'310 &amp; 491'!$H$67</definedName>
    <definedName name="OSRRefH22_6x_0" localSheetId="56">'311'!$H$86:$H$87</definedName>
    <definedName name="OSRRefH22_6x_0" localSheetId="68">'313'!$H$51</definedName>
    <definedName name="OSRRefH22_6x_0" localSheetId="54">'314'!$H$77</definedName>
    <definedName name="OSRRefH22_6x_0" localSheetId="59">'315'!$H$78</definedName>
    <definedName name="OSRRefH22_6x_0" localSheetId="62">'316'!$H$54</definedName>
    <definedName name="OSRRefH22_6x_0" localSheetId="65">'317'!$H$79</definedName>
    <definedName name="OSRRefH22_6x_0" localSheetId="63">'320'!$H$50</definedName>
    <definedName name="OSRRefH22_6x_0" localSheetId="69">'321'!$H$46:$H$48</definedName>
    <definedName name="OSRRefH22_6x_0" localSheetId="70">'322'!$H$47</definedName>
    <definedName name="OSRRefH22_6x_0" localSheetId="71">'325'!$H$49</definedName>
    <definedName name="OSRRefH22_6x_0" localSheetId="60">'326'!$H$79</definedName>
    <definedName name="OSRRefH22_6x_0" localSheetId="52">'330'!$H$99</definedName>
    <definedName name="OSRRefH22_6x_0" localSheetId="58">'331'!$H$95</definedName>
    <definedName name="OSRRefH22_6x_0" localSheetId="61">'332'!$H$64</definedName>
    <definedName name="OSRRefH22_6x_0" localSheetId="76">'405'!$H$47</definedName>
    <definedName name="OSRRefH22_6x_0" localSheetId="77">'406'!$H$47</definedName>
    <definedName name="OSRRefH22_6x_0" localSheetId="78">'411'!$H$47</definedName>
    <definedName name="OSRRefH22_6x_0" localSheetId="79">'412'!$H$47</definedName>
    <definedName name="OSRRefH22_6x_0" localSheetId="80">'413'!$H$47</definedName>
    <definedName name="OSRRefH22_6x_0" localSheetId="81">'414'!$H$48</definedName>
    <definedName name="OSRRefH22_6x_0" localSheetId="82">'415'!$H$48</definedName>
    <definedName name="OSRRefH22_6x_0" localSheetId="83">'418'!$H$49</definedName>
    <definedName name="OSRRefH22_6x_0" localSheetId="86">'424'!$H$41</definedName>
    <definedName name="OSRRefH22_6x_0" localSheetId="87">'425'!$H$49</definedName>
    <definedName name="OSRRefH22_6x_0" localSheetId="90">'430'!$H$40</definedName>
    <definedName name="OSRRefH22_6x_0" localSheetId="91">'433'!$H$51</definedName>
    <definedName name="OSRRefH22_6x_0" localSheetId="92">'435'!$H$40:$H$43</definedName>
    <definedName name="OSRRefH22_6x_0" localSheetId="93">'444'!$H$50</definedName>
    <definedName name="OSRRefH22_6x_0" localSheetId="95">'450'!$H$50</definedName>
    <definedName name="OSRRefH22_6x_0" localSheetId="75">'491'!$H$60</definedName>
    <definedName name="OSRRefH22_6x_0" localSheetId="89">'492'!$H$54</definedName>
    <definedName name="OSRRefH22_6x_0" localSheetId="97">'501'!$H$45</definedName>
    <definedName name="OSRRefH22_6x_0" localSheetId="39">'Div 2'!$H$49</definedName>
    <definedName name="OSRRefH22_6x_0" localSheetId="47">'Div 3'!$H$191:$H$192</definedName>
    <definedName name="OSRRefH22_6x_0" localSheetId="73">'Div 4'!$H$62</definedName>
    <definedName name="OSRRefH22_6x_0" localSheetId="96">'Div 5'!$H$45</definedName>
    <definedName name="OSRRefH22_6x_0" localSheetId="64">'Div 6'!$H$79</definedName>
    <definedName name="OSRRefH22_6x_0" localSheetId="2">Summary!$H$225:$H$226</definedName>
    <definedName name="OSRRefH22_7x_0" localSheetId="41">'201'!$H$44</definedName>
    <definedName name="OSRRefH22_7x_0" localSheetId="42">'202'!$H$44</definedName>
    <definedName name="OSRRefH22_7x_0" localSheetId="43">'203'!$H$46</definedName>
    <definedName name="OSRRefH22_7x_0" localSheetId="44">'204'!$H$49:$H$50</definedName>
    <definedName name="OSRRefH22_7x_0" localSheetId="45">'205'!$H$43</definedName>
    <definedName name="OSRRefH22_7x_0" localSheetId="46">'206'!$H$47</definedName>
    <definedName name="OSRRefH22_7x_0" localSheetId="48">'300'!$H$188</definedName>
    <definedName name="OSRRefH22_7x_0" localSheetId="49">'300 &amp; 317'!$H$212</definedName>
    <definedName name="OSRRefH22_7x_0" localSheetId="50">'301'!$H$49</definedName>
    <definedName name="OSRRefH22_7x_0" localSheetId="51">'306'!$H$48</definedName>
    <definedName name="OSRRefH22_7x_0" localSheetId="53">'307'!$H$93</definedName>
    <definedName name="OSRRefH22_7x_0" localSheetId="55">'308'!$H$90</definedName>
    <definedName name="OSRRefH22_7x_0" localSheetId="67">'309'!$H$49:$H$50</definedName>
    <definedName name="OSRRefH22_7x_0" localSheetId="66">'310'!$H$58</definedName>
    <definedName name="OSRRefH22_7x_0" localSheetId="74">'310 &amp; 491'!$H$69</definedName>
    <definedName name="OSRRefH22_7x_0" localSheetId="56">'311'!$H$89</definedName>
    <definedName name="OSRRefH22_7x_0" localSheetId="68">'313'!$H$53</definedName>
    <definedName name="OSRRefH22_7x_0" localSheetId="59">'315'!$H$80</definedName>
    <definedName name="OSRRefH22_7x_0" localSheetId="62">'316'!$H$56:$H$59</definedName>
    <definedName name="OSRRefH22_7x_0" localSheetId="65">'317'!$H$81</definedName>
    <definedName name="OSRRefH22_7x_0" localSheetId="63">'320'!$H$52:$H$53</definedName>
    <definedName name="OSRRefH22_7x_0" localSheetId="69">'321'!$H$50</definedName>
    <definedName name="OSRRefH22_7x_0" localSheetId="70">'322'!$H$49</definedName>
    <definedName name="OSRRefH22_7x_0" localSheetId="71">'325'!$H$51</definedName>
    <definedName name="OSRRefH22_7x_0" localSheetId="60">'326'!$H$81</definedName>
    <definedName name="OSRRefH22_7x_0" localSheetId="52">'330'!$H$101</definedName>
    <definedName name="OSRRefH22_7x_0" localSheetId="58">'331'!$H$97</definedName>
    <definedName name="OSRRefH22_7x_0" localSheetId="61">'332'!$H$66</definedName>
    <definedName name="OSRRefH22_7x_0" localSheetId="76">'405'!$H$49</definedName>
    <definedName name="OSRRefH22_7x_0" localSheetId="77">'406'!$H$49</definedName>
    <definedName name="OSRRefH22_7x_0" localSheetId="78">'411'!$H$49</definedName>
    <definedName name="OSRRefH22_7x_0" localSheetId="79">'412'!$H$49</definedName>
    <definedName name="OSRRefH22_7x_0" localSheetId="80">'413'!$H$49:$H$51</definedName>
    <definedName name="OSRRefH22_7x_0" localSheetId="81">'414'!$H$50</definedName>
    <definedName name="OSRRefH22_7x_0" localSheetId="82">'415'!$H$50</definedName>
    <definedName name="OSRRefH22_7x_0" localSheetId="83">'418'!$H$51</definedName>
    <definedName name="OSRRefH22_7x_0" localSheetId="86">'424'!$H$43:$H$44</definedName>
    <definedName name="OSRRefH22_7x_0" localSheetId="87">'425'!$H$51</definedName>
    <definedName name="OSRRefH22_7x_0" localSheetId="90">'430'!$H$42</definedName>
    <definedName name="OSRRefH22_7x_0" localSheetId="91">'433'!$H$53</definedName>
    <definedName name="OSRRefH22_7x_0" localSheetId="92">'435'!$H$45</definedName>
    <definedName name="OSRRefH22_7x_0" localSheetId="93">'444'!$H$52</definedName>
    <definedName name="OSRRefH22_7x_0" localSheetId="95">'450'!$H$52</definedName>
    <definedName name="OSRRefH22_7x_0" localSheetId="75">'491'!$H$62</definedName>
    <definedName name="OSRRefH22_7x_0" localSheetId="89">'492'!$H$56</definedName>
    <definedName name="OSRRefH22_7x_0" localSheetId="97">'501'!$H$47</definedName>
    <definedName name="OSRRefH22_7x_0" localSheetId="39">'Div 2'!$H$51</definedName>
    <definedName name="OSRRefH22_7x_0" localSheetId="47">'Div 3'!$H$194</definedName>
    <definedName name="OSRRefH22_7x_0" localSheetId="73">'Div 4'!$H$64</definedName>
    <definedName name="OSRRefH22_7x_0" localSheetId="96">'Div 5'!$H$47</definedName>
    <definedName name="OSRRefH22_7x_0" localSheetId="64">'Div 6'!$H$81</definedName>
    <definedName name="OSRRefH22_7x_0" localSheetId="2">Summary!$H$228</definedName>
    <definedName name="OSRRefH22_8x_0" localSheetId="41">'201'!$H$46</definedName>
    <definedName name="OSRRefH22_8x_0" localSheetId="42">'202'!$H$46:$H$47</definedName>
    <definedName name="OSRRefH22_8x_0" localSheetId="43">'203'!$H$48</definedName>
    <definedName name="OSRRefH22_8x_0" localSheetId="44">'204'!$H$52:$H$53</definedName>
    <definedName name="OSRRefH22_8x_0" localSheetId="45">'205'!$H$45</definedName>
    <definedName name="OSRRefH22_8x_0" localSheetId="48">'300'!$H$190</definedName>
    <definedName name="OSRRefH22_8x_0" localSheetId="49">'300 &amp; 317'!$H$214</definedName>
    <definedName name="OSRRefH22_8x_0" localSheetId="50">'301'!$H$51</definedName>
    <definedName name="OSRRefH22_8x_0" localSheetId="51">'306'!$H$50</definedName>
    <definedName name="OSRRefH22_8x_0" localSheetId="53">'307'!$H$95:$H$96</definedName>
    <definedName name="OSRRefH22_8x_0" localSheetId="55">'308'!$H$92</definedName>
    <definedName name="OSRRefH22_8x_0" localSheetId="67">'309'!$H$52:$H$53</definedName>
    <definedName name="OSRRefH22_8x_0" localSheetId="66">'310'!$H$60</definedName>
    <definedName name="OSRRefH22_8x_0" localSheetId="74">'310 &amp; 491'!$H$71</definedName>
    <definedName name="OSRRefH22_8x_0" localSheetId="56">'311'!$H$91</definedName>
    <definedName name="OSRRefH22_8x_0" localSheetId="68">'313'!$H$55</definedName>
    <definedName name="OSRRefH22_8x_0" localSheetId="59">'315'!$H$82</definedName>
    <definedName name="OSRRefH22_8x_0" localSheetId="62">'316'!$H$61</definedName>
    <definedName name="OSRRefH22_8x_0" localSheetId="65">'317'!$H$83</definedName>
    <definedName name="OSRRefH22_8x_0" localSheetId="63">'320'!$H$55</definedName>
    <definedName name="OSRRefH22_8x_0" localSheetId="69">'321'!$H$52:$H$54</definedName>
    <definedName name="OSRRefH22_8x_0" localSheetId="70">'322'!$H$51</definedName>
    <definedName name="OSRRefH22_8x_0" localSheetId="71">'325'!$H$53</definedName>
    <definedName name="OSRRefH22_8x_0" localSheetId="60">'326'!$H$83</definedName>
    <definedName name="OSRRefH22_8x_0" localSheetId="52">'330'!$H$103:$H$104</definedName>
    <definedName name="OSRRefH22_8x_0" localSheetId="58">'331'!$H$99</definedName>
    <definedName name="OSRRefH22_8x_0" localSheetId="61">'332'!$H$68</definedName>
    <definedName name="OSRRefH22_8x_0" localSheetId="76">'405'!$H$51</definedName>
    <definedName name="OSRRefH22_8x_0" localSheetId="77">'406'!$H$51:$H$53</definedName>
    <definedName name="OSRRefH22_8x_0" localSheetId="78">'411'!$H$51</definedName>
    <definedName name="OSRRefH22_8x_0" localSheetId="79">'412'!$H$51:$H$52</definedName>
    <definedName name="OSRRefH22_8x_0" localSheetId="80">'413'!$H$53</definedName>
    <definedName name="OSRRefH22_8x_0" localSheetId="81">'414'!$H$52:$H$53</definedName>
    <definedName name="OSRRefH22_8x_0" localSheetId="82">'415'!$H$52</definedName>
    <definedName name="OSRRefH22_8x_0" localSheetId="83">'418'!$H$53:$H$54</definedName>
    <definedName name="OSRRefH22_8x_0" localSheetId="86">'424'!$H$46</definedName>
    <definedName name="OSRRefH22_8x_0" localSheetId="87">'425'!$H$53</definedName>
    <definedName name="OSRRefH22_8x_0" localSheetId="90">'430'!$H$44</definedName>
    <definedName name="OSRRefH22_8x_0" localSheetId="91">'433'!$H$55</definedName>
    <definedName name="OSRRefH22_8x_0" localSheetId="93">'444'!$H$54</definedName>
    <definedName name="OSRRefH22_8x_0" localSheetId="95">'450'!$H$54</definedName>
    <definedName name="OSRRefH22_8x_0" localSheetId="75">'491'!$H$64</definedName>
    <definedName name="OSRRefH22_8x_0" localSheetId="89">'492'!$H$58</definedName>
    <definedName name="OSRRefH22_8x_0" localSheetId="97">'501'!$H$49</definedName>
    <definedName name="OSRRefH22_8x_0" localSheetId="39">'Div 2'!$H$53</definedName>
    <definedName name="OSRRefH22_8x_0" localSheetId="47">'Div 3'!$H$196</definedName>
    <definedName name="OSRRefH22_8x_0" localSheetId="73">'Div 4'!$H$66</definedName>
    <definedName name="OSRRefH22_8x_0" localSheetId="96">'Div 5'!$H$49</definedName>
    <definedName name="OSRRefH22_8x_0" localSheetId="64">'Div 6'!$H$83</definedName>
    <definedName name="OSRRefH22_8x_0" localSheetId="2">Summary!$H$230</definedName>
    <definedName name="OSRRefH22_9x_0" localSheetId="41">'201'!$H$48:$H$50</definedName>
    <definedName name="OSRRefH22_9x_0" localSheetId="42">'202'!$H$49</definedName>
    <definedName name="OSRRefH22_9x_0" localSheetId="43">'203'!$H$50:$H$52</definedName>
    <definedName name="OSRRefH22_9x_0" localSheetId="44">'204'!$H$55</definedName>
    <definedName name="OSRRefH22_9x_0" localSheetId="48">'300'!$H$192</definedName>
    <definedName name="OSRRefH22_9x_0" localSheetId="49">'300 &amp; 317'!$H$216</definedName>
    <definedName name="OSRRefH22_9x_0" localSheetId="50">'301'!$H$53</definedName>
    <definedName name="OSRRefH22_9x_0" localSheetId="53">'307'!$H$98:$H$99</definedName>
    <definedName name="OSRRefH22_9x_0" localSheetId="55">'308'!$H$94:$H$95</definedName>
    <definedName name="OSRRefH22_9x_0" localSheetId="67">'309'!$H$55</definedName>
    <definedName name="OSRRefH22_9x_0" localSheetId="66">'310'!$H$62</definedName>
    <definedName name="OSRRefH22_9x_0" localSheetId="74">'310 &amp; 491'!$H$73</definedName>
    <definedName name="OSRRefH22_9x_0" localSheetId="56">'311'!$H$93:$H$94</definedName>
    <definedName name="OSRRefH22_9x_0" localSheetId="68">'313'!$H$57:$H$59</definedName>
    <definedName name="OSRRefH22_9x_0" localSheetId="59">'315'!$H$84:$H$85</definedName>
    <definedName name="OSRRefH22_9x_0" localSheetId="62">'316'!$H$63</definedName>
    <definedName name="OSRRefH22_9x_0" localSheetId="65">'317'!$H$85:$H$86</definedName>
    <definedName name="OSRRefH22_9x_0" localSheetId="69">'321'!$H$56:$H$60</definedName>
    <definedName name="OSRRefH22_9x_0" localSheetId="70">'322'!$H$53:$H$54</definedName>
    <definedName name="OSRRefH22_9x_0" localSheetId="71">'325'!$H$55</definedName>
    <definedName name="OSRRefH22_9x_0" localSheetId="60">'326'!$H$85</definedName>
    <definedName name="OSRRefH22_9x_0" localSheetId="52">'330'!$H$106:$H$107</definedName>
    <definedName name="OSRRefH22_9x_0" localSheetId="58">'331'!$H$101</definedName>
    <definedName name="OSRRefH22_9x_0" localSheetId="61">'332'!$H$70</definedName>
    <definedName name="OSRRefH22_9x_0" localSheetId="76">'405'!$H$53</definedName>
    <definedName name="OSRRefH22_9x_0" localSheetId="77">'406'!$H$55</definedName>
    <definedName name="OSRRefH22_9x_0" localSheetId="78">'411'!$H$53:$H$55</definedName>
    <definedName name="OSRRefH22_9x_0" localSheetId="79">'412'!$H$54</definedName>
    <definedName name="OSRRefH22_9x_0" localSheetId="80">'413'!$H$55:$H$58</definedName>
    <definedName name="OSRRefH22_9x_0" localSheetId="81">'414'!$H$55</definedName>
    <definedName name="OSRRefH22_9x_0" localSheetId="82">'415'!$H$54</definedName>
    <definedName name="OSRRefH22_9x_0" localSheetId="83">'418'!$H$56:$H$58</definedName>
    <definedName name="OSRRefH22_9x_0" localSheetId="86">'424'!$H$48:$H$52</definedName>
    <definedName name="OSRRefH22_9x_0" localSheetId="87">'425'!$H$55:$H$56</definedName>
    <definedName name="OSRRefH22_9x_0" localSheetId="91">'433'!$H$57</definedName>
    <definedName name="OSRRefH22_9x_0" localSheetId="93">'444'!$H$56</definedName>
    <definedName name="OSRRefH22_9x_0" localSheetId="95">'450'!$H$56</definedName>
    <definedName name="OSRRefH22_9x_0" localSheetId="75">'491'!$H$66:$H$67</definedName>
    <definedName name="OSRRefH22_9x_0" localSheetId="89">'492'!$H$60</definedName>
    <definedName name="OSRRefH22_9x_0" localSheetId="97">'501'!$H$51</definedName>
    <definedName name="OSRRefH22_9x_0" localSheetId="39">'Div 2'!$H$55</definedName>
    <definedName name="OSRRefH22_9x_0" localSheetId="47">'Div 3'!$H$198</definedName>
    <definedName name="OSRRefH22_9x_0" localSheetId="73">'Div 4'!$H$68</definedName>
    <definedName name="OSRRefH22_9x_0" localSheetId="96">'Div 5'!$H$51</definedName>
    <definedName name="OSRRefH22_9x_0" localSheetId="64">'Div 6'!$H$85:$H$86</definedName>
    <definedName name="OSRRefH22_9x_0" localSheetId="2">Summary!$H$232</definedName>
    <definedName name="OSRRefH22x_0" localSheetId="40">'200'!$H$20,'200'!$H$22,'200'!$H$24,'200'!$H$26:$H$27</definedName>
    <definedName name="OSRRefH22x_0" localSheetId="41">'201'!$H$20:$H$28,'201'!$H$30:$H$32,'201'!$H$34,'201'!$H$36,'201'!$H$38,'201'!$H$40,'201'!$H$42,'201'!$H$44,'201'!$H$46,'201'!$H$48:$H$50,'201'!$H$52:$H$54,'201'!$H$56,'201'!$H$58:$H$60,'201'!$H$62,'201'!$H$64,'201'!$H$66:$H$67</definedName>
    <definedName name="OSRRefH22x_0" localSheetId="42">'202'!$H$20:$H$27,'202'!$H$29:$H$32,'202'!$H$34,'202'!$H$36,'202'!$H$38,'202'!$H$40,'202'!$H$42,'202'!$H$44,'202'!$H$46:$H$47,'202'!$H$49,'202'!$H$51,'202'!$H$53:$H$54,'202'!$H$56,'202'!$H$58</definedName>
    <definedName name="OSRRefH22x_0" localSheetId="43">'203'!$H$20:$H$29,'203'!$H$31:$H$34,'203'!$H$36,'203'!$H$38,'203'!$H$40,'203'!$H$42,'203'!$H$44,'203'!$H$46,'203'!$H$48,'203'!$H$50:$H$52,'203'!$H$54:$H$55,'203'!$H$57,'203'!$H$59:$H$61,'203'!$H$63,'203'!$H$65,'203'!$H$67</definedName>
    <definedName name="OSRRefH22x_0" localSheetId="44">'204'!$H$20:$H$28,'204'!$H$30:$H$34,'204'!$H$36,'204'!$H$38:$H$39,'204'!$H$41,'204'!$H$43,'204'!$H$45:$H$47,'204'!$H$49:$H$50,'204'!$H$52:$H$53,'204'!$H$55,'204'!$H$57:$H$58</definedName>
    <definedName name="OSRRefH22x_0" localSheetId="45">'205'!$H$20:$H$27,'205'!$H$29,'205'!$H$31,'205'!$H$33,'205'!$H$35:$H$36,'205'!$H$38,'205'!$H$40:$H$41,'205'!$H$43,'205'!$H$45</definedName>
    <definedName name="OSRRefH22x_0" localSheetId="46">'206'!$H$20:$H$27,'206'!$H$29:$H$34,'206'!$H$36,'206'!$H$38,'206'!$H$40,'206'!$H$42:$H$43,'206'!$H$45,'206'!$H$47</definedName>
    <definedName name="OSRRefH22x_0" localSheetId="48">'300'!$H$158:$H$166,'300'!$H$168:$H$174,'300'!$H$176,'300'!$H$178,'300'!$H$180,'300'!$H$182:$H$183,'300'!$H$185:$H$186,'300'!$H$188,'300'!$H$190,'300'!$H$192,'300'!$H$194:$H$195,'300'!$H$197,'300'!$H$199,'300'!$H$201,'300'!$H$203,'300'!$H$205,'300'!$H$207:$H$209,'300'!$H$211:$H$213,'300'!$H$215:$H$218,'300'!$H$220:$H$221,'300'!$H$223:$H$228,'300'!$H$230:$H$231,'300'!$H$233,'300'!$H$235:$H$237,'300'!$H$239</definedName>
    <definedName name="OSRRefH22x_0" localSheetId="49">'300 &amp; 317'!$H$182:$H$190,'300 &amp; 317'!$H$192:$H$198,'300 &amp; 317'!$H$200,'300 &amp; 317'!$H$202,'300 &amp; 317'!$H$204,'300 &amp; 317'!$H$206:$H$207,'300 &amp; 317'!$H$209:$H$210,'300 &amp; 317'!$H$212,'300 &amp; 317'!$H$214,'300 &amp; 317'!$H$216,'300 &amp; 317'!$H$218:$H$219,'300 &amp; 317'!$H$221,'300 &amp; 317'!$H$223,'300 &amp; 317'!$H$225,'300 &amp; 317'!$H$227,'300 &amp; 317'!$H$229,'300 &amp; 317'!$H$231:$H$233,'300 &amp; 317'!$H$235:$H$237,'300 &amp; 317'!$H$239:$H$242,'300 &amp; 317'!$H$244:$H$245,'300 &amp; 317'!$H$247:$H$252,'300 &amp; 317'!$H$254:$H$255,'300 &amp; 317'!$H$257,'300 &amp; 317'!$H$259:$H$261,'300 &amp; 317'!$H$263</definedName>
    <definedName name="OSRRefH22x_0" localSheetId="50">'301'!$H$20:$H$27,'301'!$H$29:$H$35,'301'!$H$37,'301'!$H$39,'301'!$H$41,'301'!$H$43:$H$44,'301'!$H$46:$H$47,'301'!$H$49,'301'!$H$51,'301'!$H$53,'301'!$H$55,'301'!$H$57,'301'!$H$59,'301'!$H$61,'301'!$H$63:$H$65,'301'!$H$67:$H$69,'301'!$H$71,'301'!$H$73:$H$77,'301'!$H$79,'301'!$H$81,'301'!$H$83:$H$84,'301'!$H$86</definedName>
    <definedName name="OSRRefH22x_0" localSheetId="51">'306'!$H$20:$H$28,'306'!$H$30:$H$34,'306'!$H$36,'306'!$H$38,'306'!$H$40,'306'!$H$42,'306'!$H$44:$H$46,'306'!$H$48,'306'!$H$50</definedName>
    <definedName name="OSRRefH22x_0" localSheetId="53">'307'!$H$69:$H$76,'307'!$H$78:$H$80,'307'!$H$82,'307'!$H$84,'307'!$H$86:$H$87,'307'!$H$89,'307'!$H$91,'307'!$H$93,'307'!$H$95:$H$96,'307'!$H$98:$H$99,'307'!$H$101,'307'!$H$103</definedName>
    <definedName name="OSRRefH22x_0" localSheetId="55">'308'!$H$62:$H$70,'308'!$H$72:$H$76,'308'!$H$78,'308'!$H$80:$H$81,'308'!$H$83,'308'!$H$85,'308'!$H$87:$H$88,'308'!$H$90,'308'!$H$92,'308'!$H$94:$H$95,'308'!$H$97,'308'!$H$99:$H$101,'308'!$H$103:$H$104,'308'!$H$106,'308'!$H$108</definedName>
    <definedName name="OSRRefH22x_0" localSheetId="67">'309'!$H$24:$H$31,'309'!$H$33:$H$37,'309'!$H$39,'309'!$H$41,'309'!$H$43,'309'!$H$45,'309'!$H$47,'309'!$H$49:$H$50,'309'!$H$52:$H$53,'309'!$H$55,'309'!$H$57:$H$62,'309'!$H$64</definedName>
    <definedName name="OSRRefH22x_0" localSheetId="66">'310'!$H$31:$H$38,'310'!$H$40:$H$45,'310'!$H$47,'310'!$H$49,'310'!$H$51,'310'!$H$53:$H$54,'310'!$H$56,'310'!$H$58,'310'!$H$60,'310'!$H$62,'310'!$H$64,'310'!$H$66,'310'!$H$68,'310'!$H$70,'310'!$H$72:$H$74,'310'!$H$76,'310'!$H$78:$H$81,'310'!$H$83:$H$84,'310'!$H$86:$H$92,'310'!$H$94,'310'!$H$96,'310'!$H$98</definedName>
    <definedName name="OSRRefH22x_0" localSheetId="74">'310 &amp; 491'!$H$39:$H$47,'310 &amp; 491'!$H$49:$H$55,'310 &amp; 491'!$H$57,'310 &amp; 491'!$H$59,'310 &amp; 491'!$H$61,'310 &amp; 491'!$H$63:$H$65,'310 &amp; 491'!$H$67,'310 &amp; 491'!$H$69,'310 &amp; 491'!$H$71,'310 &amp; 491'!$H$73,'310 &amp; 491'!$H$75,'310 &amp; 491'!$H$77:$H$78,'310 &amp; 491'!$H$80,'310 &amp; 491'!$H$82,'310 &amp; 491'!$H$84,'310 &amp; 491'!$H$86,'310 &amp; 491'!$H$88:$H$90,'310 &amp; 491'!$H$92:$H$93,'310 &amp; 491'!$H$95:$H$99,'310 &amp; 491'!$H$101:$H$102,'310 &amp; 491'!$H$104:$H$111,'310 &amp; 491'!$H$113,'310 &amp; 491'!$H$115,'310 &amp; 491'!$H$117:$H$119,'310 &amp; 491'!$H$121</definedName>
    <definedName name="OSRRefH22x_0" localSheetId="56">'311'!$H$61:$H$69,'311'!$H$71:$H$75,'311'!$H$77,'311'!$H$79:$H$80,'311'!$H$82,'311'!$H$84,'311'!$H$86:$H$87,'311'!$H$89,'311'!$H$91,'311'!$H$93:$H$94,'311'!$H$96,'311'!$H$98:$H$100,'311'!$H$102:$H$103,'311'!$H$105,'311'!$H$107</definedName>
    <definedName name="OSRRefH22x_0" localSheetId="68">'313'!$H$28:$H$35,'313'!$H$37:$H$41,'313'!$H$43,'313'!$H$45,'313'!$H$47,'313'!$H$49,'313'!$H$51,'313'!$H$53,'313'!$H$55,'313'!$H$57:$H$59,'313'!$H$61,'313'!$H$63:$H$68,'313'!$H$70,'313'!$H$72</definedName>
    <definedName name="OSRRefH22x_0" localSheetId="54">'314'!$H$55:$H$61,'314'!$H$63:$H$65,'314'!$H$67,'314'!$H$69:$H$70,'314'!$H$72,'314'!$H$74:$H$75,'314'!$H$77</definedName>
    <definedName name="OSRRefH22x_0" localSheetId="59">'315'!$H$54:$H$61,'315'!$H$63:$H$67,'315'!$H$69,'315'!$H$71:$H$72,'315'!$H$74,'315'!$H$76,'315'!$H$78,'315'!$H$80,'315'!$H$82,'315'!$H$84:$H$85,'315'!$H$87,'315'!$H$89:$H$92,'315'!$H$94,'315'!$H$96,'315'!$H$98</definedName>
    <definedName name="OSRRefH22x_0" localSheetId="62">'316'!$H$32:$H$39,'316'!$H$41:$H$44,'316'!$H$46,'316'!$H$48,'316'!$H$50,'316'!$H$52,'316'!$H$54,'316'!$H$56:$H$59,'316'!$H$61,'316'!$H$63</definedName>
    <definedName name="OSRRefH22x_0" localSheetId="65">'317'!$H$56:$H$64,'317'!$H$66:$H$69,'317'!$H$71,'317'!$H$73,'317'!$H$75,'317'!$H$77,'317'!$H$79,'317'!$H$81,'317'!$H$83,'317'!$H$85:$H$86,'317'!$H$88</definedName>
    <definedName name="OSRRefH22x_0" localSheetId="63">'320'!$H$29:$H$35,'320'!$H$37:$H$39,'320'!$H$41,'320'!$H$43,'320'!$H$45:$H$46,'320'!$H$48,'320'!$H$50,'320'!$H$52:$H$53,'320'!$H$55</definedName>
    <definedName name="OSRRefH22x_0" localSheetId="69">'321'!$H$24:$H$30,'321'!$H$32:$H$36,'321'!$H$38,'321'!$H$40,'321'!$H$42,'321'!$H$44,'321'!$H$46:$H$48,'321'!$H$50,'321'!$H$52:$H$54,'321'!$H$56:$H$60,'321'!$H$62,'321'!$H$64</definedName>
    <definedName name="OSRRefH22x_0" localSheetId="70">'322'!$H$24:$H$31,'322'!$H$33:$H$37,'322'!$H$39,'322'!$H$41,'322'!$H$43,'322'!$H$45,'322'!$H$47,'322'!$H$49,'322'!$H$51,'322'!$H$53:$H$54,'322'!$H$56:$H$58,'322'!$H$60:$H$65,'322'!$H$67,'322'!$H$69</definedName>
    <definedName name="OSRRefH22x_0" localSheetId="57">'324'!$H$25</definedName>
    <definedName name="OSRRefH22x_0" localSheetId="71">'325'!$H$24:$H$31,'325'!$H$33:$H$38,'325'!$H$40,'325'!$H$42,'325'!$H$44,'325'!$H$46:$H$47,'325'!$H$49,'325'!$H$51,'325'!$H$53,'325'!$H$55,'325'!$H$57:$H$59,'325'!$H$61:$H$63,'325'!$H$65,'325'!$H$67:$H$72,'325'!$H$74,'325'!$H$76</definedName>
    <definedName name="OSRRefH22x_0" localSheetId="60">'326'!$H$57:$H$64,'326'!$H$66:$H$69,'326'!$H$71,'326'!$H$73,'326'!$H$75,'326'!$H$77,'326'!$H$79,'326'!$H$81,'326'!$H$83,'326'!$H$85,'326'!$H$87,'326'!$H$89,'326'!$H$91,'326'!$H$93:$H$94,'326'!$H$96:$H$98,'326'!$H$100,'326'!$H$102:$H$105,'326'!$H$107,'326'!$H$109,'326'!$H$111</definedName>
    <definedName name="OSRRefH22x_0" localSheetId="72">'327'!$H$22,'327'!$H$24</definedName>
    <definedName name="OSRRefH22x_0" localSheetId="52">'330'!$H$77:$H$84,'330'!$H$86:$H$88,'330'!$H$90,'330'!$H$92,'330'!$H$94:$H$95,'330'!$H$97,'330'!$H$99,'330'!$H$101,'330'!$H$103:$H$104,'330'!$H$106:$H$107,'330'!$H$109,'330'!$H$111:$H$112,'330'!$H$114</definedName>
    <definedName name="OSRRefH22x_0" localSheetId="58">'331'!$H$71:$H$78,'331'!$H$80:$H$84,'331'!$H$86,'331'!$H$88,'331'!$H$90,'331'!$H$92:$H$93,'331'!$H$95,'331'!$H$97,'331'!$H$99,'331'!$H$101,'331'!$H$103,'331'!$H$105,'331'!$H$107,'331'!$H$109,'331'!$H$111:$H$113,'331'!$H$115:$H$116,'331'!$H$118:$H$120,'331'!$H$122,'331'!$H$124:$H$128,'331'!$H$130,'331'!$H$132,'331'!$H$134,'331'!$H$136</definedName>
    <definedName name="OSRRefH22x_0" localSheetId="61">'332'!$H$41:$H$48,'332'!$H$50:$H$53,'332'!$H$55,'332'!$H$57,'332'!$H$59,'332'!$H$61:$H$62,'332'!$H$64,'332'!$H$66,'332'!$H$68,'332'!$H$70,'332'!$H$72:$H$76,'332'!$H$78,'332'!$H$80</definedName>
    <definedName name="OSRRefH22x_0" localSheetId="76">'405'!$H$24:$H$31,'405'!$H$33:$H$36,'405'!$H$38,'405'!$H$40,'405'!$H$42,'405'!$H$44:$H$45,'405'!$H$47,'405'!$H$49,'405'!$H$51,'405'!$H$53,'405'!$H$55:$H$56,'405'!$H$58,'405'!$H$60:$H$62,'405'!$H$64,'405'!$H$66:$H$72,'405'!$H$74,'405'!$H$76,'405'!$H$78</definedName>
    <definedName name="OSRRefH22x_0" localSheetId="77">'406'!$H$24:$H$31,'406'!$H$33:$H$37,'406'!$H$39,'406'!$H$41,'406'!$H$43,'406'!$H$45,'406'!$H$47,'406'!$H$49,'406'!$H$51:$H$53,'406'!$H$55,'406'!$H$57:$H$62,'406'!$H$64,'406'!$H$66</definedName>
    <definedName name="OSRRefH22x_0" localSheetId="78">'411'!$H$20:$H$28,'411'!$H$30:$H$35,'411'!$H$37,'411'!$H$39:$H$41,'411'!$H$43,'411'!$H$45,'411'!$H$47,'411'!$H$49,'411'!$H$51,'411'!$H$53:$H$55,'411'!$H$57:$H$61,'411'!$H$63:$H$69,'411'!$H$71,'411'!$H$73,'411'!$H$75:$H$77,'411'!$H$79</definedName>
    <definedName name="OSRRefH22x_0" localSheetId="79">'412'!$H$23:$H$30,'412'!$H$32:$H$37,'412'!$H$39,'412'!$H$41,'412'!$H$43,'412'!$H$45,'412'!$H$47,'412'!$H$49,'412'!$H$51:$H$52,'412'!$H$54,'412'!$H$56:$H$58,'412'!$H$60:$H$66,'412'!$H$68,'412'!$H$70</definedName>
    <definedName name="OSRRefH22x_0" localSheetId="80">'413'!$H$24:$H$31,'413'!$H$33:$H$37,'413'!$H$39,'413'!$H$41,'413'!$H$43,'413'!$H$45,'413'!$H$47,'413'!$H$49:$H$51,'413'!$H$53,'413'!$H$55:$H$58,'413'!$H$60</definedName>
    <definedName name="OSRRefH22x_0" localSheetId="81">'414'!$H$24:$H$31,'414'!$H$33:$H$38,'414'!$H$40,'414'!$H$42,'414'!$H$44,'414'!$H$46,'414'!$H$48,'414'!$H$50,'414'!$H$52:$H$53,'414'!$H$55,'414'!$H$57,'414'!$H$59,'414'!$H$61:$H$67,'414'!$H$69,'414'!$H$71</definedName>
    <definedName name="OSRRefH22x_0" localSheetId="82">'415'!$H$24:$H$31,'415'!$H$33:$H$37,'415'!$H$39,'415'!$H$41,'415'!$H$43,'415'!$H$45:$H$46,'415'!$H$48,'415'!$H$50,'415'!$H$52,'415'!$H$54,'415'!$H$56,'415'!$H$58:$H$60,'415'!$H$62:$H$66,'415'!$H$68,'415'!$H$70:$H$76,'415'!$H$78,'415'!$H$80,'415'!$H$82</definedName>
    <definedName name="OSRRefH22x_0" localSheetId="83">'418'!$H$24:$H$31,'418'!$H$33:$H$38,'418'!$H$40,'418'!$H$42,'418'!$H$44,'418'!$H$46:$H$47,'418'!$H$49,'418'!$H$51,'418'!$H$53:$H$54,'418'!$H$56:$H$58,'418'!$H$60:$H$62,'418'!$H$64,'418'!$H$66:$H$72,'418'!$H$74,'418'!$H$76</definedName>
    <definedName name="OSRRefH22x_0" localSheetId="84">'420'!$H$20:$H$21,'420'!$H$23</definedName>
    <definedName name="OSRRefH22x_0" localSheetId="85">'423'!$H$21:$H$28,'423'!$H$30,'423'!$H$32,'423'!$H$34,'423'!$H$36,'423'!$H$38</definedName>
    <definedName name="OSRRefH22x_0" localSheetId="86">'424'!$H$24:$H$26,'424'!$H$28:$H$31,'424'!$H$33,'424'!$H$35,'424'!$H$37,'424'!$H$39,'424'!$H$41,'424'!$H$43:$H$44,'424'!$H$46,'424'!$H$48:$H$52,'424'!$H$54</definedName>
    <definedName name="OSRRefH22x_0" localSheetId="87">'425'!$H$26:$H$33,'425'!$H$35:$H$39,'425'!$H$41,'425'!$H$43,'425'!$H$45,'425'!$H$47,'425'!$H$49,'425'!$H$51,'425'!$H$53,'425'!$H$55:$H$56,'425'!$H$58,'425'!$H$60:$H$61,'425'!$H$63:$H$68,'425'!$H$70,'425'!$H$72,'425'!$H$74</definedName>
    <definedName name="OSRRefH22x_0" localSheetId="90">'430'!$H$20:$H$27,'430'!$H$29,'430'!$H$31,'430'!$H$33,'430'!$H$35,'430'!$H$37:$H$38,'430'!$H$40,'430'!$H$42,'430'!$H$44</definedName>
    <definedName name="OSRRefH22x_0" localSheetId="91">'433'!$H$26:$H$34,'433'!$H$36:$H$41,'433'!$H$43,'433'!$H$45,'433'!$H$47,'433'!$H$49,'433'!$H$51,'433'!$H$53,'433'!$H$55,'433'!$H$57,'433'!$H$59,'433'!$H$61:$H$63,'433'!$H$65:$H$70,'433'!$H$72,'433'!$H$74,'433'!$H$76:$H$77</definedName>
    <definedName name="OSRRefH22x_0" localSheetId="92">'435'!$H$25:$H$27,'435'!$H$29:$H$30,'435'!$H$32,'435'!$H$34,'435'!$H$36,'435'!$H$38,'435'!$H$40:$H$43,'435'!$H$45</definedName>
    <definedName name="OSRRefH22x_0" localSheetId="93">'444'!$H$25:$H$33,'444'!$H$35:$H$40,'444'!$H$42,'444'!$H$44,'444'!$H$46,'444'!$H$48,'444'!$H$50,'444'!$H$52,'444'!$H$54,'444'!$H$56,'444'!$H$58,'444'!$H$60:$H$61,'444'!$H$63:$H$65,'444'!$H$67:$H$73,'444'!$H$75,'444'!$H$77,'444'!$H$79</definedName>
    <definedName name="OSRRefH22x_0" localSheetId="94">'445'!$H$20</definedName>
    <definedName name="OSRRefH22x_0" localSheetId="95">'450'!$H$25:$H$33,'450'!$H$35:$H$40,'450'!$H$42,'450'!$H$44,'450'!$H$46,'450'!$H$48,'450'!$H$50,'450'!$H$52,'450'!$H$54,'450'!$H$56,'450'!$H$58,'450'!$H$60:$H$61,'450'!$H$63:$H$65,'450'!$H$67:$H$72,'450'!$H$74,'450'!$H$76,'450'!$H$78:$H$79</definedName>
    <definedName name="OSRRefH22x_0" localSheetId="88">'455'!$H$20:$H$26,'455'!$H$28:$H$29</definedName>
    <definedName name="OSRRefH22x_0" localSheetId="75">'491'!$H$32:$H$40,'491'!$H$42:$H$48,'491'!$H$50,'491'!$H$52,'491'!$H$54,'491'!$H$56:$H$58,'491'!$H$60,'491'!$H$62,'491'!$H$64,'491'!$H$66:$H$67,'491'!$H$69,'491'!$H$71,'491'!$H$73,'491'!$H$75,'491'!$H$77:$H$79,'491'!$H$81:$H$82,'491'!$H$84:$H$88,'491'!$H$90,'491'!$H$92:$H$99,'491'!$H$101,'491'!$H$103,'491'!$H$105:$H$107,'491'!$H$109</definedName>
    <definedName name="OSRRefH22x_0" localSheetId="89">'492'!$H$28:$H$36,'492'!$H$38:$H$44,'492'!$H$46,'492'!$H$48,'492'!$H$50,'492'!$H$52,'492'!$H$54,'492'!$H$56,'492'!$H$58,'492'!$H$60,'492'!$H$62,'492'!$H$64,'492'!$H$66:$H$68,'492'!$H$70:$H$72,'492'!$H$74:$H$80,'492'!$H$82,'492'!$H$84,'492'!$H$86:$H$87</definedName>
    <definedName name="OSRRefH22x_0" localSheetId="97">'501'!$H$21:$H$28,'501'!$H$30:$H$35,'501'!$H$37,'501'!$H$39,'501'!$H$41,'501'!$H$43,'501'!$H$45,'501'!$H$47,'501'!$H$49,'501'!$H$51,'501'!$H$53:$H$54,'501'!$H$56:$H$59,'501'!$H$61</definedName>
    <definedName name="OSRRefH22x_0" localSheetId="39">'Div 2'!$H$20:$H$30,'Div 2'!$H$32:$H$38,'Div 2'!$H$40,'Div 2'!$H$42,'Div 2'!$H$44,'Div 2'!$H$46:$H$47,'Div 2'!$H$49,'Div 2'!$H$51,'Div 2'!$H$53,'Div 2'!$H$55,'Div 2'!$H$57,'Div 2'!$H$59,'Div 2'!$H$61:$H$64,'Div 2'!$H$66:$H$68,'Div 2'!$H$70:$H$71,'Div 2'!$H$73,'Div 2'!$H$75:$H$78,'Div 2'!$H$80:$H$81,'Div 2'!$H$83,'Div 2'!$H$85:$H$86</definedName>
    <definedName name="OSRRefH22x_0" localSheetId="47">'Div 3'!$H$164:$H$172,'Div 3'!$H$174:$H$180,'Div 3'!$H$182,'Div 3'!$H$184,'Div 3'!$H$186,'Div 3'!$H$188:$H$189,'Div 3'!$H$191:$H$192,'Div 3'!$H$194,'Div 3'!$H$196,'Div 3'!$H$198,'Div 3'!$H$200:$H$201,'Div 3'!$H$203,'Div 3'!$H$205,'Div 3'!$H$207,'Div 3'!$H$209,'Div 3'!$H$211,'Div 3'!$H$213,'Div 3'!$H$215:$H$217,'Div 3'!$H$219:$H$221,'Div 3'!$H$223:$H$227,'Div 3'!$H$229:$H$230,'Div 3'!$H$232:$H$238,'Div 3'!$H$240:$H$241,'Div 3'!$H$243,'Div 3'!$H$245:$H$247,'Div 3'!$H$249</definedName>
    <definedName name="OSRRefH22x_0" localSheetId="73">'Div 4'!$H$34:$H$42,'Div 4'!$H$44:$H$50,'Div 4'!$H$52,'Div 4'!$H$54,'Div 4'!$H$56,'Div 4'!$H$58:$H$60,'Div 4'!$H$62,'Div 4'!$H$64,'Div 4'!$H$66,'Div 4'!$H$68,'Div 4'!$H$70:$H$71,'Div 4'!$H$73,'Div 4'!$H$75,'Div 4'!$H$77,'Div 4'!$H$79,'Div 4'!$H$81,'Div 4'!$H$83:$H$85,'Div 4'!$H$87:$H$88,'Div 4'!$H$90:$H$94,'Div 4'!$H$96,'Div 4'!$H$98:$H$105,'Div 4'!$H$107,'Div 4'!$H$109,'Div 4'!$H$111:$H$113,'Div 4'!$H$115</definedName>
    <definedName name="OSRRefH22x_0" localSheetId="96">'Div 5'!$H$21:$H$28,'Div 5'!$H$30:$H$35,'Div 5'!$H$37,'Div 5'!$H$39,'Div 5'!$H$41,'Div 5'!$H$43,'Div 5'!$H$45,'Div 5'!$H$47,'Div 5'!$H$49,'Div 5'!$H$51,'Div 5'!$H$53:$H$54,'Div 5'!$H$56:$H$59,'Div 5'!$H$61</definedName>
    <definedName name="OSRRefH22x_0" localSheetId="64">'Div 6'!$H$56:$H$64,'Div 6'!$H$66:$H$69,'Div 6'!$H$71,'Div 6'!$H$73,'Div 6'!$H$75,'Div 6'!$H$77,'Div 6'!$H$79,'Div 6'!$H$81,'Div 6'!$H$83,'Div 6'!$H$85:$H$86,'Div 6'!$H$88</definedName>
    <definedName name="OSRRefH22x_0" localSheetId="2">Summary!$H$197:$H$205,Summary!$H$207:$H$213,Summary!$H$215,Summary!$H$217,Summary!$H$219,Summary!$H$221:$H$223,Summary!$H$225:$H$226,Summary!$H$228,Summary!$H$230,Summary!$H$232,Summary!$H$234:$H$235,Summary!$H$237:$H$238,Summary!$H$240,Summary!$H$242,Summary!$H$244,Summary!$H$246,Summary!$H$248,Summary!$H$250,Summary!$H$252:$H$254,Summary!$H$256:$H$258,Summary!$H$260:$H$264,Summary!$H$266:$H$267,Summary!$H$269:$H$276,Summary!$H$278:$H$279,Summary!$H$281,Summary!$H$283:$H$285,Summary!$H$287</definedName>
    <definedName name="OSRRefH25x_0" localSheetId="48">'300'!$H$242:$H$248</definedName>
    <definedName name="OSRRefH25x_0" localSheetId="49">'300 &amp; 317'!$H$266:$H$274</definedName>
    <definedName name="OSRRefH25x_0" localSheetId="50">'301'!$H$89:$H$90</definedName>
    <definedName name="OSRRefH25x_0" localSheetId="55">'308'!$H$111:$H$113</definedName>
    <definedName name="OSRRefH25x_0" localSheetId="74">'310 &amp; 491'!$H$124:$H$126</definedName>
    <definedName name="OSRRefH25x_0" localSheetId="56">'311'!$H$110:$H$112</definedName>
    <definedName name="OSRRefH25x_0" localSheetId="59">'315'!$H$101</definedName>
    <definedName name="OSRRefH25x_0" localSheetId="62">'316'!$H$66</definedName>
    <definedName name="OSRRefH25x_0" localSheetId="65">'317'!$H$91:$H$93</definedName>
    <definedName name="OSRRefH25x_0" localSheetId="63">'320'!$H$58:$H$61</definedName>
    <definedName name="OSRRefH25x_0" localSheetId="58">'331'!$H$139</definedName>
    <definedName name="OSRRefH25x_0" localSheetId="61">'332'!$H$83:$H$87</definedName>
    <definedName name="OSRRefH25x_0" localSheetId="78">'411'!$H$82:$H$83</definedName>
    <definedName name="OSRRefH25x_0" localSheetId="80">'413'!$H$63</definedName>
    <definedName name="OSRRefH25x_0" localSheetId="83">'418'!$H$79</definedName>
    <definedName name="OSRRefH25x_0" localSheetId="85">'423'!$H$41</definedName>
    <definedName name="OSRRefH25x_0" localSheetId="86">'424'!$H$57</definedName>
    <definedName name="OSRRefH25x_0" localSheetId="87">'425'!$H$77</definedName>
    <definedName name="OSRRefH25x_0" localSheetId="88">'455'!$H$32:$H$33</definedName>
    <definedName name="OSRRefH25x_0" localSheetId="75">'491'!$H$112:$H$114</definedName>
    <definedName name="OSRRefH25x_0" localSheetId="97">'501'!$H$64</definedName>
    <definedName name="OSRRefH25x_0" localSheetId="47">'Div 3'!$H$252:$H$258</definedName>
    <definedName name="OSRRefH25x_0" localSheetId="73">'Div 4'!$H$118:$H$120</definedName>
    <definedName name="OSRRefH25x_0" localSheetId="96">'Div 5'!$H$64</definedName>
    <definedName name="OSRRefH25x_0" localSheetId="64">'Div 6'!$H$91:$H$93</definedName>
    <definedName name="OSRRefH25x_0" localSheetId="2">Summary!$H$290:$H$299</definedName>
    <definedName name="OSRRefP13x_0" localSheetId="48">'300'!$P$13:$P$102</definedName>
    <definedName name="OSRRefP13x_0" localSheetId="49">'300 &amp; 317'!$P$13:$P$119</definedName>
    <definedName name="OSRRefP13x_0" localSheetId="53">'307'!$P$13:$P$43</definedName>
    <definedName name="OSRRefP13x_0" localSheetId="55">'308'!$P$13:$P$39</definedName>
    <definedName name="OSRRefP13x_0" localSheetId="67">'309'!$P$13:$P$14</definedName>
    <definedName name="OSRRefP13x_0" localSheetId="66">'310'!$P$13:$P$21</definedName>
    <definedName name="OSRRefP13x_0" localSheetId="74">'310 &amp; 491'!$P$13:$P$29</definedName>
    <definedName name="OSRRefP13x_0" localSheetId="56">'311'!$P$13:$P$38</definedName>
    <definedName name="OSRRefP13x_0" localSheetId="68">'313'!$P$13:$P$18</definedName>
    <definedName name="OSRRefP13x_0" localSheetId="54">'314'!$P$13:$P$33</definedName>
    <definedName name="OSRRefP13x_0" localSheetId="59">'315'!$P$13:$P$32</definedName>
    <definedName name="OSRRefP13x_0" localSheetId="62">'316'!$P$13:$P$24</definedName>
    <definedName name="OSRRefP13x_0" localSheetId="65">'317'!$P$13:$P$35</definedName>
    <definedName name="OSRRefP13x_0" localSheetId="63">'320'!$P$13:$P$16</definedName>
    <definedName name="OSRRefP13x_0" localSheetId="69">'321'!$P$13:$P$14</definedName>
    <definedName name="OSRRefP13x_0" localSheetId="70">'322'!$P$13:$P$14</definedName>
    <definedName name="OSRRefP13x_0" localSheetId="57">'324'!$P$13:$P$15</definedName>
    <definedName name="OSRRefP13x_0" localSheetId="71">'325'!$P$13:$P$14</definedName>
    <definedName name="OSRRefP13x_0" localSheetId="60">'326'!$P$13:$P$33</definedName>
    <definedName name="OSRRefP13x_0" localSheetId="72">'327'!$P$13</definedName>
    <definedName name="OSRRefP13x_0" localSheetId="52">'330'!$P$13:$P$48</definedName>
    <definedName name="OSRRefP13x_0" localSheetId="58">'331'!$P$13:$P$41</definedName>
    <definedName name="OSRRefP13x_0" localSheetId="61">'332'!$P$13:$P$28</definedName>
    <definedName name="OSRRefP13x_0" localSheetId="76">'405'!$P$13:$P$14</definedName>
    <definedName name="OSRRefP13x_0" localSheetId="77">'406'!$P$13:$P$14</definedName>
    <definedName name="OSRRefP13x_0" localSheetId="79">'412'!$P$13:$P$14</definedName>
    <definedName name="OSRRefP13x_0" localSheetId="80">'413'!$P$13:$P$14</definedName>
    <definedName name="OSRRefP13x_0" localSheetId="81">'414'!$P$13:$P$14</definedName>
    <definedName name="OSRRefP13x_0" localSheetId="82">'415'!$P$13:$P$14</definedName>
    <definedName name="OSRRefP13x_0" localSheetId="83">'418'!$P$13:$P$14</definedName>
    <definedName name="OSRRefP13x_0" localSheetId="86">'424'!$P$13:$P$14</definedName>
    <definedName name="OSRRefP13x_0" localSheetId="87">'425'!$P$13:$P$16</definedName>
    <definedName name="OSRRefP13x_0" localSheetId="91">'433'!$P$13:$P$16</definedName>
    <definedName name="OSRRefP13x_0" localSheetId="92">'435'!$P$13:$P$15</definedName>
    <definedName name="OSRRefP13x_0" localSheetId="93">'444'!$P$13:$P$15</definedName>
    <definedName name="OSRRefP13x_0" localSheetId="95">'450'!$P$13:$P$15</definedName>
    <definedName name="OSRRefP13x_0" localSheetId="75">'491'!$P$13:$P$22</definedName>
    <definedName name="OSRRefP13x_0" localSheetId="89">'492'!$P$13:$P$18</definedName>
    <definedName name="OSRRefP13x_0" localSheetId="97">'501'!$P$13</definedName>
    <definedName name="OSRRefP13x_0" localSheetId="47">'Div 3'!$P$13:$P$106</definedName>
    <definedName name="OSRRefP13x_0" localSheetId="73">'Div 4'!$P$13:$P$24</definedName>
    <definedName name="OSRRefP13x_0" localSheetId="96">'Div 5'!$P$13</definedName>
    <definedName name="OSRRefP13x_0" localSheetId="64">'Div 6'!$P$13:$P$35</definedName>
    <definedName name="OSRRefP13x_0" localSheetId="2">Summary!$P$13:$P$132</definedName>
    <definedName name="OSRRefP16x_0" localSheetId="48">'300'!$P$105:$P$152</definedName>
    <definedName name="OSRRefP16x_0" localSheetId="49">'300 &amp; 317'!$P$122:$P$176</definedName>
    <definedName name="OSRRefP16x_0" localSheetId="53">'307'!$P$46:$P$63</definedName>
    <definedName name="OSRRefP16x_0" localSheetId="55">'308'!$P$42:$P$56</definedName>
    <definedName name="OSRRefP16x_0" localSheetId="67">'309'!$P$17:$P$18</definedName>
    <definedName name="OSRRefP16x_0" localSheetId="66">'310'!$P$24:$P$25</definedName>
    <definedName name="OSRRefP16x_0" localSheetId="74">'310 &amp; 491'!$P$32:$P$33</definedName>
    <definedName name="OSRRefP16x_0" localSheetId="56">'311'!$P$41:$P$55</definedName>
    <definedName name="OSRRefP16x_0" localSheetId="68">'313'!$P$21:$P$22</definedName>
    <definedName name="OSRRefP16x_0" localSheetId="54">'314'!$P$36:$P$49</definedName>
    <definedName name="OSRRefP16x_0" localSheetId="59">'315'!$P$35:$P$48</definedName>
    <definedName name="OSRRefP16x_0" localSheetId="65">'317'!$P$38:$P$50</definedName>
    <definedName name="OSRRefP16x_0" localSheetId="63">'320'!$P$19:$P$23</definedName>
    <definedName name="OSRRefP16x_0" localSheetId="69">'321'!$P$17:$P$18</definedName>
    <definedName name="OSRRefP16x_0" localSheetId="70">'322'!$P$17:$P$18</definedName>
    <definedName name="OSRRefP16x_0" localSheetId="57">'324'!$P$18:$P$19</definedName>
    <definedName name="OSRRefP16x_0" localSheetId="71">'325'!$P$17:$P$18</definedName>
    <definedName name="OSRRefP16x_0" localSheetId="60">'326'!$P$36:$P$51</definedName>
    <definedName name="OSRRefP16x_0" localSheetId="72">'327'!$P$16</definedName>
    <definedName name="OSRRefP16x_0" localSheetId="52">'330'!$P$51:$P$71</definedName>
    <definedName name="OSRRefP16x_0" localSheetId="58">'331'!$P$44:$P$65</definedName>
    <definedName name="OSRRefP16x_0" localSheetId="61">'332'!$P$31:$P$35</definedName>
    <definedName name="OSRRefP16x_0" localSheetId="76">'405'!$P$17:$P$18</definedName>
    <definedName name="OSRRefP16x_0" localSheetId="77">'406'!$P$17:$P$18</definedName>
    <definedName name="OSRRefP16x_0" localSheetId="79">'412'!$P$17</definedName>
    <definedName name="OSRRefP16x_0" localSheetId="80">'413'!$P$17:$P$18</definedName>
    <definedName name="OSRRefP16x_0" localSheetId="81">'414'!$P$17:$P$18</definedName>
    <definedName name="OSRRefP16x_0" localSheetId="82">'415'!$P$17:$P$18</definedName>
    <definedName name="OSRRefP16x_0" localSheetId="83">'418'!$P$17:$P$18</definedName>
    <definedName name="OSRRefP16x_0" localSheetId="85">'423'!$P$15</definedName>
    <definedName name="OSRRefP16x_0" localSheetId="86">'424'!$P$17:$P$18</definedName>
    <definedName name="OSRRefP16x_0" localSheetId="87">'425'!$P$19:$P$20</definedName>
    <definedName name="OSRRefP16x_0" localSheetId="91">'433'!$P$19:$P$20</definedName>
    <definedName name="OSRRefP16x_0" localSheetId="92">'435'!$P$18:$P$19</definedName>
    <definedName name="OSRRefP16x_0" localSheetId="93">'444'!$P$18:$P$19</definedName>
    <definedName name="OSRRefP16x_0" localSheetId="95">'450'!$P$18:$P$19</definedName>
    <definedName name="OSRRefP16x_0" localSheetId="75">'491'!$P$25:$P$26</definedName>
    <definedName name="OSRRefP16x_0" localSheetId="89">'492'!$P$21:$P$22</definedName>
    <definedName name="OSRRefP16x_0" localSheetId="47">'Div 3'!$P$109:$P$158</definedName>
    <definedName name="OSRRefP16x_0" localSheetId="73">'Div 4'!$P$27:$P$28</definedName>
    <definedName name="OSRRefP16x_0" localSheetId="64">'Div 6'!$P$38:$P$50</definedName>
    <definedName name="OSRRefP16x_0" localSheetId="2">Summary!$P$135:$P$191</definedName>
    <definedName name="OSRRefP22_0x_0" localSheetId="40">'200'!$P$20</definedName>
    <definedName name="OSRRefP22_0x_0" localSheetId="41">'201'!$P$20:$P$28</definedName>
    <definedName name="OSRRefP22_0x_0" localSheetId="42">'202'!$P$20:$P$27</definedName>
    <definedName name="OSRRefP22_0x_0" localSheetId="43">'203'!$P$20:$P$29</definedName>
    <definedName name="OSRRefP22_0x_0" localSheetId="44">'204'!$P$20:$P$28</definedName>
    <definedName name="OSRRefP22_0x_0" localSheetId="45">'205'!$P$20:$P$27</definedName>
    <definedName name="OSRRefP22_0x_0" localSheetId="46">'206'!$P$20:$P$27</definedName>
    <definedName name="OSRRefP22_0x_0" localSheetId="48">'300'!$P$158:$P$166</definedName>
    <definedName name="OSRRefP22_0x_0" localSheetId="49">'300 &amp; 317'!$P$182:$P$190</definedName>
    <definedName name="OSRRefP22_0x_0" localSheetId="50">'301'!$P$20:$P$27</definedName>
    <definedName name="OSRRefP22_0x_0" localSheetId="51">'306'!$P$20:$P$28</definedName>
    <definedName name="OSRRefP22_0x_0" localSheetId="53">'307'!$P$69:$P$76</definedName>
    <definedName name="OSRRefP22_0x_0" localSheetId="55">'308'!$P$62:$P$70</definedName>
    <definedName name="OSRRefP22_0x_0" localSheetId="67">'309'!$P$24:$P$31</definedName>
    <definedName name="OSRRefP22_0x_0" localSheetId="66">'310'!$P$31:$P$38</definedName>
    <definedName name="OSRRefP22_0x_0" localSheetId="74">'310 &amp; 491'!$P$39:$P$47</definedName>
    <definedName name="OSRRefP22_0x_0" localSheetId="56">'311'!$P$61:$P$69</definedName>
    <definedName name="OSRRefP22_0x_0" localSheetId="68">'313'!$P$28:$P$35</definedName>
    <definedName name="OSRRefP22_0x_0" localSheetId="54">'314'!$P$55:$P$61</definedName>
    <definedName name="OSRRefP22_0x_0" localSheetId="59">'315'!$P$54:$P$61</definedName>
    <definedName name="OSRRefP22_0x_0" localSheetId="62">'316'!$P$32:$P$39</definedName>
    <definedName name="OSRRefP22_0x_0" localSheetId="65">'317'!$P$56:$P$64</definedName>
    <definedName name="OSRRefP22_0x_0" localSheetId="63">'320'!$P$29:$P$35</definedName>
    <definedName name="OSRRefP22_0x_0" localSheetId="69">'321'!$P$24:$P$30</definedName>
    <definedName name="OSRRefP22_0x_0" localSheetId="70">'322'!$P$24:$P$31</definedName>
    <definedName name="OSRRefP22_0x_0" localSheetId="57">'324'!$P$25</definedName>
    <definedName name="OSRRefP22_0x_0" localSheetId="71">'325'!$P$24:$P$31</definedName>
    <definedName name="OSRRefP22_0x_0" localSheetId="60">'326'!$P$57:$P$64</definedName>
    <definedName name="OSRRefP22_0x_0" localSheetId="72">'327'!$P$22</definedName>
    <definedName name="OSRRefP22_0x_0" localSheetId="52">'330'!$P$77:$P$84</definedName>
    <definedName name="OSRRefP22_0x_0" localSheetId="58">'331'!$P$71:$P$78</definedName>
    <definedName name="OSRRefP22_0x_0" localSheetId="61">'332'!$P$41:$P$48</definedName>
    <definedName name="OSRRefP22_0x_0" localSheetId="76">'405'!$P$24:$P$31</definedName>
    <definedName name="OSRRefP22_0x_0" localSheetId="77">'406'!$P$24:$P$31</definedName>
    <definedName name="OSRRefP22_0x_0" localSheetId="78">'411'!$P$20:$P$28</definedName>
    <definedName name="OSRRefP22_0x_0" localSheetId="79">'412'!$P$23:$P$30</definedName>
    <definedName name="OSRRefP22_0x_0" localSheetId="80">'413'!$P$24:$P$31</definedName>
    <definedName name="OSRRefP22_0x_0" localSheetId="81">'414'!$P$24:$P$31</definedName>
    <definedName name="OSRRefP22_0x_0" localSheetId="82">'415'!$P$24:$P$31</definedName>
    <definedName name="OSRRefP22_0x_0" localSheetId="83">'418'!$P$24:$P$31</definedName>
    <definedName name="OSRRefP22_0x_0" localSheetId="84">'420'!$P$20:$P$21</definedName>
    <definedName name="OSRRefP22_0x_0" localSheetId="85">'423'!$P$21:$P$28</definedName>
    <definedName name="OSRRefP22_0x_0" localSheetId="86">'424'!$P$24:$P$26</definedName>
    <definedName name="OSRRefP22_0x_0" localSheetId="87">'425'!$P$26:$P$33</definedName>
    <definedName name="OSRRefP22_0x_0" localSheetId="90">'430'!$P$20:$P$27</definedName>
    <definedName name="OSRRefP22_0x_0" localSheetId="91">'433'!$P$26:$P$34</definedName>
    <definedName name="OSRRefP22_0x_0" localSheetId="92">'435'!$P$25:$P$27</definedName>
    <definedName name="OSRRefP22_0x_0" localSheetId="93">'444'!$P$25:$P$33</definedName>
    <definedName name="OSRRefP22_0x_0" localSheetId="94">'445'!$P$20</definedName>
    <definedName name="OSRRefP22_0x_0" localSheetId="95">'450'!$P$25:$P$33</definedName>
    <definedName name="OSRRefP22_0x_0" localSheetId="88">'455'!$P$20:$P$26</definedName>
    <definedName name="OSRRefP22_0x_0" localSheetId="75">'491'!$P$32:$P$40</definedName>
    <definedName name="OSRRefP22_0x_0" localSheetId="89">'492'!$P$28:$P$36</definedName>
    <definedName name="OSRRefP22_0x_0" localSheetId="97">'501'!$P$21:$P$28</definedName>
    <definedName name="OSRRefP22_0x_0" localSheetId="39">'Div 2'!$P$20:$P$30</definedName>
    <definedName name="OSRRefP22_0x_0" localSheetId="47">'Div 3'!$P$164:$P$172</definedName>
    <definedName name="OSRRefP22_0x_0" localSheetId="73">'Div 4'!$P$34:$P$42</definedName>
    <definedName name="OSRRefP22_0x_0" localSheetId="96">'Div 5'!$P$21:$P$28</definedName>
    <definedName name="OSRRefP22_0x_0" localSheetId="64">'Div 6'!$P$56:$P$64</definedName>
    <definedName name="OSRRefP22_0x_0" localSheetId="2">Summary!$P$197:$P$205</definedName>
    <definedName name="OSRRefP22_10x_0" localSheetId="41">'201'!$P$52:$P$54</definedName>
    <definedName name="OSRRefP22_10x_0" localSheetId="42">'202'!$P$51</definedName>
    <definedName name="OSRRefP22_10x_0" localSheetId="43">'203'!$P$54:$P$55</definedName>
    <definedName name="OSRRefP22_10x_0" localSheetId="44">'204'!$P$57:$P$58</definedName>
    <definedName name="OSRRefP22_10x_0" localSheetId="48">'300'!$P$194:$P$195</definedName>
    <definedName name="OSRRefP22_10x_0" localSheetId="49">'300 &amp; 317'!$P$218:$P$219</definedName>
    <definedName name="OSRRefP22_10x_0" localSheetId="50">'301'!$P$55</definedName>
    <definedName name="OSRRefP22_10x_0" localSheetId="53">'307'!$P$101</definedName>
    <definedName name="OSRRefP22_10x_0" localSheetId="55">'308'!$P$97</definedName>
    <definedName name="OSRRefP22_10x_0" localSheetId="67">'309'!$P$57:$P$62</definedName>
    <definedName name="OSRRefP22_10x_0" localSheetId="66">'310'!$P$64</definedName>
    <definedName name="OSRRefP22_10x_0" localSheetId="74">'310 &amp; 491'!$P$75</definedName>
    <definedName name="OSRRefP22_10x_0" localSheetId="56">'311'!$P$96</definedName>
    <definedName name="OSRRefP22_10x_0" localSheetId="68">'313'!$P$61</definedName>
    <definedName name="OSRRefP22_10x_0" localSheetId="59">'315'!$P$87</definedName>
    <definedName name="OSRRefP22_10x_0" localSheetId="65">'317'!$P$88</definedName>
    <definedName name="OSRRefP22_10x_0" localSheetId="69">'321'!$P$62</definedName>
    <definedName name="OSRRefP22_10x_0" localSheetId="70">'322'!$P$56:$P$58</definedName>
    <definedName name="OSRRefP22_10x_0" localSheetId="71">'325'!$P$57:$P$59</definedName>
    <definedName name="OSRRefP22_10x_0" localSheetId="60">'326'!$P$87</definedName>
    <definedName name="OSRRefP22_10x_0" localSheetId="52">'330'!$P$109</definedName>
    <definedName name="OSRRefP22_10x_0" localSheetId="58">'331'!$P$103</definedName>
    <definedName name="OSRRefP22_10x_0" localSheetId="61">'332'!$P$72:$P$76</definedName>
    <definedName name="OSRRefP22_10x_0" localSheetId="76">'405'!$P$55:$P$56</definedName>
    <definedName name="OSRRefP22_10x_0" localSheetId="77">'406'!$P$57:$P$62</definedName>
    <definedName name="OSRRefP22_10x_0" localSheetId="78">'411'!$P$57:$P$61</definedName>
    <definedName name="OSRRefP22_10x_0" localSheetId="79">'412'!$P$56:$P$58</definedName>
    <definedName name="OSRRefP22_10x_0" localSheetId="80">'413'!$P$60</definedName>
    <definedName name="OSRRefP22_10x_0" localSheetId="81">'414'!$P$57</definedName>
    <definedName name="OSRRefP22_10x_0" localSheetId="82">'415'!$P$56</definedName>
    <definedName name="OSRRefP22_10x_0" localSheetId="83">'418'!$P$60:$P$62</definedName>
    <definedName name="OSRRefP22_10x_0" localSheetId="86">'424'!$P$54</definedName>
    <definedName name="OSRRefP22_10x_0" localSheetId="87">'425'!$P$58</definedName>
    <definedName name="OSRRefP22_10x_0" localSheetId="91">'433'!$P$59</definedName>
    <definedName name="OSRRefP22_10x_0" localSheetId="93">'444'!$P$58</definedName>
    <definedName name="OSRRefP22_10x_0" localSheetId="95">'450'!$P$58</definedName>
    <definedName name="OSRRefP22_10x_0" localSheetId="75">'491'!$P$69</definedName>
    <definedName name="OSRRefP22_10x_0" localSheetId="89">'492'!$P$62</definedName>
    <definedName name="OSRRefP22_10x_0" localSheetId="97">'501'!$P$53:$P$54</definedName>
    <definedName name="OSRRefP22_10x_0" localSheetId="39">'Div 2'!$P$57</definedName>
    <definedName name="OSRRefP22_10x_0" localSheetId="47">'Div 3'!$P$200:$P$201</definedName>
    <definedName name="OSRRefP22_10x_0" localSheetId="73">'Div 4'!$P$70:$P$71</definedName>
    <definedName name="OSRRefP22_10x_0" localSheetId="96">'Div 5'!$P$53:$P$54</definedName>
    <definedName name="OSRRefP22_10x_0" localSheetId="64">'Div 6'!$P$88</definedName>
    <definedName name="OSRRefP22_10x_0" localSheetId="2">Summary!$P$234:$P$235</definedName>
    <definedName name="OSRRefP22_11x_0" localSheetId="41">'201'!$P$56</definedName>
    <definedName name="OSRRefP22_11x_0" localSheetId="42">'202'!$P$53:$P$54</definedName>
    <definedName name="OSRRefP22_11x_0" localSheetId="43">'203'!$P$57</definedName>
    <definedName name="OSRRefP22_11x_0" localSheetId="48">'300'!$P$197</definedName>
    <definedName name="OSRRefP22_11x_0" localSheetId="49">'300 &amp; 317'!$P$221</definedName>
    <definedName name="OSRRefP22_11x_0" localSheetId="50">'301'!$P$57</definedName>
    <definedName name="OSRRefP22_11x_0" localSheetId="53">'307'!$P$103</definedName>
    <definedName name="OSRRefP22_11x_0" localSheetId="55">'308'!$P$99:$P$101</definedName>
    <definedName name="OSRRefP22_11x_0" localSheetId="67">'309'!$P$64</definedName>
    <definedName name="OSRRefP22_11x_0" localSheetId="66">'310'!$P$66</definedName>
    <definedName name="OSRRefP22_11x_0" localSheetId="74">'310 &amp; 491'!$P$77:$P$78</definedName>
    <definedName name="OSRRefP22_11x_0" localSheetId="56">'311'!$P$98:$P$100</definedName>
    <definedName name="OSRRefP22_11x_0" localSheetId="68">'313'!$P$63:$P$68</definedName>
    <definedName name="OSRRefP22_11x_0" localSheetId="59">'315'!$P$89:$P$92</definedName>
    <definedName name="OSRRefP22_11x_0" localSheetId="69">'321'!$P$64</definedName>
    <definedName name="OSRRefP22_11x_0" localSheetId="70">'322'!$P$60:$P$65</definedName>
    <definedName name="OSRRefP22_11x_0" localSheetId="71">'325'!$P$61:$P$63</definedName>
    <definedName name="OSRRefP22_11x_0" localSheetId="60">'326'!$P$89</definedName>
    <definedName name="OSRRefP22_11x_0" localSheetId="52">'330'!$P$111:$P$112</definedName>
    <definedName name="OSRRefP22_11x_0" localSheetId="58">'331'!$P$105</definedName>
    <definedName name="OSRRefP22_11x_0" localSheetId="61">'332'!$P$78</definedName>
    <definedName name="OSRRefP22_11x_0" localSheetId="76">'405'!$P$58</definedName>
    <definedName name="OSRRefP22_11x_0" localSheetId="77">'406'!$P$64</definedName>
    <definedName name="OSRRefP22_11x_0" localSheetId="78">'411'!$P$63:$P$69</definedName>
    <definedName name="OSRRefP22_11x_0" localSheetId="79">'412'!$P$60:$P$66</definedName>
    <definedName name="OSRRefP22_11x_0" localSheetId="81">'414'!$P$59</definedName>
    <definedName name="OSRRefP22_11x_0" localSheetId="82">'415'!$P$58:$P$60</definedName>
    <definedName name="OSRRefP22_11x_0" localSheetId="83">'418'!$P$64</definedName>
    <definedName name="OSRRefP22_11x_0" localSheetId="87">'425'!$P$60:$P$61</definedName>
    <definedName name="OSRRefP22_11x_0" localSheetId="91">'433'!$P$61:$P$63</definedName>
    <definedName name="OSRRefP22_11x_0" localSheetId="93">'444'!$P$60:$P$61</definedName>
    <definedName name="OSRRefP22_11x_0" localSheetId="95">'450'!$P$60:$P$61</definedName>
    <definedName name="OSRRefP22_11x_0" localSheetId="75">'491'!$P$71</definedName>
    <definedName name="OSRRefP22_11x_0" localSheetId="89">'492'!$P$64</definedName>
    <definedName name="OSRRefP22_11x_0" localSheetId="97">'501'!$P$56:$P$59</definedName>
    <definedName name="OSRRefP22_11x_0" localSheetId="39">'Div 2'!$P$59</definedName>
    <definedName name="OSRRefP22_11x_0" localSheetId="47">'Div 3'!$P$203</definedName>
    <definedName name="OSRRefP22_11x_0" localSheetId="73">'Div 4'!$P$73</definedName>
    <definedName name="OSRRefP22_11x_0" localSheetId="96">'Div 5'!$P$56:$P$59</definedName>
    <definedName name="OSRRefP22_11x_0" localSheetId="2">Summary!$P$237:$P$238</definedName>
    <definedName name="OSRRefP22_12x_0" localSheetId="41">'201'!$P$58:$P$60</definedName>
    <definedName name="OSRRefP22_12x_0" localSheetId="42">'202'!$P$56</definedName>
    <definedName name="OSRRefP22_12x_0" localSheetId="43">'203'!$P$59:$P$61</definedName>
    <definedName name="OSRRefP22_12x_0" localSheetId="48">'300'!$P$199</definedName>
    <definedName name="OSRRefP22_12x_0" localSheetId="49">'300 &amp; 317'!$P$223</definedName>
    <definedName name="OSRRefP22_12x_0" localSheetId="50">'301'!$P$59</definedName>
    <definedName name="OSRRefP22_12x_0" localSheetId="55">'308'!$P$103:$P$104</definedName>
    <definedName name="OSRRefP22_12x_0" localSheetId="66">'310'!$P$68</definedName>
    <definedName name="OSRRefP22_12x_0" localSheetId="74">'310 &amp; 491'!$P$80</definedName>
    <definedName name="OSRRefP22_12x_0" localSheetId="56">'311'!$P$102:$P$103</definedName>
    <definedName name="OSRRefP22_12x_0" localSheetId="68">'313'!$P$70</definedName>
    <definedName name="OSRRefP22_12x_0" localSheetId="59">'315'!$P$94</definedName>
    <definedName name="OSRRefP22_12x_0" localSheetId="70">'322'!$P$67</definedName>
    <definedName name="OSRRefP22_12x_0" localSheetId="71">'325'!$P$65</definedName>
    <definedName name="OSRRefP22_12x_0" localSheetId="60">'326'!$P$91</definedName>
    <definedName name="OSRRefP22_12x_0" localSheetId="52">'330'!$P$114</definedName>
    <definedName name="OSRRefP22_12x_0" localSheetId="58">'331'!$P$107</definedName>
    <definedName name="OSRRefP22_12x_0" localSheetId="61">'332'!$P$80</definedName>
    <definedName name="OSRRefP22_12x_0" localSheetId="76">'405'!$P$60:$P$62</definedName>
    <definedName name="OSRRefP22_12x_0" localSheetId="77">'406'!$P$66</definedName>
    <definedName name="OSRRefP22_12x_0" localSheetId="78">'411'!$P$71</definedName>
    <definedName name="OSRRefP22_12x_0" localSheetId="79">'412'!$P$68</definedName>
    <definedName name="OSRRefP22_12x_0" localSheetId="81">'414'!$P$61:$P$67</definedName>
    <definedName name="OSRRefP22_12x_0" localSheetId="82">'415'!$P$62:$P$66</definedName>
    <definedName name="OSRRefP22_12x_0" localSheetId="83">'418'!$P$66:$P$72</definedName>
    <definedName name="OSRRefP22_12x_0" localSheetId="87">'425'!$P$63:$P$68</definedName>
    <definedName name="OSRRefP22_12x_0" localSheetId="91">'433'!$P$65:$P$70</definedName>
    <definedName name="OSRRefP22_12x_0" localSheetId="93">'444'!$P$63:$P$65</definedName>
    <definedName name="OSRRefP22_12x_0" localSheetId="95">'450'!$P$63:$P$65</definedName>
    <definedName name="OSRRefP22_12x_0" localSheetId="75">'491'!$P$73</definedName>
    <definedName name="OSRRefP22_12x_0" localSheetId="89">'492'!$P$66:$P$68</definedName>
    <definedName name="OSRRefP22_12x_0" localSheetId="97">'501'!$P$61</definedName>
    <definedName name="OSRRefP22_12x_0" localSheetId="39">'Div 2'!$P$61:$P$64</definedName>
    <definedName name="OSRRefP22_12x_0" localSheetId="47">'Div 3'!$P$205</definedName>
    <definedName name="OSRRefP22_12x_0" localSheetId="73">'Div 4'!$P$75</definedName>
    <definedName name="OSRRefP22_12x_0" localSheetId="96">'Div 5'!$P$61</definedName>
    <definedName name="OSRRefP22_12x_0" localSheetId="2">Summary!$P$240</definedName>
    <definedName name="OSRRefP22_13x_0" localSheetId="41">'201'!$P$62</definedName>
    <definedName name="OSRRefP22_13x_0" localSheetId="42">'202'!$P$58</definedName>
    <definedName name="OSRRefP22_13x_0" localSheetId="43">'203'!$P$63</definedName>
    <definedName name="OSRRefP22_13x_0" localSheetId="48">'300'!$P$201</definedName>
    <definedName name="OSRRefP22_13x_0" localSheetId="49">'300 &amp; 317'!$P$225</definedName>
    <definedName name="OSRRefP22_13x_0" localSheetId="50">'301'!$P$61</definedName>
    <definedName name="OSRRefP22_13x_0" localSheetId="55">'308'!$P$106</definedName>
    <definedName name="OSRRefP22_13x_0" localSheetId="66">'310'!$P$70</definedName>
    <definedName name="OSRRefP22_13x_0" localSheetId="74">'310 &amp; 491'!$P$82</definedName>
    <definedName name="OSRRefP22_13x_0" localSheetId="56">'311'!$P$105</definedName>
    <definedName name="OSRRefP22_13x_0" localSheetId="68">'313'!$P$72</definedName>
    <definedName name="OSRRefP22_13x_0" localSheetId="59">'315'!$P$96</definedName>
    <definedName name="OSRRefP22_13x_0" localSheetId="70">'322'!$P$69</definedName>
    <definedName name="OSRRefP22_13x_0" localSheetId="71">'325'!$P$67:$P$72</definedName>
    <definedName name="OSRRefP22_13x_0" localSheetId="60">'326'!$P$93:$P$94</definedName>
    <definedName name="OSRRefP22_13x_0" localSheetId="58">'331'!$P$109</definedName>
    <definedName name="OSRRefP22_13x_0" localSheetId="76">'405'!$P$64</definedName>
    <definedName name="OSRRefP22_13x_0" localSheetId="78">'411'!$P$73</definedName>
    <definedName name="OSRRefP22_13x_0" localSheetId="79">'412'!$P$70</definedName>
    <definedName name="OSRRefP22_13x_0" localSheetId="81">'414'!$P$69</definedName>
    <definedName name="OSRRefP22_13x_0" localSheetId="82">'415'!$P$68</definedName>
    <definedName name="OSRRefP22_13x_0" localSheetId="83">'418'!$P$74</definedName>
    <definedName name="OSRRefP22_13x_0" localSheetId="87">'425'!$P$70</definedName>
    <definedName name="OSRRefP22_13x_0" localSheetId="91">'433'!$P$72</definedName>
    <definedName name="OSRRefP22_13x_0" localSheetId="93">'444'!$P$67:$P$73</definedName>
    <definedName name="OSRRefP22_13x_0" localSheetId="95">'450'!$P$67:$P$72</definedName>
    <definedName name="OSRRefP22_13x_0" localSheetId="75">'491'!$P$75</definedName>
    <definedName name="OSRRefP22_13x_0" localSheetId="89">'492'!$P$70:$P$72</definedName>
    <definedName name="OSRRefP22_13x_0" localSheetId="39">'Div 2'!$P$66:$P$68</definedName>
    <definedName name="OSRRefP22_13x_0" localSheetId="47">'Div 3'!$P$207</definedName>
    <definedName name="OSRRefP22_13x_0" localSheetId="73">'Div 4'!$P$77</definedName>
    <definedName name="OSRRefP22_13x_0" localSheetId="2">Summary!$P$242</definedName>
    <definedName name="OSRRefP22_14x_0" localSheetId="41">'201'!$P$64</definedName>
    <definedName name="OSRRefP22_14x_0" localSheetId="43">'203'!$P$65</definedName>
    <definedName name="OSRRefP22_14x_0" localSheetId="48">'300'!$P$203</definedName>
    <definedName name="OSRRefP22_14x_0" localSheetId="49">'300 &amp; 317'!$P$227</definedName>
    <definedName name="OSRRefP22_14x_0" localSheetId="50">'301'!$P$63:$P$65</definedName>
    <definedName name="OSRRefP22_14x_0" localSheetId="55">'308'!$P$108</definedName>
    <definedName name="OSRRefP22_14x_0" localSheetId="66">'310'!$P$72:$P$74</definedName>
    <definedName name="OSRRefP22_14x_0" localSheetId="74">'310 &amp; 491'!$P$84</definedName>
    <definedName name="OSRRefP22_14x_0" localSheetId="56">'311'!$P$107</definedName>
    <definedName name="OSRRefP22_14x_0" localSheetId="59">'315'!$P$98</definedName>
    <definedName name="OSRRefP22_14x_0" localSheetId="71">'325'!$P$74</definedName>
    <definedName name="OSRRefP22_14x_0" localSheetId="60">'326'!$P$96:$P$98</definedName>
    <definedName name="OSRRefP22_14x_0" localSheetId="58">'331'!$P$111:$P$113</definedName>
    <definedName name="OSRRefP22_14x_0" localSheetId="76">'405'!$P$66:$P$72</definedName>
    <definedName name="OSRRefP22_14x_0" localSheetId="78">'411'!$P$75:$P$77</definedName>
    <definedName name="OSRRefP22_14x_0" localSheetId="81">'414'!$P$71</definedName>
    <definedName name="OSRRefP22_14x_0" localSheetId="82">'415'!$P$70:$P$76</definedName>
    <definedName name="OSRRefP22_14x_0" localSheetId="83">'418'!$P$76</definedName>
    <definedName name="OSRRefP22_14x_0" localSheetId="87">'425'!$P$72</definedName>
    <definedName name="OSRRefP22_14x_0" localSheetId="91">'433'!$P$74</definedName>
    <definedName name="OSRRefP22_14x_0" localSheetId="93">'444'!$P$75</definedName>
    <definedName name="OSRRefP22_14x_0" localSheetId="95">'450'!$P$74</definedName>
    <definedName name="OSRRefP22_14x_0" localSheetId="75">'491'!$P$77:$P$79</definedName>
    <definedName name="OSRRefP22_14x_0" localSheetId="89">'492'!$P$74:$P$80</definedName>
    <definedName name="OSRRefP22_14x_0" localSheetId="39">'Div 2'!$P$70:$P$71</definedName>
    <definedName name="OSRRefP22_14x_0" localSheetId="47">'Div 3'!$P$209</definedName>
    <definedName name="OSRRefP22_14x_0" localSheetId="73">'Div 4'!$P$79</definedName>
    <definedName name="OSRRefP22_14x_0" localSheetId="2">Summary!$P$244</definedName>
    <definedName name="OSRRefP22_15x_0" localSheetId="41">'201'!$P$66:$P$67</definedName>
    <definedName name="OSRRefP22_15x_0" localSheetId="43">'203'!$P$67</definedName>
    <definedName name="OSRRefP22_15x_0" localSheetId="48">'300'!$P$205</definedName>
    <definedName name="OSRRefP22_15x_0" localSheetId="49">'300 &amp; 317'!$P$229</definedName>
    <definedName name="OSRRefP22_15x_0" localSheetId="50">'301'!$P$67:$P$69</definedName>
    <definedName name="OSRRefP22_15x_0" localSheetId="66">'310'!$P$76</definedName>
    <definedName name="OSRRefP22_15x_0" localSheetId="74">'310 &amp; 491'!$P$86</definedName>
    <definedName name="OSRRefP22_15x_0" localSheetId="71">'325'!$P$76</definedName>
    <definedName name="OSRRefP22_15x_0" localSheetId="60">'326'!$P$100</definedName>
    <definedName name="OSRRefP22_15x_0" localSheetId="58">'331'!$P$115:$P$116</definedName>
    <definedName name="OSRRefP22_15x_0" localSheetId="76">'405'!$P$74</definedName>
    <definedName name="OSRRefP22_15x_0" localSheetId="78">'411'!$P$79</definedName>
    <definedName name="OSRRefP22_15x_0" localSheetId="82">'415'!$P$78</definedName>
    <definedName name="OSRRefP22_15x_0" localSheetId="87">'425'!$P$74</definedName>
    <definedName name="OSRRefP22_15x_0" localSheetId="91">'433'!$P$76:$P$77</definedName>
    <definedName name="OSRRefP22_15x_0" localSheetId="93">'444'!$P$77</definedName>
    <definedName name="OSRRefP22_15x_0" localSheetId="95">'450'!$P$76</definedName>
    <definedName name="OSRRefP22_15x_0" localSheetId="75">'491'!$P$81:$P$82</definedName>
    <definedName name="OSRRefP22_15x_0" localSheetId="89">'492'!$P$82</definedName>
    <definedName name="OSRRefP22_15x_0" localSheetId="39">'Div 2'!$P$73</definedName>
    <definedName name="OSRRefP22_15x_0" localSheetId="47">'Div 3'!$P$211</definedName>
    <definedName name="OSRRefP22_15x_0" localSheetId="73">'Div 4'!$P$81</definedName>
    <definedName name="OSRRefP22_15x_0" localSheetId="2">Summary!$P$246</definedName>
    <definedName name="OSRRefP22_16x_0" localSheetId="48">'300'!$P$207:$P$209</definedName>
    <definedName name="OSRRefP22_16x_0" localSheetId="49">'300 &amp; 317'!$P$231:$P$233</definedName>
    <definedName name="OSRRefP22_16x_0" localSheetId="50">'301'!$P$71</definedName>
    <definedName name="OSRRefP22_16x_0" localSheetId="66">'310'!$P$78:$P$81</definedName>
    <definedName name="OSRRefP22_16x_0" localSheetId="74">'310 &amp; 491'!$P$88:$P$90</definedName>
    <definedName name="OSRRefP22_16x_0" localSheetId="60">'326'!$P$102:$P$105</definedName>
    <definedName name="OSRRefP22_16x_0" localSheetId="58">'331'!$P$118:$P$120</definedName>
    <definedName name="OSRRefP22_16x_0" localSheetId="76">'405'!$P$76</definedName>
    <definedName name="OSRRefP22_16x_0" localSheetId="82">'415'!$P$80</definedName>
    <definedName name="OSRRefP22_16x_0" localSheetId="93">'444'!$P$79</definedName>
    <definedName name="OSRRefP22_16x_0" localSheetId="95">'450'!$P$78:$P$79</definedName>
    <definedName name="OSRRefP22_16x_0" localSheetId="75">'491'!$P$84:$P$88</definedName>
    <definedName name="OSRRefP22_16x_0" localSheetId="89">'492'!$P$84</definedName>
    <definedName name="OSRRefP22_16x_0" localSheetId="39">'Div 2'!$P$75:$P$78</definedName>
    <definedName name="OSRRefP22_16x_0" localSheetId="47">'Div 3'!$P$213</definedName>
    <definedName name="OSRRefP22_16x_0" localSheetId="73">'Div 4'!$P$83:$P$85</definedName>
    <definedName name="OSRRefP22_16x_0" localSheetId="2">Summary!$P$248</definedName>
    <definedName name="OSRRefP22_17x_0" localSheetId="48">'300'!$P$211:$P$213</definedName>
    <definedName name="OSRRefP22_17x_0" localSheetId="49">'300 &amp; 317'!$P$235:$P$237</definedName>
    <definedName name="OSRRefP22_17x_0" localSheetId="50">'301'!$P$73:$P$77</definedName>
    <definedName name="OSRRefP22_17x_0" localSheetId="66">'310'!$P$83:$P$84</definedName>
    <definedName name="OSRRefP22_17x_0" localSheetId="74">'310 &amp; 491'!$P$92:$P$93</definedName>
    <definedName name="OSRRefP22_17x_0" localSheetId="60">'326'!$P$107</definedName>
    <definedName name="OSRRefP22_17x_0" localSheetId="58">'331'!$P$122</definedName>
    <definedName name="OSRRefP22_17x_0" localSheetId="76">'405'!$P$78</definedName>
    <definedName name="OSRRefP22_17x_0" localSheetId="82">'415'!$P$82</definedName>
    <definedName name="OSRRefP22_17x_0" localSheetId="75">'491'!$P$90</definedName>
    <definedName name="OSRRefP22_17x_0" localSheetId="89">'492'!$P$86:$P$87</definedName>
    <definedName name="OSRRefP22_17x_0" localSheetId="39">'Div 2'!$P$80:$P$81</definedName>
    <definedName name="OSRRefP22_17x_0" localSheetId="47">'Div 3'!$P$215:$P$217</definedName>
    <definedName name="OSRRefP22_17x_0" localSheetId="73">'Div 4'!$P$87:$P$88</definedName>
    <definedName name="OSRRefP22_17x_0" localSheetId="2">Summary!$P$250</definedName>
    <definedName name="OSRRefP22_18x_0" localSheetId="48">'300'!$P$215:$P$218</definedName>
    <definedName name="OSRRefP22_18x_0" localSheetId="49">'300 &amp; 317'!$P$239:$P$242</definedName>
    <definedName name="OSRRefP22_18x_0" localSheetId="50">'301'!$P$79</definedName>
    <definedName name="OSRRefP22_18x_0" localSheetId="66">'310'!$P$86:$P$92</definedName>
    <definedName name="OSRRefP22_18x_0" localSheetId="74">'310 &amp; 491'!$P$95:$P$99</definedName>
    <definedName name="OSRRefP22_18x_0" localSheetId="60">'326'!$P$109</definedName>
    <definedName name="OSRRefP22_18x_0" localSheetId="58">'331'!$P$124:$P$128</definedName>
    <definedName name="OSRRefP22_18x_0" localSheetId="75">'491'!$P$92:$P$99</definedName>
    <definedName name="OSRRefP22_18x_0" localSheetId="39">'Div 2'!$P$83</definedName>
    <definedName name="OSRRefP22_18x_0" localSheetId="47">'Div 3'!$P$219:$P$221</definedName>
    <definedName name="OSRRefP22_18x_0" localSheetId="73">'Div 4'!$P$90:$P$94</definedName>
    <definedName name="OSRRefP22_18x_0" localSheetId="2">Summary!$P$252:$P$254</definedName>
    <definedName name="OSRRefP22_19x_0" localSheetId="48">'300'!$P$220:$P$221</definedName>
    <definedName name="OSRRefP22_19x_0" localSheetId="49">'300 &amp; 317'!$P$244:$P$245</definedName>
    <definedName name="OSRRefP22_19x_0" localSheetId="50">'301'!$P$81</definedName>
    <definedName name="OSRRefP22_19x_0" localSheetId="66">'310'!$P$94</definedName>
    <definedName name="OSRRefP22_19x_0" localSheetId="74">'310 &amp; 491'!$P$101:$P$102</definedName>
    <definedName name="OSRRefP22_19x_0" localSheetId="60">'326'!$P$111</definedName>
    <definedName name="OSRRefP22_19x_0" localSheetId="58">'331'!$P$130</definedName>
    <definedName name="OSRRefP22_19x_0" localSheetId="75">'491'!$P$101</definedName>
    <definedName name="OSRRefP22_19x_0" localSheetId="39">'Div 2'!$P$85:$P$86</definedName>
    <definedName name="OSRRefP22_19x_0" localSheetId="47">'Div 3'!$P$223:$P$227</definedName>
    <definedName name="OSRRefP22_19x_0" localSheetId="73">'Div 4'!$P$96</definedName>
    <definedName name="OSRRefP22_19x_0" localSheetId="2">Summary!$P$256:$P$258</definedName>
    <definedName name="OSRRefP22_1x_0" localSheetId="40">'200'!$P$22</definedName>
    <definedName name="OSRRefP22_1x_0" localSheetId="41">'201'!$P$30:$P$32</definedName>
    <definedName name="OSRRefP22_1x_0" localSheetId="42">'202'!$P$29:$P$32</definedName>
    <definedName name="OSRRefP22_1x_0" localSheetId="43">'203'!$P$31:$P$34</definedName>
    <definedName name="OSRRefP22_1x_0" localSheetId="44">'204'!$P$30:$P$34</definedName>
    <definedName name="OSRRefP22_1x_0" localSheetId="45">'205'!$P$29</definedName>
    <definedName name="OSRRefP22_1x_0" localSheetId="46">'206'!$P$29:$P$34</definedName>
    <definedName name="OSRRefP22_1x_0" localSheetId="48">'300'!$P$168:$P$174</definedName>
    <definedName name="OSRRefP22_1x_0" localSheetId="49">'300 &amp; 317'!$P$192:$P$198</definedName>
    <definedName name="OSRRefP22_1x_0" localSheetId="50">'301'!$P$29:$P$35</definedName>
    <definedName name="OSRRefP22_1x_0" localSheetId="51">'306'!$P$30:$P$34</definedName>
    <definedName name="OSRRefP22_1x_0" localSheetId="53">'307'!$P$78:$P$80</definedName>
    <definedName name="OSRRefP22_1x_0" localSheetId="55">'308'!$P$72:$P$76</definedName>
    <definedName name="OSRRefP22_1x_0" localSheetId="67">'309'!$P$33:$P$37</definedName>
    <definedName name="OSRRefP22_1x_0" localSheetId="66">'310'!$P$40:$P$45</definedName>
    <definedName name="OSRRefP22_1x_0" localSheetId="74">'310 &amp; 491'!$P$49:$P$55</definedName>
    <definedName name="OSRRefP22_1x_0" localSheetId="56">'311'!$P$71:$P$75</definedName>
    <definedName name="OSRRefP22_1x_0" localSheetId="68">'313'!$P$37:$P$41</definedName>
    <definedName name="OSRRefP22_1x_0" localSheetId="54">'314'!$P$63:$P$65</definedName>
    <definedName name="OSRRefP22_1x_0" localSheetId="59">'315'!$P$63:$P$67</definedName>
    <definedName name="OSRRefP22_1x_0" localSheetId="62">'316'!$P$41:$P$44</definedName>
    <definedName name="OSRRefP22_1x_0" localSheetId="65">'317'!$P$66:$P$69</definedName>
    <definedName name="OSRRefP22_1x_0" localSheetId="63">'320'!$P$37:$P$39</definedName>
    <definedName name="OSRRefP22_1x_0" localSheetId="69">'321'!$P$32:$P$36</definedName>
    <definedName name="OSRRefP22_1x_0" localSheetId="70">'322'!$P$33:$P$37</definedName>
    <definedName name="OSRRefP22_1x_0" localSheetId="71">'325'!$P$33:$P$38</definedName>
    <definedName name="OSRRefP22_1x_0" localSheetId="60">'326'!$P$66:$P$69</definedName>
    <definedName name="OSRRefP22_1x_0" localSheetId="72">'327'!$P$24</definedName>
    <definedName name="OSRRefP22_1x_0" localSheetId="52">'330'!$P$86:$P$88</definedName>
    <definedName name="OSRRefP22_1x_0" localSheetId="58">'331'!$P$80:$P$84</definedName>
    <definedName name="OSRRefP22_1x_0" localSheetId="61">'332'!$P$50:$P$53</definedName>
    <definedName name="OSRRefP22_1x_0" localSheetId="76">'405'!$P$33:$P$36</definedName>
    <definedName name="OSRRefP22_1x_0" localSheetId="77">'406'!$P$33:$P$37</definedName>
    <definedName name="OSRRefP22_1x_0" localSheetId="78">'411'!$P$30:$P$35</definedName>
    <definedName name="OSRRefP22_1x_0" localSheetId="79">'412'!$P$32:$P$37</definedName>
    <definedName name="OSRRefP22_1x_0" localSheetId="80">'413'!$P$33:$P$37</definedName>
    <definedName name="OSRRefP22_1x_0" localSheetId="81">'414'!$P$33:$P$38</definedName>
    <definedName name="OSRRefP22_1x_0" localSheetId="82">'415'!$P$33:$P$37</definedName>
    <definedName name="OSRRefP22_1x_0" localSheetId="83">'418'!$P$33:$P$38</definedName>
    <definedName name="OSRRefP22_1x_0" localSheetId="84">'420'!$P$23</definedName>
    <definedName name="OSRRefP22_1x_0" localSheetId="85">'423'!$P$30</definedName>
    <definedName name="OSRRefP22_1x_0" localSheetId="86">'424'!$P$28:$P$31</definedName>
    <definedName name="OSRRefP22_1x_0" localSheetId="87">'425'!$P$35:$P$39</definedName>
    <definedName name="OSRRefP22_1x_0" localSheetId="90">'430'!$P$29</definedName>
    <definedName name="OSRRefP22_1x_0" localSheetId="91">'433'!$P$36:$P$41</definedName>
    <definedName name="OSRRefP22_1x_0" localSheetId="92">'435'!$P$29:$P$30</definedName>
    <definedName name="OSRRefP22_1x_0" localSheetId="93">'444'!$P$35:$P$40</definedName>
    <definedName name="OSRRefP22_1x_0" localSheetId="95">'450'!$P$35:$P$40</definedName>
    <definedName name="OSRRefP22_1x_0" localSheetId="88">'455'!$P$28:$P$29</definedName>
    <definedName name="OSRRefP22_1x_0" localSheetId="75">'491'!$P$42:$P$48</definedName>
    <definedName name="OSRRefP22_1x_0" localSheetId="89">'492'!$P$38:$P$44</definedName>
    <definedName name="OSRRefP22_1x_0" localSheetId="97">'501'!$P$30:$P$35</definedName>
    <definedName name="OSRRefP22_1x_0" localSheetId="39">'Div 2'!$P$32:$P$38</definedName>
    <definedName name="OSRRefP22_1x_0" localSheetId="47">'Div 3'!$P$174:$P$180</definedName>
    <definedName name="OSRRefP22_1x_0" localSheetId="73">'Div 4'!$P$44:$P$50</definedName>
    <definedName name="OSRRefP22_1x_0" localSheetId="96">'Div 5'!$P$30:$P$35</definedName>
    <definedName name="OSRRefP22_1x_0" localSheetId="64">'Div 6'!$P$66:$P$69</definedName>
    <definedName name="OSRRefP22_1x_0" localSheetId="2">Summary!$P$207:$P$213</definedName>
    <definedName name="OSRRefP22_20x_0" localSheetId="48">'300'!$P$223:$P$228</definedName>
    <definedName name="OSRRefP22_20x_0" localSheetId="49">'300 &amp; 317'!$P$247:$P$252</definedName>
    <definedName name="OSRRefP22_20x_0" localSheetId="50">'301'!$P$83:$P$84</definedName>
    <definedName name="OSRRefP22_20x_0" localSheetId="66">'310'!$P$96</definedName>
    <definedName name="OSRRefP22_20x_0" localSheetId="74">'310 &amp; 491'!$P$104:$P$111</definedName>
    <definedName name="OSRRefP22_20x_0" localSheetId="58">'331'!$P$132</definedName>
    <definedName name="OSRRefP22_20x_0" localSheetId="75">'491'!$P$103</definedName>
    <definedName name="OSRRefP22_20x_0" localSheetId="47">'Div 3'!$P$229:$P$230</definedName>
    <definedName name="OSRRefP22_20x_0" localSheetId="73">'Div 4'!$P$98:$P$105</definedName>
    <definedName name="OSRRefP22_20x_0" localSheetId="2">Summary!$P$260:$P$264</definedName>
    <definedName name="OSRRefP22_21x_0" localSheetId="48">'300'!$P$230:$P$231</definedName>
    <definedName name="OSRRefP22_21x_0" localSheetId="49">'300 &amp; 317'!$P$254:$P$255</definedName>
    <definedName name="OSRRefP22_21x_0" localSheetId="50">'301'!$P$86</definedName>
    <definedName name="OSRRefP22_21x_0" localSheetId="66">'310'!$P$98</definedName>
    <definedName name="OSRRefP22_21x_0" localSheetId="74">'310 &amp; 491'!$P$113</definedName>
    <definedName name="OSRRefP22_21x_0" localSheetId="58">'331'!$P$134</definedName>
    <definedName name="OSRRefP22_21x_0" localSheetId="75">'491'!$P$105:$P$107</definedName>
    <definedName name="OSRRefP22_21x_0" localSheetId="47">'Div 3'!$P$232:$P$238</definedName>
    <definedName name="OSRRefP22_21x_0" localSheetId="73">'Div 4'!$P$107</definedName>
    <definedName name="OSRRefP22_21x_0" localSheetId="2">Summary!$P$266:$P$267</definedName>
    <definedName name="OSRRefP22_22x_0" localSheetId="48">'300'!$P$233</definedName>
    <definedName name="OSRRefP22_22x_0" localSheetId="49">'300 &amp; 317'!$P$257</definedName>
    <definedName name="OSRRefP22_22x_0" localSheetId="74">'310 &amp; 491'!$P$115</definedName>
    <definedName name="OSRRefP22_22x_0" localSheetId="58">'331'!$P$136</definedName>
    <definedName name="OSRRefP22_22x_0" localSheetId="75">'491'!$P$109</definedName>
    <definedName name="OSRRefP22_22x_0" localSheetId="47">'Div 3'!$P$240:$P$241</definedName>
    <definedName name="OSRRefP22_22x_0" localSheetId="73">'Div 4'!$P$109</definedName>
    <definedName name="OSRRefP22_22x_0" localSheetId="2">Summary!$P$269:$P$276</definedName>
    <definedName name="OSRRefP22_23x_0" localSheetId="48">'300'!$P$235:$P$237</definedName>
    <definedName name="OSRRefP22_23x_0" localSheetId="49">'300 &amp; 317'!$P$259:$P$261</definedName>
    <definedName name="OSRRefP22_23x_0" localSheetId="74">'310 &amp; 491'!$P$117:$P$119</definedName>
    <definedName name="OSRRefP22_23x_0" localSheetId="47">'Div 3'!$P$243</definedName>
    <definedName name="OSRRefP22_23x_0" localSheetId="73">'Div 4'!$P$111:$P$113</definedName>
    <definedName name="OSRRefP22_23x_0" localSheetId="2">Summary!$P$278:$P$279</definedName>
    <definedName name="OSRRefP22_24x_0" localSheetId="48">'300'!$P$239</definedName>
    <definedName name="OSRRefP22_24x_0" localSheetId="49">'300 &amp; 317'!$P$263</definedName>
    <definedName name="OSRRefP22_24x_0" localSheetId="74">'310 &amp; 491'!$P$121</definedName>
    <definedName name="OSRRefP22_24x_0" localSheetId="47">'Div 3'!$P$245:$P$247</definedName>
    <definedName name="OSRRefP22_24x_0" localSheetId="73">'Div 4'!$P$115</definedName>
    <definedName name="OSRRefP22_24x_0" localSheetId="2">Summary!$P$281</definedName>
    <definedName name="OSRRefP22_25x_0" localSheetId="47">'Div 3'!$P$249</definedName>
    <definedName name="OSRRefP22_25x_0" localSheetId="2">Summary!$P$283:$P$285</definedName>
    <definedName name="OSRRefP22_26x_0" localSheetId="2">Summary!$P$287</definedName>
    <definedName name="OSRRefP22_2x_0" localSheetId="40">'200'!$P$24</definedName>
    <definedName name="OSRRefP22_2x_0" localSheetId="41">'201'!$P$34</definedName>
    <definedName name="OSRRefP22_2x_0" localSheetId="42">'202'!$P$34</definedName>
    <definedName name="OSRRefP22_2x_0" localSheetId="43">'203'!$P$36</definedName>
    <definedName name="OSRRefP22_2x_0" localSheetId="44">'204'!$P$36</definedName>
    <definedName name="OSRRefP22_2x_0" localSheetId="45">'205'!$P$31</definedName>
    <definedName name="OSRRefP22_2x_0" localSheetId="46">'206'!$P$36</definedName>
    <definedName name="OSRRefP22_2x_0" localSheetId="48">'300'!$P$176</definedName>
    <definedName name="OSRRefP22_2x_0" localSheetId="49">'300 &amp; 317'!$P$200</definedName>
    <definedName name="OSRRefP22_2x_0" localSheetId="50">'301'!$P$37</definedName>
    <definedName name="OSRRefP22_2x_0" localSheetId="51">'306'!$P$36</definedName>
    <definedName name="OSRRefP22_2x_0" localSheetId="53">'307'!$P$82</definedName>
    <definedName name="OSRRefP22_2x_0" localSheetId="55">'308'!$P$78</definedName>
    <definedName name="OSRRefP22_2x_0" localSheetId="67">'309'!$P$39</definedName>
    <definedName name="OSRRefP22_2x_0" localSheetId="66">'310'!$P$47</definedName>
    <definedName name="OSRRefP22_2x_0" localSheetId="74">'310 &amp; 491'!$P$57</definedName>
    <definedName name="OSRRefP22_2x_0" localSheetId="56">'311'!$P$77</definedName>
    <definedName name="OSRRefP22_2x_0" localSheetId="68">'313'!$P$43</definedName>
    <definedName name="OSRRefP22_2x_0" localSheetId="54">'314'!$P$67</definedName>
    <definedName name="OSRRefP22_2x_0" localSheetId="59">'315'!$P$69</definedName>
    <definedName name="OSRRefP22_2x_0" localSheetId="62">'316'!$P$46</definedName>
    <definedName name="OSRRefP22_2x_0" localSheetId="65">'317'!$P$71</definedName>
    <definedName name="OSRRefP22_2x_0" localSheetId="63">'320'!$P$41</definedName>
    <definedName name="OSRRefP22_2x_0" localSheetId="69">'321'!$P$38</definedName>
    <definedName name="OSRRefP22_2x_0" localSheetId="70">'322'!$P$39</definedName>
    <definedName name="OSRRefP22_2x_0" localSheetId="71">'325'!$P$40</definedName>
    <definedName name="OSRRefP22_2x_0" localSheetId="60">'326'!$P$71</definedName>
    <definedName name="OSRRefP22_2x_0" localSheetId="52">'330'!$P$90</definedName>
    <definedName name="OSRRefP22_2x_0" localSheetId="58">'331'!$P$86</definedName>
    <definedName name="OSRRefP22_2x_0" localSheetId="61">'332'!$P$55</definedName>
    <definedName name="OSRRefP22_2x_0" localSheetId="76">'405'!$P$38</definedName>
    <definedName name="OSRRefP22_2x_0" localSheetId="77">'406'!$P$39</definedName>
    <definedName name="OSRRefP22_2x_0" localSheetId="78">'411'!$P$37</definedName>
    <definedName name="OSRRefP22_2x_0" localSheetId="79">'412'!$P$39</definedName>
    <definedName name="OSRRefP22_2x_0" localSheetId="80">'413'!$P$39</definedName>
    <definedName name="OSRRefP22_2x_0" localSheetId="81">'414'!$P$40</definedName>
    <definedName name="OSRRefP22_2x_0" localSheetId="82">'415'!$P$39</definedName>
    <definedName name="OSRRefP22_2x_0" localSheetId="83">'418'!$P$40</definedName>
    <definedName name="OSRRefP22_2x_0" localSheetId="85">'423'!$P$32</definedName>
    <definedName name="OSRRefP22_2x_0" localSheetId="86">'424'!$P$33</definedName>
    <definedName name="OSRRefP22_2x_0" localSheetId="87">'425'!$P$41</definedName>
    <definedName name="OSRRefP22_2x_0" localSheetId="90">'430'!$P$31</definedName>
    <definedName name="OSRRefP22_2x_0" localSheetId="91">'433'!$P$43</definedName>
    <definedName name="OSRRefP22_2x_0" localSheetId="92">'435'!$P$32</definedName>
    <definedName name="OSRRefP22_2x_0" localSheetId="93">'444'!$P$42</definedName>
    <definedName name="OSRRefP22_2x_0" localSheetId="95">'450'!$P$42</definedName>
    <definedName name="OSRRefP22_2x_0" localSheetId="75">'491'!$P$50</definedName>
    <definedName name="OSRRefP22_2x_0" localSheetId="89">'492'!$P$46</definedName>
    <definedName name="OSRRefP22_2x_0" localSheetId="97">'501'!$P$37</definedName>
    <definedName name="OSRRefP22_2x_0" localSheetId="39">'Div 2'!$P$40</definedName>
    <definedName name="OSRRefP22_2x_0" localSheetId="47">'Div 3'!$P$182</definedName>
    <definedName name="OSRRefP22_2x_0" localSheetId="73">'Div 4'!$P$52</definedName>
    <definedName name="OSRRefP22_2x_0" localSheetId="96">'Div 5'!$P$37</definedName>
    <definedName name="OSRRefP22_2x_0" localSheetId="64">'Div 6'!$P$71</definedName>
    <definedName name="OSRRefP22_2x_0" localSheetId="2">Summary!$P$215</definedName>
    <definedName name="OSRRefP22_3x_0" localSheetId="40">'200'!$P$26:$P$27</definedName>
    <definedName name="OSRRefP22_3x_0" localSheetId="41">'201'!$P$36</definedName>
    <definedName name="OSRRefP22_3x_0" localSheetId="42">'202'!$P$36</definedName>
    <definedName name="OSRRefP22_3x_0" localSheetId="43">'203'!$P$38</definedName>
    <definedName name="OSRRefP22_3x_0" localSheetId="44">'204'!$P$38:$P$39</definedName>
    <definedName name="OSRRefP22_3x_0" localSheetId="45">'205'!$P$33</definedName>
    <definedName name="OSRRefP22_3x_0" localSheetId="46">'206'!$P$38</definedName>
    <definedName name="OSRRefP22_3x_0" localSheetId="48">'300'!$P$178</definedName>
    <definedName name="OSRRefP22_3x_0" localSheetId="49">'300 &amp; 317'!$P$202</definedName>
    <definedName name="OSRRefP22_3x_0" localSheetId="50">'301'!$P$39</definedName>
    <definedName name="OSRRefP22_3x_0" localSheetId="51">'306'!$P$38</definedName>
    <definedName name="OSRRefP22_3x_0" localSheetId="53">'307'!$P$84</definedName>
    <definedName name="OSRRefP22_3x_0" localSheetId="55">'308'!$P$80:$P$81</definedName>
    <definedName name="OSRRefP22_3x_0" localSheetId="67">'309'!$P$41</definedName>
    <definedName name="OSRRefP22_3x_0" localSheetId="66">'310'!$P$49</definedName>
    <definedName name="OSRRefP22_3x_0" localSheetId="74">'310 &amp; 491'!$P$59</definedName>
    <definedName name="OSRRefP22_3x_0" localSheetId="56">'311'!$P$79:$P$80</definedName>
    <definedName name="OSRRefP22_3x_0" localSheetId="68">'313'!$P$45</definedName>
    <definedName name="OSRRefP22_3x_0" localSheetId="54">'314'!$P$69:$P$70</definedName>
    <definedName name="OSRRefP22_3x_0" localSheetId="59">'315'!$P$71:$P$72</definedName>
    <definedName name="OSRRefP22_3x_0" localSheetId="62">'316'!$P$48</definedName>
    <definedName name="OSRRefP22_3x_0" localSheetId="65">'317'!$P$73</definedName>
    <definedName name="OSRRefP22_3x_0" localSheetId="63">'320'!$P$43</definedName>
    <definedName name="OSRRefP22_3x_0" localSheetId="69">'321'!$P$40</definedName>
    <definedName name="OSRRefP22_3x_0" localSheetId="70">'322'!$P$41</definedName>
    <definedName name="OSRRefP22_3x_0" localSheetId="71">'325'!$P$42</definedName>
    <definedName name="OSRRefP22_3x_0" localSheetId="60">'326'!$P$73</definedName>
    <definedName name="OSRRefP22_3x_0" localSheetId="52">'330'!$P$92</definedName>
    <definedName name="OSRRefP22_3x_0" localSheetId="58">'331'!$P$88</definedName>
    <definedName name="OSRRefP22_3x_0" localSheetId="61">'332'!$P$57</definedName>
    <definedName name="OSRRefP22_3x_0" localSheetId="76">'405'!$P$40</definedName>
    <definedName name="OSRRefP22_3x_0" localSheetId="77">'406'!$P$41</definedName>
    <definedName name="OSRRefP22_3x_0" localSheetId="78">'411'!$P$39:$P$41</definedName>
    <definedName name="OSRRefP22_3x_0" localSheetId="79">'412'!$P$41</definedName>
    <definedName name="OSRRefP22_3x_0" localSheetId="80">'413'!$P$41</definedName>
    <definedName name="OSRRefP22_3x_0" localSheetId="81">'414'!$P$42</definedName>
    <definedName name="OSRRefP22_3x_0" localSheetId="82">'415'!$P$41</definedName>
    <definedName name="OSRRefP22_3x_0" localSheetId="83">'418'!$P$42</definedName>
    <definedName name="OSRRefP22_3x_0" localSheetId="85">'423'!$P$34</definedName>
    <definedName name="OSRRefP22_3x_0" localSheetId="86">'424'!$P$35</definedName>
    <definedName name="OSRRefP22_3x_0" localSheetId="87">'425'!$P$43</definedName>
    <definedName name="OSRRefP22_3x_0" localSheetId="90">'430'!$P$33</definedName>
    <definedName name="OSRRefP22_3x_0" localSheetId="91">'433'!$P$45</definedName>
    <definedName name="OSRRefP22_3x_0" localSheetId="92">'435'!$P$34</definedName>
    <definedName name="OSRRefP22_3x_0" localSheetId="93">'444'!$P$44</definedName>
    <definedName name="OSRRefP22_3x_0" localSheetId="95">'450'!$P$44</definedName>
    <definedName name="OSRRefP22_3x_0" localSheetId="75">'491'!$P$52</definedName>
    <definedName name="OSRRefP22_3x_0" localSheetId="89">'492'!$P$48</definedName>
    <definedName name="OSRRefP22_3x_0" localSheetId="97">'501'!$P$39</definedName>
    <definedName name="OSRRefP22_3x_0" localSheetId="39">'Div 2'!$P$42</definedName>
    <definedName name="OSRRefP22_3x_0" localSheetId="47">'Div 3'!$P$184</definedName>
    <definedName name="OSRRefP22_3x_0" localSheetId="73">'Div 4'!$P$54</definedName>
    <definedName name="OSRRefP22_3x_0" localSheetId="96">'Div 5'!$P$39</definedName>
    <definedName name="OSRRefP22_3x_0" localSheetId="64">'Div 6'!$P$73</definedName>
    <definedName name="OSRRefP22_3x_0" localSheetId="2">Summary!$P$217</definedName>
    <definedName name="OSRRefP22_4x_0" localSheetId="41">'201'!$P$38</definedName>
    <definedName name="OSRRefP22_4x_0" localSheetId="42">'202'!$P$38</definedName>
    <definedName name="OSRRefP22_4x_0" localSheetId="43">'203'!$P$40</definedName>
    <definedName name="OSRRefP22_4x_0" localSheetId="44">'204'!$P$41</definedName>
    <definedName name="OSRRefP22_4x_0" localSheetId="45">'205'!$P$35:$P$36</definedName>
    <definedName name="OSRRefP22_4x_0" localSheetId="46">'206'!$P$40</definedName>
    <definedName name="OSRRefP22_4x_0" localSheetId="48">'300'!$P$180</definedName>
    <definedName name="OSRRefP22_4x_0" localSheetId="49">'300 &amp; 317'!$P$204</definedName>
    <definedName name="OSRRefP22_4x_0" localSheetId="50">'301'!$P$41</definedName>
    <definedName name="OSRRefP22_4x_0" localSheetId="51">'306'!$P$40</definedName>
    <definedName name="OSRRefP22_4x_0" localSheetId="53">'307'!$P$86:$P$87</definedName>
    <definedName name="OSRRefP22_4x_0" localSheetId="55">'308'!$P$83</definedName>
    <definedName name="OSRRefP22_4x_0" localSheetId="67">'309'!$P$43</definedName>
    <definedName name="OSRRefP22_4x_0" localSheetId="66">'310'!$P$51</definedName>
    <definedName name="OSRRefP22_4x_0" localSheetId="74">'310 &amp; 491'!$P$61</definedName>
    <definedName name="OSRRefP22_4x_0" localSheetId="56">'311'!$P$82</definedName>
    <definedName name="OSRRefP22_4x_0" localSheetId="68">'313'!$P$47</definedName>
    <definedName name="OSRRefP22_4x_0" localSheetId="54">'314'!$P$72</definedName>
    <definedName name="OSRRefP22_4x_0" localSheetId="59">'315'!$P$74</definedName>
    <definedName name="OSRRefP22_4x_0" localSheetId="62">'316'!$P$50</definedName>
    <definedName name="OSRRefP22_4x_0" localSheetId="65">'317'!$P$75</definedName>
    <definedName name="OSRRefP22_4x_0" localSheetId="63">'320'!$P$45:$P$46</definedName>
    <definedName name="OSRRefP22_4x_0" localSheetId="69">'321'!$P$42</definedName>
    <definedName name="OSRRefP22_4x_0" localSheetId="70">'322'!$P$43</definedName>
    <definedName name="OSRRefP22_4x_0" localSheetId="71">'325'!$P$44</definedName>
    <definedName name="OSRRefP22_4x_0" localSheetId="60">'326'!$P$75</definedName>
    <definedName name="OSRRefP22_4x_0" localSheetId="52">'330'!$P$94:$P$95</definedName>
    <definedName name="OSRRefP22_4x_0" localSheetId="58">'331'!$P$90</definedName>
    <definedName name="OSRRefP22_4x_0" localSheetId="61">'332'!$P$59</definedName>
    <definedName name="OSRRefP22_4x_0" localSheetId="76">'405'!$P$42</definedName>
    <definedName name="OSRRefP22_4x_0" localSheetId="77">'406'!$P$43</definedName>
    <definedName name="OSRRefP22_4x_0" localSheetId="78">'411'!$P$43</definedName>
    <definedName name="OSRRefP22_4x_0" localSheetId="79">'412'!$P$43</definedName>
    <definedName name="OSRRefP22_4x_0" localSheetId="80">'413'!$P$43</definedName>
    <definedName name="OSRRefP22_4x_0" localSheetId="81">'414'!$P$44</definedName>
    <definedName name="OSRRefP22_4x_0" localSheetId="82">'415'!$P$43</definedName>
    <definedName name="OSRRefP22_4x_0" localSheetId="83">'418'!$P$44</definedName>
    <definedName name="OSRRefP22_4x_0" localSheetId="85">'423'!$P$36</definedName>
    <definedName name="OSRRefP22_4x_0" localSheetId="86">'424'!$P$37</definedName>
    <definedName name="OSRRefP22_4x_0" localSheetId="87">'425'!$P$45</definedName>
    <definedName name="OSRRefP22_4x_0" localSheetId="90">'430'!$P$35</definedName>
    <definedName name="OSRRefP22_4x_0" localSheetId="91">'433'!$P$47</definedName>
    <definedName name="OSRRefP22_4x_0" localSheetId="92">'435'!$P$36</definedName>
    <definedName name="OSRRefP22_4x_0" localSheetId="93">'444'!$P$46</definedName>
    <definedName name="OSRRefP22_4x_0" localSheetId="95">'450'!$P$46</definedName>
    <definedName name="OSRRefP22_4x_0" localSheetId="75">'491'!$P$54</definedName>
    <definedName name="OSRRefP22_4x_0" localSheetId="89">'492'!$P$50</definedName>
    <definedName name="OSRRefP22_4x_0" localSheetId="97">'501'!$P$41</definedName>
    <definedName name="OSRRefP22_4x_0" localSheetId="39">'Div 2'!$P$44</definedName>
    <definedName name="OSRRefP22_4x_0" localSheetId="47">'Div 3'!$P$186</definedName>
    <definedName name="OSRRefP22_4x_0" localSheetId="73">'Div 4'!$P$56</definedName>
    <definedName name="OSRRefP22_4x_0" localSheetId="96">'Div 5'!$P$41</definedName>
    <definedName name="OSRRefP22_4x_0" localSheetId="64">'Div 6'!$P$75</definedName>
    <definedName name="OSRRefP22_4x_0" localSheetId="2">Summary!$P$219</definedName>
    <definedName name="OSRRefP22_5x_0" localSheetId="41">'201'!$P$40</definedName>
    <definedName name="OSRRefP22_5x_0" localSheetId="42">'202'!$P$40</definedName>
    <definedName name="OSRRefP22_5x_0" localSheetId="43">'203'!$P$42</definedName>
    <definedName name="OSRRefP22_5x_0" localSheetId="44">'204'!$P$43</definedName>
    <definedName name="OSRRefP22_5x_0" localSheetId="45">'205'!$P$38</definedName>
    <definedName name="OSRRefP22_5x_0" localSheetId="46">'206'!$P$42:$P$43</definedName>
    <definedName name="OSRRefP22_5x_0" localSheetId="48">'300'!$P$182:$P$183</definedName>
    <definedName name="OSRRefP22_5x_0" localSheetId="49">'300 &amp; 317'!$P$206:$P$207</definedName>
    <definedName name="OSRRefP22_5x_0" localSheetId="50">'301'!$P$43:$P$44</definedName>
    <definedName name="OSRRefP22_5x_0" localSheetId="51">'306'!$P$42</definedName>
    <definedName name="OSRRefP22_5x_0" localSheetId="53">'307'!$P$89</definedName>
    <definedName name="OSRRefP22_5x_0" localSheetId="55">'308'!$P$85</definedName>
    <definedName name="OSRRefP22_5x_0" localSheetId="67">'309'!$P$45</definedName>
    <definedName name="OSRRefP22_5x_0" localSheetId="66">'310'!$P$53:$P$54</definedName>
    <definedName name="OSRRefP22_5x_0" localSheetId="74">'310 &amp; 491'!$P$63:$P$65</definedName>
    <definedName name="OSRRefP22_5x_0" localSheetId="56">'311'!$P$84</definedName>
    <definedName name="OSRRefP22_5x_0" localSheetId="68">'313'!$P$49</definedName>
    <definedName name="OSRRefP22_5x_0" localSheetId="54">'314'!$P$74:$P$75</definedName>
    <definedName name="OSRRefP22_5x_0" localSheetId="59">'315'!$P$76</definedName>
    <definedName name="OSRRefP22_5x_0" localSheetId="62">'316'!$P$52</definedName>
    <definedName name="OSRRefP22_5x_0" localSheetId="65">'317'!$P$77</definedName>
    <definedName name="OSRRefP22_5x_0" localSheetId="63">'320'!$P$48</definedName>
    <definedName name="OSRRefP22_5x_0" localSheetId="69">'321'!$P$44</definedName>
    <definedName name="OSRRefP22_5x_0" localSheetId="70">'322'!$P$45</definedName>
    <definedName name="OSRRefP22_5x_0" localSheetId="71">'325'!$P$46:$P$47</definedName>
    <definedName name="OSRRefP22_5x_0" localSheetId="60">'326'!$P$77</definedName>
    <definedName name="OSRRefP22_5x_0" localSheetId="52">'330'!$P$97</definedName>
    <definedName name="OSRRefP22_5x_0" localSheetId="58">'331'!$P$92:$P$93</definedName>
    <definedName name="OSRRefP22_5x_0" localSheetId="61">'332'!$P$61:$P$62</definedName>
    <definedName name="OSRRefP22_5x_0" localSheetId="76">'405'!$P$44:$P$45</definedName>
    <definedName name="OSRRefP22_5x_0" localSheetId="77">'406'!$P$45</definedName>
    <definedName name="OSRRefP22_5x_0" localSheetId="78">'411'!$P$45</definedName>
    <definedName name="OSRRefP22_5x_0" localSheetId="79">'412'!$P$45</definedName>
    <definedName name="OSRRefP22_5x_0" localSheetId="80">'413'!$P$45</definedName>
    <definedName name="OSRRefP22_5x_0" localSheetId="81">'414'!$P$46</definedName>
    <definedName name="OSRRefP22_5x_0" localSheetId="82">'415'!$P$45:$P$46</definedName>
    <definedName name="OSRRefP22_5x_0" localSheetId="83">'418'!$P$46:$P$47</definedName>
    <definedName name="OSRRefP22_5x_0" localSheetId="85">'423'!$P$38</definedName>
    <definedName name="OSRRefP22_5x_0" localSheetId="86">'424'!$P$39</definedName>
    <definedName name="OSRRefP22_5x_0" localSheetId="87">'425'!$P$47</definedName>
    <definedName name="OSRRefP22_5x_0" localSheetId="90">'430'!$P$37:$P$38</definedName>
    <definedName name="OSRRefP22_5x_0" localSheetId="91">'433'!$P$49</definedName>
    <definedName name="OSRRefP22_5x_0" localSheetId="92">'435'!$P$38</definedName>
    <definedName name="OSRRefP22_5x_0" localSheetId="93">'444'!$P$48</definedName>
    <definedName name="OSRRefP22_5x_0" localSheetId="95">'450'!$P$48</definedName>
    <definedName name="OSRRefP22_5x_0" localSheetId="75">'491'!$P$56:$P$58</definedName>
    <definedName name="OSRRefP22_5x_0" localSheetId="89">'492'!$P$52</definedName>
    <definedName name="OSRRefP22_5x_0" localSheetId="97">'501'!$P$43</definedName>
    <definedName name="OSRRefP22_5x_0" localSheetId="39">'Div 2'!$P$46:$P$47</definedName>
    <definedName name="OSRRefP22_5x_0" localSheetId="47">'Div 3'!$P$188:$P$189</definedName>
    <definedName name="OSRRefP22_5x_0" localSheetId="73">'Div 4'!$P$58:$P$60</definedName>
    <definedName name="OSRRefP22_5x_0" localSheetId="96">'Div 5'!$P$43</definedName>
    <definedName name="OSRRefP22_5x_0" localSheetId="64">'Div 6'!$P$77</definedName>
    <definedName name="OSRRefP22_5x_0" localSheetId="2">Summary!$P$221:$P$223</definedName>
    <definedName name="OSRRefP22_6x_0" localSheetId="41">'201'!$P$42</definedName>
    <definedName name="OSRRefP22_6x_0" localSheetId="42">'202'!$P$42</definedName>
    <definedName name="OSRRefP22_6x_0" localSheetId="43">'203'!$P$44</definedName>
    <definedName name="OSRRefP22_6x_0" localSheetId="44">'204'!$P$45:$P$47</definedName>
    <definedName name="OSRRefP22_6x_0" localSheetId="45">'205'!$P$40:$P$41</definedName>
    <definedName name="OSRRefP22_6x_0" localSheetId="46">'206'!$P$45</definedName>
    <definedName name="OSRRefP22_6x_0" localSheetId="48">'300'!$P$185:$P$186</definedName>
    <definedName name="OSRRefP22_6x_0" localSheetId="49">'300 &amp; 317'!$P$209:$P$210</definedName>
    <definedName name="OSRRefP22_6x_0" localSheetId="50">'301'!$P$46:$P$47</definedName>
    <definedName name="OSRRefP22_6x_0" localSheetId="51">'306'!$P$44:$P$46</definedName>
    <definedName name="OSRRefP22_6x_0" localSheetId="53">'307'!$P$91</definedName>
    <definedName name="OSRRefP22_6x_0" localSheetId="55">'308'!$P$87:$P$88</definedName>
    <definedName name="OSRRefP22_6x_0" localSheetId="67">'309'!$P$47</definedName>
    <definedName name="OSRRefP22_6x_0" localSheetId="66">'310'!$P$56</definedName>
    <definedName name="OSRRefP22_6x_0" localSheetId="74">'310 &amp; 491'!$P$67</definedName>
    <definedName name="OSRRefP22_6x_0" localSheetId="56">'311'!$P$86:$P$87</definedName>
    <definedName name="OSRRefP22_6x_0" localSheetId="68">'313'!$P$51</definedName>
    <definedName name="OSRRefP22_6x_0" localSheetId="54">'314'!$P$77</definedName>
    <definedName name="OSRRefP22_6x_0" localSheetId="59">'315'!$P$78</definedName>
    <definedName name="OSRRefP22_6x_0" localSheetId="62">'316'!$P$54</definedName>
    <definedName name="OSRRefP22_6x_0" localSheetId="65">'317'!$P$79</definedName>
    <definedName name="OSRRefP22_6x_0" localSheetId="63">'320'!$P$50</definedName>
    <definedName name="OSRRefP22_6x_0" localSheetId="69">'321'!$P$46:$P$48</definedName>
    <definedName name="OSRRefP22_6x_0" localSheetId="70">'322'!$P$47</definedName>
    <definedName name="OSRRefP22_6x_0" localSheetId="71">'325'!$P$49</definedName>
    <definedName name="OSRRefP22_6x_0" localSheetId="60">'326'!$P$79</definedName>
    <definedName name="OSRRefP22_6x_0" localSheetId="52">'330'!$P$99</definedName>
    <definedName name="OSRRefP22_6x_0" localSheetId="58">'331'!$P$95</definedName>
    <definedName name="OSRRefP22_6x_0" localSheetId="61">'332'!$P$64</definedName>
    <definedName name="OSRRefP22_6x_0" localSheetId="76">'405'!$P$47</definedName>
    <definedName name="OSRRefP22_6x_0" localSheetId="77">'406'!$P$47</definedName>
    <definedName name="OSRRefP22_6x_0" localSheetId="78">'411'!$P$47</definedName>
    <definedName name="OSRRefP22_6x_0" localSheetId="79">'412'!$P$47</definedName>
    <definedName name="OSRRefP22_6x_0" localSheetId="80">'413'!$P$47</definedName>
    <definedName name="OSRRefP22_6x_0" localSheetId="81">'414'!$P$48</definedName>
    <definedName name="OSRRefP22_6x_0" localSheetId="82">'415'!$P$48</definedName>
    <definedName name="OSRRefP22_6x_0" localSheetId="83">'418'!$P$49</definedName>
    <definedName name="OSRRefP22_6x_0" localSheetId="86">'424'!$P$41</definedName>
    <definedName name="OSRRefP22_6x_0" localSheetId="87">'425'!$P$49</definedName>
    <definedName name="OSRRefP22_6x_0" localSheetId="90">'430'!$P$40</definedName>
    <definedName name="OSRRefP22_6x_0" localSheetId="91">'433'!$P$51</definedName>
    <definedName name="OSRRefP22_6x_0" localSheetId="92">'435'!$P$40:$P$43</definedName>
    <definedName name="OSRRefP22_6x_0" localSheetId="93">'444'!$P$50</definedName>
    <definedName name="OSRRefP22_6x_0" localSheetId="95">'450'!$P$50</definedName>
    <definedName name="OSRRefP22_6x_0" localSheetId="75">'491'!$P$60</definedName>
    <definedName name="OSRRefP22_6x_0" localSheetId="89">'492'!$P$54</definedName>
    <definedName name="OSRRefP22_6x_0" localSheetId="97">'501'!$P$45</definedName>
    <definedName name="OSRRefP22_6x_0" localSheetId="39">'Div 2'!$P$49</definedName>
    <definedName name="OSRRefP22_6x_0" localSheetId="47">'Div 3'!$P$191:$P$192</definedName>
    <definedName name="OSRRefP22_6x_0" localSheetId="73">'Div 4'!$P$62</definedName>
    <definedName name="OSRRefP22_6x_0" localSheetId="96">'Div 5'!$P$45</definedName>
    <definedName name="OSRRefP22_6x_0" localSheetId="64">'Div 6'!$P$79</definedName>
    <definedName name="OSRRefP22_6x_0" localSheetId="2">Summary!$P$225:$P$226</definedName>
    <definedName name="OSRRefP22_7x_0" localSheetId="41">'201'!$P$44</definedName>
    <definedName name="OSRRefP22_7x_0" localSheetId="42">'202'!$P$44</definedName>
    <definedName name="OSRRefP22_7x_0" localSheetId="43">'203'!$P$46</definedName>
    <definedName name="OSRRefP22_7x_0" localSheetId="44">'204'!$P$49:$P$50</definedName>
    <definedName name="OSRRefP22_7x_0" localSheetId="45">'205'!$P$43</definedName>
    <definedName name="OSRRefP22_7x_0" localSheetId="46">'206'!$P$47</definedName>
    <definedName name="OSRRefP22_7x_0" localSheetId="48">'300'!$P$188</definedName>
    <definedName name="OSRRefP22_7x_0" localSheetId="49">'300 &amp; 317'!$P$212</definedName>
    <definedName name="OSRRefP22_7x_0" localSheetId="50">'301'!$P$49</definedName>
    <definedName name="OSRRefP22_7x_0" localSheetId="51">'306'!$P$48</definedName>
    <definedName name="OSRRefP22_7x_0" localSheetId="53">'307'!$P$93</definedName>
    <definedName name="OSRRefP22_7x_0" localSheetId="55">'308'!$P$90</definedName>
    <definedName name="OSRRefP22_7x_0" localSheetId="67">'309'!$P$49:$P$50</definedName>
    <definedName name="OSRRefP22_7x_0" localSheetId="66">'310'!$P$58</definedName>
    <definedName name="OSRRefP22_7x_0" localSheetId="74">'310 &amp; 491'!$P$69</definedName>
    <definedName name="OSRRefP22_7x_0" localSheetId="56">'311'!$P$89</definedName>
    <definedName name="OSRRefP22_7x_0" localSheetId="68">'313'!$P$53</definedName>
    <definedName name="OSRRefP22_7x_0" localSheetId="59">'315'!$P$80</definedName>
    <definedName name="OSRRefP22_7x_0" localSheetId="62">'316'!$P$56:$P$59</definedName>
    <definedName name="OSRRefP22_7x_0" localSheetId="65">'317'!$P$81</definedName>
    <definedName name="OSRRefP22_7x_0" localSheetId="63">'320'!$P$52:$P$53</definedName>
    <definedName name="OSRRefP22_7x_0" localSheetId="69">'321'!$P$50</definedName>
    <definedName name="OSRRefP22_7x_0" localSheetId="70">'322'!$P$49</definedName>
    <definedName name="OSRRefP22_7x_0" localSheetId="71">'325'!$P$51</definedName>
    <definedName name="OSRRefP22_7x_0" localSheetId="60">'326'!$P$81</definedName>
    <definedName name="OSRRefP22_7x_0" localSheetId="52">'330'!$P$101</definedName>
    <definedName name="OSRRefP22_7x_0" localSheetId="58">'331'!$P$97</definedName>
    <definedName name="OSRRefP22_7x_0" localSheetId="61">'332'!$P$66</definedName>
    <definedName name="OSRRefP22_7x_0" localSheetId="76">'405'!$P$49</definedName>
    <definedName name="OSRRefP22_7x_0" localSheetId="77">'406'!$P$49</definedName>
    <definedName name="OSRRefP22_7x_0" localSheetId="78">'411'!$P$49</definedName>
    <definedName name="OSRRefP22_7x_0" localSheetId="79">'412'!$P$49</definedName>
    <definedName name="OSRRefP22_7x_0" localSheetId="80">'413'!$P$49:$P$51</definedName>
    <definedName name="OSRRefP22_7x_0" localSheetId="81">'414'!$P$50</definedName>
    <definedName name="OSRRefP22_7x_0" localSheetId="82">'415'!$P$50</definedName>
    <definedName name="OSRRefP22_7x_0" localSheetId="83">'418'!$P$51</definedName>
    <definedName name="OSRRefP22_7x_0" localSheetId="86">'424'!$P$43:$P$44</definedName>
    <definedName name="OSRRefP22_7x_0" localSheetId="87">'425'!$P$51</definedName>
    <definedName name="OSRRefP22_7x_0" localSheetId="90">'430'!$P$42</definedName>
    <definedName name="OSRRefP22_7x_0" localSheetId="91">'433'!$P$53</definedName>
    <definedName name="OSRRefP22_7x_0" localSheetId="92">'435'!$P$45</definedName>
    <definedName name="OSRRefP22_7x_0" localSheetId="93">'444'!$P$52</definedName>
    <definedName name="OSRRefP22_7x_0" localSheetId="95">'450'!$P$52</definedName>
    <definedName name="OSRRefP22_7x_0" localSheetId="75">'491'!$P$62</definedName>
    <definedName name="OSRRefP22_7x_0" localSheetId="89">'492'!$P$56</definedName>
    <definedName name="OSRRefP22_7x_0" localSheetId="97">'501'!$P$47</definedName>
    <definedName name="OSRRefP22_7x_0" localSheetId="39">'Div 2'!$P$51</definedName>
    <definedName name="OSRRefP22_7x_0" localSheetId="47">'Div 3'!$P$194</definedName>
    <definedName name="OSRRefP22_7x_0" localSheetId="73">'Div 4'!$P$64</definedName>
    <definedName name="OSRRefP22_7x_0" localSheetId="96">'Div 5'!$P$47</definedName>
    <definedName name="OSRRefP22_7x_0" localSheetId="64">'Div 6'!$P$81</definedName>
    <definedName name="OSRRefP22_7x_0" localSheetId="2">Summary!$P$228</definedName>
    <definedName name="OSRRefP22_8x_0" localSheetId="41">'201'!$P$46</definedName>
    <definedName name="OSRRefP22_8x_0" localSheetId="42">'202'!$P$46:$P$47</definedName>
    <definedName name="OSRRefP22_8x_0" localSheetId="43">'203'!$P$48</definedName>
    <definedName name="OSRRefP22_8x_0" localSheetId="44">'204'!$P$52:$P$53</definedName>
    <definedName name="OSRRefP22_8x_0" localSheetId="45">'205'!$P$45</definedName>
    <definedName name="OSRRefP22_8x_0" localSheetId="48">'300'!$P$190</definedName>
    <definedName name="OSRRefP22_8x_0" localSheetId="49">'300 &amp; 317'!$P$214</definedName>
    <definedName name="OSRRefP22_8x_0" localSheetId="50">'301'!$P$51</definedName>
    <definedName name="OSRRefP22_8x_0" localSheetId="51">'306'!$P$50</definedName>
    <definedName name="OSRRefP22_8x_0" localSheetId="53">'307'!$P$95:$P$96</definedName>
    <definedName name="OSRRefP22_8x_0" localSheetId="55">'308'!$P$92</definedName>
    <definedName name="OSRRefP22_8x_0" localSheetId="67">'309'!$P$52:$P$53</definedName>
    <definedName name="OSRRefP22_8x_0" localSheetId="66">'310'!$P$60</definedName>
    <definedName name="OSRRefP22_8x_0" localSheetId="74">'310 &amp; 491'!$P$71</definedName>
    <definedName name="OSRRefP22_8x_0" localSheetId="56">'311'!$P$91</definedName>
    <definedName name="OSRRefP22_8x_0" localSheetId="68">'313'!$P$55</definedName>
    <definedName name="OSRRefP22_8x_0" localSheetId="59">'315'!$P$82</definedName>
    <definedName name="OSRRefP22_8x_0" localSheetId="62">'316'!$P$61</definedName>
    <definedName name="OSRRefP22_8x_0" localSheetId="65">'317'!$P$83</definedName>
    <definedName name="OSRRefP22_8x_0" localSheetId="63">'320'!$P$55</definedName>
    <definedName name="OSRRefP22_8x_0" localSheetId="69">'321'!$P$52:$P$54</definedName>
    <definedName name="OSRRefP22_8x_0" localSheetId="70">'322'!$P$51</definedName>
    <definedName name="OSRRefP22_8x_0" localSheetId="71">'325'!$P$53</definedName>
    <definedName name="OSRRefP22_8x_0" localSheetId="60">'326'!$P$83</definedName>
    <definedName name="OSRRefP22_8x_0" localSheetId="52">'330'!$P$103:$P$104</definedName>
    <definedName name="OSRRefP22_8x_0" localSheetId="58">'331'!$P$99</definedName>
    <definedName name="OSRRefP22_8x_0" localSheetId="61">'332'!$P$68</definedName>
    <definedName name="OSRRefP22_8x_0" localSheetId="76">'405'!$P$51</definedName>
    <definedName name="OSRRefP22_8x_0" localSheetId="77">'406'!$P$51:$P$53</definedName>
    <definedName name="OSRRefP22_8x_0" localSheetId="78">'411'!$P$51</definedName>
    <definedName name="OSRRefP22_8x_0" localSheetId="79">'412'!$P$51:$P$52</definedName>
    <definedName name="OSRRefP22_8x_0" localSheetId="80">'413'!$P$53</definedName>
    <definedName name="OSRRefP22_8x_0" localSheetId="81">'414'!$P$52:$P$53</definedName>
    <definedName name="OSRRefP22_8x_0" localSheetId="82">'415'!$P$52</definedName>
    <definedName name="OSRRefP22_8x_0" localSheetId="83">'418'!$P$53:$P$54</definedName>
    <definedName name="OSRRefP22_8x_0" localSheetId="86">'424'!$P$46</definedName>
    <definedName name="OSRRefP22_8x_0" localSheetId="87">'425'!$P$53</definedName>
    <definedName name="OSRRefP22_8x_0" localSheetId="90">'430'!$P$44</definedName>
    <definedName name="OSRRefP22_8x_0" localSheetId="91">'433'!$P$55</definedName>
    <definedName name="OSRRefP22_8x_0" localSheetId="93">'444'!$P$54</definedName>
    <definedName name="OSRRefP22_8x_0" localSheetId="95">'450'!$P$54</definedName>
    <definedName name="OSRRefP22_8x_0" localSheetId="75">'491'!$P$64</definedName>
    <definedName name="OSRRefP22_8x_0" localSheetId="89">'492'!$P$58</definedName>
    <definedName name="OSRRefP22_8x_0" localSheetId="97">'501'!$P$49</definedName>
    <definedName name="OSRRefP22_8x_0" localSheetId="39">'Div 2'!$P$53</definedName>
    <definedName name="OSRRefP22_8x_0" localSheetId="47">'Div 3'!$P$196</definedName>
    <definedName name="OSRRefP22_8x_0" localSheetId="73">'Div 4'!$P$66</definedName>
    <definedName name="OSRRefP22_8x_0" localSheetId="96">'Div 5'!$P$49</definedName>
    <definedName name="OSRRefP22_8x_0" localSheetId="64">'Div 6'!$P$83</definedName>
    <definedName name="OSRRefP22_8x_0" localSheetId="2">Summary!$P$230</definedName>
    <definedName name="OSRRefP22_9x_0" localSheetId="41">'201'!$P$48:$P$50</definedName>
    <definedName name="OSRRefP22_9x_0" localSheetId="42">'202'!$P$49</definedName>
    <definedName name="OSRRefP22_9x_0" localSheetId="43">'203'!$P$50:$P$52</definedName>
    <definedName name="OSRRefP22_9x_0" localSheetId="44">'204'!$P$55</definedName>
    <definedName name="OSRRefP22_9x_0" localSheetId="48">'300'!$P$192</definedName>
    <definedName name="OSRRefP22_9x_0" localSheetId="49">'300 &amp; 317'!$P$216</definedName>
    <definedName name="OSRRefP22_9x_0" localSheetId="50">'301'!$P$53</definedName>
    <definedName name="OSRRefP22_9x_0" localSheetId="53">'307'!$P$98:$P$99</definedName>
    <definedName name="OSRRefP22_9x_0" localSheetId="55">'308'!$P$94:$P$95</definedName>
    <definedName name="OSRRefP22_9x_0" localSheetId="67">'309'!$P$55</definedName>
    <definedName name="OSRRefP22_9x_0" localSheetId="66">'310'!$P$62</definedName>
    <definedName name="OSRRefP22_9x_0" localSheetId="74">'310 &amp; 491'!$P$73</definedName>
    <definedName name="OSRRefP22_9x_0" localSheetId="56">'311'!$P$93:$P$94</definedName>
    <definedName name="OSRRefP22_9x_0" localSheetId="68">'313'!$P$57:$P$59</definedName>
    <definedName name="OSRRefP22_9x_0" localSheetId="59">'315'!$P$84:$P$85</definedName>
    <definedName name="OSRRefP22_9x_0" localSheetId="62">'316'!$P$63</definedName>
    <definedName name="OSRRefP22_9x_0" localSheetId="65">'317'!$P$85:$P$86</definedName>
    <definedName name="OSRRefP22_9x_0" localSheetId="69">'321'!$P$56:$P$60</definedName>
    <definedName name="OSRRefP22_9x_0" localSheetId="70">'322'!$P$53:$P$54</definedName>
    <definedName name="OSRRefP22_9x_0" localSheetId="71">'325'!$P$55</definedName>
    <definedName name="OSRRefP22_9x_0" localSheetId="60">'326'!$P$85</definedName>
    <definedName name="OSRRefP22_9x_0" localSheetId="52">'330'!$P$106:$P$107</definedName>
    <definedName name="OSRRefP22_9x_0" localSheetId="58">'331'!$P$101</definedName>
    <definedName name="OSRRefP22_9x_0" localSheetId="61">'332'!$P$70</definedName>
    <definedName name="OSRRefP22_9x_0" localSheetId="76">'405'!$P$53</definedName>
    <definedName name="OSRRefP22_9x_0" localSheetId="77">'406'!$P$55</definedName>
    <definedName name="OSRRefP22_9x_0" localSheetId="78">'411'!$P$53:$P$55</definedName>
    <definedName name="OSRRefP22_9x_0" localSheetId="79">'412'!$P$54</definedName>
    <definedName name="OSRRefP22_9x_0" localSheetId="80">'413'!$P$55:$P$58</definedName>
    <definedName name="OSRRefP22_9x_0" localSheetId="81">'414'!$P$55</definedName>
    <definedName name="OSRRefP22_9x_0" localSheetId="82">'415'!$P$54</definedName>
    <definedName name="OSRRefP22_9x_0" localSheetId="83">'418'!$P$56:$P$58</definedName>
    <definedName name="OSRRefP22_9x_0" localSheetId="86">'424'!$P$48:$P$52</definedName>
    <definedName name="OSRRefP22_9x_0" localSheetId="87">'425'!$P$55:$P$56</definedName>
    <definedName name="OSRRefP22_9x_0" localSheetId="91">'433'!$P$57</definedName>
    <definedName name="OSRRefP22_9x_0" localSheetId="93">'444'!$P$56</definedName>
    <definedName name="OSRRefP22_9x_0" localSheetId="95">'450'!$P$56</definedName>
    <definedName name="OSRRefP22_9x_0" localSheetId="75">'491'!$P$66:$P$67</definedName>
    <definedName name="OSRRefP22_9x_0" localSheetId="89">'492'!$P$60</definedName>
    <definedName name="OSRRefP22_9x_0" localSheetId="97">'501'!$P$51</definedName>
    <definedName name="OSRRefP22_9x_0" localSheetId="39">'Div 2'!$P$55</definedName>
    <definedName name="OSRRefP22_9x_0" localSheetId="47">'Div 3'!$P$198</definedName>
    <definedName name="OSRRefP22_9x_0" localSheetId="73">'Div 4'!$P$68</definedName>
    <definedName name="OSRRefP22_9x_0" localSheetId="96">'Div 5'!$P$51</definedName>
    <definedName name="OSRRefP22_9x_0" localSheetId="64">'Div 6'!$P$85:$P$86</definedName>
    <definedName name="OSRRefP22_9x_0" localSheetId="2">Summary!$P$232</definedName>
    <definedName name="OSRRefP22x_0" localSheetId="40">'200'!$P$20,'200'!$P$22,'200'!$P$24,'200'!$P$26:$P$27</definedName>
    <definedName name="OSRRefP22x_0" localSheetId="41">'201'!$P$20:$P$28,'201'!$P$30:$P$32,'201'!$P$34,'201'!$P$36,'201'!$P$38,'201'!$P$40,'201'!$P$42,'201'!$P$44,'201'!$P$46,'201'!$P$48:$P$50,'201'!$P$52:$P$54,'201'!$P$56,'201'!$P$58:$P$60,'201'!$P$62,'201'!$P$64,'201'!$P$66:$P$67</definedName>
    <definedName name="OSRRefP22x_0" localSheetId="42">'202'!$P$20:$P$27,'202'!$P$29:$P$32,'202'!$P$34,'202'!$P$36,'202'!$P$38,'202'!$P$40,'202'!$P$42,'202'!$P$44,'202'!$P$46:$P$47,'202'!$P$49,'202'!$P$51,'202'!$P$53:$P$54,'202'!$P$56,'202'!$P$58</definedName>
    <definedName name="OSRRefP22x_0" localSheetId="43">'203'!$P$20:$P$29,'203'!$P$31:$P$34,'203'!$P$36,'203'!$P$38,'203'!$P$40,'203'!$P$42,'203'!$P$44,'203'!$P$46,'203'!$P$48,'203'!$P$50:$P$52,'203'!$P$54:$P$55,'203'!$P$57,'203'!$P$59:$P$61,'203'!$P$63,'203'!$P$65,'203'!$P$67</definedName>
    <definedName name="OSRRefP22x_0" localSheetId="44">'204'!$P$20:$P$28,'204'!$P$30:$P$34,'204'!$P$36,'204'!$P$38:$P$39,'204'!$P$41,'204'!$P$43,'204'!$P$45:$P$47,'204'!$P$49:$P$50,'204'!$P$52:$P$53,'204'!$P$55,'204'!$P$57:$P$58</definedName>
    <definedName name="OSRRefP22x_0" localSheetId="45">'205'!$P$20:$P$27,'205'!$P$29,'205'!$P$31,'205'!$P$33,'205'!$P$35:$P$36,'205'!$P$38,'205'!$P$40:$P$41,'205'!$P$43,'205'!$P$45</definedName>
    <definedName name="OSRRefP22x_0" localSheetId="46">'206'!$P$20:$P$27,'206'!$P$29:$P$34,'206'!$P$36,'206'!$P$38,'206'!$P$40,'206'!$P$42:$P$43,'206'!$P$45,'206'!$P$47</definedName>
    <definedName name="OSRRefP22x_0" localSheetId="48">'300'!$P$158:$P$166,'300'!$P$168:$P$174,'300'!$P$176,'300'!$P$178,'300'!$P$180,'300'!$P$182:$P$183,'300'!$P$185:$P$186,'300'!$P$188,'300'!$P$190,'300'!$P$192,'300'!$P$194:$P$195,'300'!$P$197,'300'!$P$199,'300'!$P$201,'300'!$P$203,'300'!$P$205,'300'!$P$207:$P$209,'300'!$P$211:$P$213,'300'!$P$215:$P$218,'300'!$P$220:$P$221,'300'!$P$223:$P$228,'300'!$P$230:$P$231,'300'!$P$233,'300'!$P$235:$P$237,'300'!$P$239</definedName>
    <definedName name="OSRRefP22x_0" localSheetId="49">'300 &amp; 317'!$P$182:$P$190,'300 &amp; 317'!$P$192:$P$198,'300 &amp; 317'!$P$200,'300 &amp; 317'!$P$202,'300 &amp; 317'!$P$204,'300 &amp; 317'!$P$206:$P$207,'300 &amp; 317'!$P$209:$P$210,'300 &amp; 317'!$P$212,'300 &amp; 317'!$P$214,'300 &amp; 317'!$P$216,'300 &amp; 317'!$P$218:$P$219,'300 &amp; 317'!$P$221,'300 &amp; 317'!$P$223,'300 &amp; 317'!$P$225,'300 &amp; 317'!$P$227,'300 &amp; 317'!$P$229,'300 &amp; 317'!$P$231:$P$233,'300 &amp; 317'!$P$235:$P$237,'300 &amp; 317'!$P$239:$P$242,'300 &amp; 317'!$P$244:$P$245,'300 &amp; 317'!$P$247:$P$252,'300 &amp; 317'!$P$254:$P$255,'300 &amp; 317'!$P$257,'300 &amp; 317'!$P$259:$P$261,'300 &amp; 317'!$P$263</definedName>
    <definedName name="OSRRefP22x_0" localSheetId="50">'301'!$P$20:$P$27,'301'!$P$29:$P$35,'301'!$P$37,'301'!$P$39,'301'!$P$41,'301'!$P$43:$P$44,'301'!$P$46:$P$47,'301'!$P$49,'301'!$P$51,'301'!$P$53,'301'!$P$55,'301'!$P$57,'301'!$P$59,'301'!$P$61,'301'!$P$63:$P$65,'301'!$P$67:$P$69,'301'!$P$71,'301'!$P$73:$P$77,'301'!$P$79,'301'!$P$81,'301'!$P$83:$P$84,'301'!$P$86</definedName>
    <definedName name="OSRRefP22x_0" localSheetId="51">'306'!$P$20:$P$28,'306'!$P$30:$P$34,'306'!$P$36,'306'!$P$38,'306'!$P$40,'306'!$P$42,'306'!$P$44:$P$46,'306'!$P$48,'306'!$P$50</definedName>
    <definedName name="OSRRefP22x_0" localSheetId="53">'307'!$P$69:$P$76,'307'!$P$78:$P$80,'307'!$P$82,'307'!$P$84,'307'!$P$86:$P$87,'307'!$P$89,'307'!$P$91,'307'!$P$93,'307'!$P$95:$P$96,'307'!$P$98:$P$99,'307'!$P$101,'307'!$P$103</definedName>
    <definedName name="OSRRefP22x_0" localSheetId="55">'308'!$P$62:$P$70,'308'!$P$72:$P$76,'308'!$P$78,'308'!$P$80:$P$81,'308'!$P$83,'308'!$P$85,'308'!$P$87:$P$88,'308'!$P$90,'308'!$P$92,'308'!$P$94:$P$95,'308'!$P$97,'308'!$P$99:$P$101,'308'!$P$103:$P$104,'308'!$P$106,'308'!$P$108</definedName>
    <definedName name="OSRRefP22x_0" localSheetId="67">'309'!$P$24:$P$31,'309'!$P$33:$P$37,'309'!$P$39,'309'!$P$41,'309'!$P$43,'309'!$P$45,'309'!$P$47,'309'!$P$49:$P$50,'309'!$P$52:$P$53,'309'!$P$55,'309'!$P$57:$P$62,'309'!$P$64</definedName>
    <definedName name="OSRRefP22x_0" localSheetId="66">'310'!$P$31:$P$38,'310'!$P$40:$P$45,'310'!$P$47,'310'!$P$49,'310'!$P$51,'310'!$P$53:$P$54,'310'!$P$56,'310'!$P$58,'310'!$P$60,'310'!$P$62,'310'!$P$64,'310'!$P$66,'310'!$P$68,'310'!$P$70,'310'!$P$72:$P$74,'310'!$P$76,'310'!$P$78:$P$81,'310'!$P$83:$P$84,'310'!$P$86:$P$92,'310'!$P$94,'310'!$P$96,'310'!$P$98</definedName>
    <definedName name="OSRRefP22x_0" localSheetId="74">'310 &amp; 491'!$P$39:$P$47,'310 &amp; 491'!$P$49:$P$55,'310 &amp; 491'!$P$57,'310 &amp; 491'!$P$59,'310 &amp; 491'!$P$61,'310 &amp; 491'!$P$63:$P$65,'310 &amp; 491'!$P$67,'310 &amp; 491'!$P$69,'310 &amp; 491'!$P$71,'310 &amp; 491'!$P$73,'310 &amp; 491'!$P$75,'310 &amp; 491'!$P$77:$P$78,'310 &amp; 491'!$P$80,'310 &amp; 491'!$P$82,'310 &amp; 491'!$P$84,'310 &amp; 491'!$P$86,'310 &amp; 491'!$P$88:$P$90,'310 &amp; 491'!$P$92:$P$93,'310 &amp; 491'!$P$95:$P$99,'310 &amp; 491'!$P$101:$P$102,'310 &amp; 491'!$P$104:$P$111,'310 &amp; 491'!$P$113,'310 &amp; 491'!$P$115,'310 &amp; 491'!$P$117:$P$119,'310 &amp; 491'!$P$121</definedName>
    <definedName name="OSRRefP22x_0" localSheetId="56">'311'!$P$61:$P$69,'311'!$P$71:$P$75,'311'!$P$77,'311'!$P$79:$P$80,'311'!$P$82,'311'!$P$84,'311'!$P$86:$P$87,'311'!$P$89,'311'!$P$91,'311'!$P$93:$P$94,'311'!$P$96,'311'!$P$98:$P$100,'311'!$P$102:$P$103,'311'!$P$105,'311'!$P$107</definedName>
    <definedName name="OSRRefP22x_0" localSheetId="68">'313'!$P$28:$P$35,'313'!$P$37:$P$41,'313'!$P$43,'313'!$P$45,'313'!$P$47,'313'!$P$49,'313'!$P$51,'313'!$P$53,'313'!$P$55,'313'!$P$57:$P$59,'313'!$P$61,'313'!$P$63:$P$68,'313'!$P$70,'313'!$P$72</definedName>
    <definedName name="OSRRefP22x_0" localSheetId="54">'314'!$P$55:$P$61,'314'!$P$63:$P$65,'314'!$P$67,'314'!$P$69:$P$70,'314'!$P$72,'314'!$P$74:$P$75,'314'!$P$77</definedName>
    <definedName name="OSRRefP22x_0" localSheetId="59">'315'!$P$54:$P$61,'315'!$P$63:$P$67,'315'!$P$69,'315'!$P$71:$P$72,'315'!$P$74,'315'!$P$76,'315'!$P$78,'315'!$P$80,'315'!$P$82,'315'!$P$84:$P$85,'315'!$P$87,'315'!$P$89:$P$92,'315'!$P$94,'315'!$P$96,'315'!$P$98</definedName>
    <definedName name="OSRRefP22x_0" localSheetId="62">'316'!$P$32:$P$39,'316'!$P$41:$P$44,'316'!$P$46,'316'!$P$48,'316'!$P$50,'316'!$P$52,'316'!$P$54,'316'!$P$56:$P$59,'316'!$P$61,'316'!$P$63</definedName>
    <definedName name="OSRRefP22x_0" localSheetId="65">'317'!$P$56:$P$64,'317'!$P$66:$P$69,'317'!$P$71,'317'!$P$73,'317'!$P$75,'317'!$P$77,'317'!$P$79,'317'!$P$81,'317'!$P$83,'317'!$P$85:$P$86,'317'!$P$88</definedName>
    <definedName name="OSRRefP22x_0" localSheetId="63">'320'!$P$29:$P$35,'320'!$P$37:$P$39,'320'!$P$41,'320'!$P$43,'320'!$P$45:$P$46,'320'!$P$48,'320'!$P$50,'320'!$P$52:$P$53,'320'!$P$55</definedName>
    <definedName name="OSRRefP22x_0" localSheetId="69">'321'!$P$24:$P$30,'321'!$P$32:$P$36,'321'!$P$38,'321'!$P$40,'321'!$P$42,'321'!$P$44,'321'!$P$46:$P$48,'321'!$P$50,'321'!$P$52:$P$54,'321'!$P$56:$P$60,'321'!$P$62,'321'!$P$64</definedName>
    <definedName name="OSRRefP22x_0" localSheetId="70">'322'!$P$24:$P$31,'322'!$P$33:$P$37,'322'!$P$39,'322'!$P$41,'322'!$P$43,'322'!$P$45,'322'!$P$47,'322'!$P$49,'322'!$P$51,'322'!$P$53:$P$54,'322'!$P$56:$P$58,'322'!$P$60:$P$65,'322'!$P$67,'322'!$P$69</definedName>
    <definedName name="OSRRefP22x_0" localSheetId="57">'324'!$P$25</definedName>
    <definedName name="OSRRefP22x_0" localSheetId="71">'325'!$P$24:$P$31,'325'!$P$33:$P$38,'325'!$P$40,'325'!$P$42,'325'!$P$44,'325'!$P$46:$P$47,'325'!$P$49,'325'!$P$51,'325'!$P$53,'325'!$P$55,'325'!$P$57:$P$59,'325'!$P$61:$P$63,'325'!$P$65,'325'!$P$67:$P$72,'325'!$P$74,'325'!$P$76</definedName>
    <definedName name="OSRRefP22x_0" localSheetId="60">'326'!$P$57:$P$64,'326'!$P$66:$P$69,'326'!$P$71,'326'!$P$73,'326'!$P$75,'326'!$P$77,'326'!$P$79,'326'!$P$81,'326'!$P$83,'326'!$P$85,'326'!$P$87,'326'!$P$89,'326'!$P$91,'326'!$P$93:$P$94,'326'!$P$96:$P$98,'326'!$P$100,'326'!$P$102:$P$105,'326'!$P$107,'326'!$P$109,'326'!$P$111</definedName>
    <definedName name="OSRRefP22x_0" localSheetId="72">'327'!$P$22,'327'!$P$24</definedName>
    <definedName name="OSRRefP22x_0" localSheetId="52">'330'!$P$77:$P$84,'330'!$P$86:$P$88,'330'!$P$90,'330'!$P$92,'330'!$P$94:$P$95,'330'!$P$97,'330'!$P$99,'330'!$P$101,'330'!$P$103:$P$104,'330'!$P$106:$P$107,'330'!$P$109,'330'!$P$111:$P$112,'330'!$P$114</definedName>
    <definedName name="OSRRefP22x_0" localSheetId="58">'331'!$P$71:$P$78,'331'!$P$80:$P$84,'331'!$P$86,'331'!$P$88,'331'!$P$90,'331'!$P$92:$P$93,'331'!$P$95,'331'!$P$97,'331'!$P$99,'331'!$P$101,'331'!$P$103,'331'!$P$105,'331'!$P$107,'331'!$P$109,'331'!$P$111:$P$113,'331'!$P$115:$P$116,'331'!$P$118:$P$120,'331'!$P$122,'331'!$P$124:$P$128,'331'!$P$130,'331'!$P$132,'331'!$P$134,'331'!$P$136</definedName>
    <definedName name="OSRRefP22x_0" localSheetId="61">'332'!$P$41:$P$48,'332'!$P$50:$P$53,'332'!$P$55,'332'!$P$57,'332'!$P$59,'332'!$P$61:$P$62,'332'!$P$64,'332'!$P$66,'332'!$P$68,'332'!$P$70,'332'!$P$72:$P$76,'332'!$P$78,'332'!$P$80</definedName>
    <definedName name="OSRRefP22x_0" localSheetId="76">'405'!$P$24:$P$31,'405'!$P$33:$P$36,'405'!$P$38,'405'!$P$40,'405'!$P$42,'405'!$P$44:$P$45,'405'!$P$47,'405'!$P$49,'405'!$P$51,'405'!$P$53,'405'!$P$55:$P$56,'405'!$P$58,'405'!$P$60:$P$62,'405'!$P$64,'405'!$P$66:$P$72,'405'!$P$74,'405'!$P$76,'405'!$P$78</definedName>
    <definedName name="OSRRefP22x_0" localSheetId="77">'406'!$P$24:$P$31,'406'!$P$33:$P$37,'406'!$P$39,'406'!$P$41,'406'!$P$43,'406'!$P$45,'406'!$P$47,'406'!$P$49,'406'!$P$51:$P$53,'406'!$P$55,'406'!$P$57:$P$62,'406'!$P$64,'406'!$P$66</definedName>
    <definedName name="OSRRefP22x_0" localSheetId="78">'411'!$P$20:$P$28,'411'!$P$30:$P$35,'411'!$P$37,'411'!$P$39:$P$41,'411'!$P$43,'411'!$P$45,'411'!$P$47,'411'!$P$49,'411'!$P$51,'411'!$P$53:$P$55,'411'!$P$57:$P$61,'411'!$P$63:$P$69,'411'!$P$71,'411'!$P$73,'411'!$P$75:$P$77,'411'!$P$79</definedName>
    <definedName name="OSRRefP22x_0" localSheetId="79">'412'!$P$23:$P$30,'412'!$P$32:$P$37,'412'!$P$39,'412'!$P$41,'412'!$P$43,'412'!$P$45,'412'!$P$47,'412'!$P$49,'412'!$P$51:$P$52,'412'!$P$54,'412'!$P$56:$P$58,'412'!$P$60:$P$66,'412'!$P$68,'412'!$P$70</definedName>
    <definedName name="OSRRefP22x_0" localSheetId="80">'413'!$P$24:$P$31,'413'!$P$33:$P$37,'413'!$P$39,'413'!$P$41,'413'!$P$43,'413'!$P$45,'413'!$P$47,'413'!$P$49:$P$51,'413'!$P$53,'413'!$P$55:$P$58,'413'!$P$60</definedName>
    <definedName name="OSRRefP22x_0" localSheetId="81">'414'!$P$24:$P$31,'414'!$P$33:$P$38,'414'!$P$40,'414'!$P$42,'414'!$P$44,'414'!$P$46,'414'!$P$48,'414'!$P$50,'414'!$P$52:$P$53,'414'!$P$55,'414'!$P$57,'414'!$P$59,'414'!$P$61:$P$67,'414'!$P$69,'414'!$P$71</definedName>
    <definedName name="OSRRefP22x_0" localSheetId="82">'415'!$P$24:$P$31,'415'!$P$33:$P$37,'415'!$P$39,'415'!$P$41,'415'!$P$43,'415'!$P$45:$P$46,'415'!$P$48,'415'!$P$50,'415'!$P$52,'415'!$P$54,'415'!$P$56,'415'!$P$58:$P$60,'415'!$P$62:$P$66,'415'!$P$68,'415'!$P$70:$P$76,'415'!$P$78,'415'!$P$80,'415'!$P$82</definedName>
    <definedName name="OSRRefP22x_0" localSheetId="83">'418'!$P$24:$P$31,'418'!$P$33:$P$38,'418'!$P$40,'418'!$P$42,'418'!$P$44,'418'!$P$46:$P$47,'418'!$P$49,'418'!$P$51,'418'!$P$53:$P$54,'418'!$P$56:$P$58,'418'!$P$60:$P$62,'418'!$P$64,'418'!$P$66:$P$72,'418'!$P$74,'418'!$P$76</definedName>
    <definedName name="OSRRefP22x_0" localSheetId="84">'420'!$P$20:$P$21,'420'!$P$23</definedName>
    <definedName name="OSRRefP22x_0" localSheetId="85">'423'!$P$21:$P$28,'423'!$P$30,'423'!$P$32,'423'!$P$34,'423'!$P$36,'423'!$P$38</definedName>
    <definedName name="OSRRefP22x_0" localSheetId="86">'424'!$P$24:$P$26,'424'!$P$28:$P$31,'424'!$P$33,'424'!$P$35,'424'!$P$37,'424'!$P$39,'424'!$P$41,'424'!$P$43:$P$44,'424'!$P$46,'424'!$P$48:$P$52,'424'!$P$54</definedName>
    <definedName name="OSRRefP22x_0" localSheetId="87">'425'!$P$26:$P$33,'425'!$P$35:$P$39,'425'!$P$41,'425'!$P$43,'425'!$P$45,'425'!$P$47,'425'!$P$49,'425'!$P$51,'425'!$P$53,'425'!$P$55:$P$56,'425'!$P$58,'425'!$P$60:$P$61,'425'!$P$63:$P$68,'425'!$P$70,'425'!$P$72,'425'!$P$74</definedName>
    <definedName name="OSRRefP22x_0" localSheetId="90">'430'!$P$20:$P$27,'430'!$P$29,'430'!$P$31,'430'!$P$33,'430'!$P$35,'430'!$P$37:$P$38,'430'!$P$40,'430'!$P$42,'430'!$P$44</definedName>
    <definedName name="OSRRefP22x_0" localSheetId="91">'433'!$P$26:$P$34,'433'!$P$36:$P$41,'433'!$P$43,'433'!$P$45,'433'!$P$47,'433'!$P$49,'433'!$P$51,'433'!$P$53,'433'!$P$55,'433'!$P$57,'433'!$P$59,'433'!$P$61:$P$63,'433'!$P$65:$P$70,'433'!$P$72,'433'!$P$74,'433'!$P$76:$P$77</definedName>
    <definedName name="OSRRefP22x_0" localSheetId="92">'435'!$P$25:$P$27,'435'!$P$29:$P$30,'435'!$P$32,'435'!$P$34,'435'!$P$36,'435'!$P$38,'435'!$P$40:$P$43,'435'!$P$45</definedName>
    <definedName name="OSRRefP22x_0" localSheetId="93">'444'!$P$25:$P$33,'444'!$P$35:$P$40,'444'!$P$42,'444'!$P$44,'444'!$P$46,'444'!$P$48,'444'!$P$50,'444'!$P$52,'444'!$P$54,'444'!$P$56,'444'!$P$58,'444'!$P$60:$P$61,'444'!$P$63:$P$65,'444'!$P$67:$P$73,'444'!$P$75,'444'!$P$77,'444'!$P$79</definedName>
    <definedName name="OSRRefP22x_0" localSheetId="94">'445'!$P$20</definedName>
    <definedName name="OSRRefP22x_0" localSheetId="95">'450'!$P$25:$P$33,'450'!$P$35:$P$40,'450'!$P$42,'450'!$P$44,'450'!$P$46,'450'!$P$48,'450'!$P$50,'450'!$P$52,'450'!$P$54,'450'!$P$56,'450'!$P$58,'450'!$P$60:$P$61,'450'!$P$63:$P$65,'450'!$P$67:$P$72,'450'!$P$74,'450'!$P$76,'450'!$P$78:$P$79</definedName>
    <definedName name="OSRRefP22x_0" localSheetId="88">'455'!$P$20:$P$26,'455'!$P$28:$P$29</definedName>
    <definedName name="OSRRefP22x_0" localSheetId="75">'491'!$P$32:$P$40,'491'!$P$42:$P$48,'491'!$P$50,'491'!$P$52,'491'!$P$54,'491'!$P$56:$P$58,'491'!$P$60,'491'!$P$62,'491'!$P$64,'491'!$P$66:$P$67,'491'!$P$69,'491'!$P$71,'491'!$P$73,'491'!$P$75,'491'!$P$77:$P$79,'491'!$P$81:$P$82,'491'!$P$84:$P$88,'491'!$P$90,'491'!$P$92:$P$99,'491'!$P$101,'491'!$P$103,'491'!$P$105:$P$107,'491'!$P$109</definedName>
    <definedName name="OSRRefP22x_0" localSheetId="89">'492'!$P$28:$P$36,'492'!$P$38:$P$44,'492'!$P$46,'492'!$P$48,'492'!$P$50,'492'!$P$52,'492'!$P$54,'492'!$P$56,'492'!$P$58,'492'!$P$60,'492'!$P$62,'492'!$P$64,'492'!$P$66:$P$68,'492'!$P$70:$P$72,'492'!$P$74:$P$80,'492'!$P$82,'492'!$P$84,'492'!$P$86:$P$87</definedName>
    <definedName name="OSRRefP22x_0" localSheetId="97">'501'!$P$21:$P$28,'501'!$P$30:$P$35,'501'!$P$37,'501'!$P$39,'501'!$P$41,'501'!$P$43,'501'!$P$45,'501'!$P$47,'501'!$P$49,'501'!$P$51,'501'!$P$53:$P$54,'501'!$P$56:$P$59,'501'!$P$61</definedName>
    <definedName name="OSRRefP22x_0" localSheetId="39">'Div 2'!$P$20:$P$30,'Div 2'!$P$32:$P$38,'Div 2'!$P$40,'Div 2'!$P$42,'Div 2'!$P$44,'Div 2'!$P$46:$P$47,'Div 2'!$P$49,'Div 2'!$P$51,'Div 2'!$P$53,'Div 2'!$P$55,'Div 2'!$P$57,'Div 2'!$P$59,'Div 2'!$P$61:$P$64,'Div 2'!$P$66:$P$68,'Div 2'!$P$70:$P$71,'Div 2'!$P$73,'Div 2'!$P$75:$P$78,'Div 2'!$P$80:$P$81,'Div 2'!$P$83,'Div 2'!$P$85:$P$86</definedName>
    <definedName name="OSRRefP22x_0" localSheetId="47">'Div 3'!$P$164:$P$172,'Div 3'!$P$174:$P$180,'Div 3'!$P$182,'Div 3'!$P$184,'Div 3'!$P$186,'Div 3'!$P$188:$P$189,'Div 3'!$P$191:$P$192,'Div 3'!$P$194,'Div 3'!$P$196,'Div 3'!$P$198,'Div 3'!$P$200:$P$201,'Div 3'!$P$203,'Div 3'!$P$205,'Div 3'!$P$207,'Div 3'!$P$209,'Div 3'!$P$211,'Div 3'!$P$213,'Div 3'!$P$215:$P$217,'Div 3'!$P$219:$P$221,'Div 3'!$P$223:$P$227,'Div 3'!$P$229:$P$230,'Div 3'!$P$232:$P$238,'Div 3'!$P$240:$P$241,'Div 3'!$P$243,'Div 3'!$P$245:$P$247,'Div 3'!$P$249</definedName>
    <definedName name="OSRRefP22x_0" localSheetId="73">'Div 4'!$P$34:$P$42,'Div 4'!$P$44:$P$50,'Div 4'!$P$52,'Div 4'!$P$54,'Div 4'!$P$56,'Div 4'!$P$58:$P$60,'Div 4'!$P$62,'Div 4'!$P$64,'Div 4'!$P$66,'Div 4'!$P$68,'Div 4'!$P$70:$P$71,'Div 4'!$P$73,'Div 4'!$P$75,'Div 4'!$P$77,'Div 4'!$P$79,'Div 4'!$P$81,'Div 4'!$P$83:$P$85,'Div 4'!$P$87:$P$88,'Div 4'!$P$90:$P$94,'Div 4'!$P$96,'Div 4'!$P$98:$P$105,'Div 4'!$P$107,'Div 4'!$P$109,'Div 4'!$P$111:$P$113,'Div 4'!$P$115</definedName>
    <definedName name="OSRRefP22x_0" localSheetId="96">'Div 5'!$P$21:$P$28,'Div 5'!$P$30:$P$35,'Div 5'!$P$37,'Div 5'!$P$39,'Div 5'!$P$41,'Div 5'!$P$43,'Div 5'!$P$45,'Div 5'!$P$47,'Div 5'!$P$49,'Div 5'!$P$51,'Div 5'!$P$53:$P$54,'Div 5'!$P$56:$P$59,'Div 5'!$P$61</definedName>
    <definedName name="OSRRefP22x_0" localSheetId="64">'Div 6'!$P$56:$P$64,'Div 6'!$P$66:$P$69,'Div 6'!$P$71,'Div 6'!$P$73,'Div 6'!$P$75,'Div 6'!$P$77,'Div 6'!$P$79,'Div 6'!$P$81,'Div 6'!$P$83,'Div 6'!$P$85:$P$86,'Div 6'!$P$88</definedName>
    <definedName name="OSRRefP22x_0" localSheetId="2">Summary!$P$197:$P$205,Summary!$P$207:$P$213,Summary!$P$215,Summary!$P$217,Summary!$P$219,Summary!$P$221:$P$223,Summary!$P$225:$P$226,Summary!$P$228,Summary!$P$230,Summary!$P$232,Summary!$P$234:$P$235,Summary!$P$237:$P$238,Summary!$P$240,Summary!$P$242,Summary!$P$244,Summary!$P$246,Summary!$P$248,Summary!$P$250,Summary!$P$252:$P$254,Summary!$P$256:$P$258,Summary!$P$260:$P$264,Summary!$P$266:$P$267,Summary!$P$269:$P$276,Summary!$P$278:$P$279,Summary!$P$281,Summary!$P$283:$P$285,Summary!$P$287</definedName>
    <definedName name="OSRRefP25x_0" localSheetId="48">'300'!$P$242:$P$248</definedName>
    <definedName name="OSRRefP25x_0" localSheetId="49">'300 &amp; 317'!$P$266:$P$274</definedName>
    <definedName name="OSRRefP25x_0" localSheetId="50">'301'!$P$89:$P$90</definedName>
    <definedName name="OSRRefP25x_0" localSheetId="55">'308'!$P$111:$P$113</definedName>
    <definedName name="OSRRefP25x_0" localSheetId="74">'310 &amp; 491'!$P$124:$P$126</definedName>
    <definedName name="OSRRefP25x_0" localSheetId="56">'311'!$P$110:$P$112</definedName>
    <definedName name="OSRRefP25x_0" localSheetId="59">'315'!$P$101</definedName>
    <definedName name="OSRRefP25x_0" localSheetId="62">'316'!$P$66</definedName>
    <definedName name="OSRRefP25x_0" localSheetId="65">'317'!$P$91:$P$93</definedName>
    <definedName name="OSRRefP25x_0" localSheetId="63">'320'!$P$58:$P$61</definedName>
    <definedName name="OSRRefP25x_0" localSheetId="58">'331'!$P$139</definedName>
    <definedName name="OSRRefP25x_0" localSheetId="61">'332'!$P$83:$P$87</definedName>
    <definedName name="OSRRefP25x_0" localSheetId="78">'411'!$P$82:$P$83</definedName>
    <definedName name="OSRRefP25x_0" localSheetId="80">'413'!$P$63</definedName>
    <definedName name="OSRRefP25x_0" localSheetId="83">'418'!$P$79</definedName>
    <definedName name="OSRRefP25x_0" localSheetId="85">'423'!$P$41</definedName>
    <definedName name="OSRRefP25x_0" localSheetId="86">'424'!$P$57</definedName>
    <definedName name="OSRRefP25x_0" localSheetId="87">'425'!$P$77</definedName>
    <definedName name="OSRRefP25x_0" localSheetId="88">'455'!$P$32:$P$33</definedName>
    <definedName name="OSRRefP25x_0" localSheetId="75">'491'!$P$112:$P$114</definedName>
    <definedName name="OSRRefP25x_0" localSheetId="97">'501'!$P$64</definedName>
    <definedName name="OSRRefP25x_0" localSheetId="47">'Div 3'!$P$252:$P$258</definedName>
    <definedName name="OSRRefP25x_0" localSheetId="73">'Div 4'!$P$118:$P$120</definedName>
    <definedName name="OSRRefP25x_0" localSheetId="96">'Div 5'!$P$64</definedName>
    <definedName name="OSRRefP25x_0" localSheetId="64">'Div 6'!$P$91:$P$93</definedName>
    <definedName name="OSRRefP25x_0" localSheetId="2">Summary!$P$290:$P$299</definedName>
    <definedName name="OSRRefT13x_0" localSheetId="48">'300'!$T$13:$T$102</definedName>
    <definedName name="OSRRefT13x_0" localSheetId="49">'300 &amp; 317'!$T$13:$T$119</definedName>
    <definedName name="OSRRefT13x_0" localSheetId="53">'307'!$T$13:$T$43</definedName>
    <definedName name="OSRRefT13x_0" localSheetId="55">'308'!$T$13:$T$39</definedName>
    <definedName name="OSRRefT13x_0" localSheetId="67">'309'!$T$13:$T$14</definedName>
    <definedName name="OSRRefT13x_0" localSheetId="66">'310'!$T$13:$T$21</definedName>
    <definedName name="OSRRefT13x_0" localSheetId="74">'310 &amp; 491'!$T$13:$T$29</definedName>
    <definedName name="OSRRefT13x_0" localSheetId="56">'311'!$T$13:$T$38</definedName>
    <definedName name="OSRRefT13x_0" localSheetId="68">'313'!$T$13:$T$18</definedName>
    <definedName name="OSRRefT13x_0" localSheetId="54">'314'!$T$13:$T$33</definedName>
    <definedName name="OSRRefT13x_0" localSheetId="59">'315'!$T$13:$T$32</definedName>
    <definedName name="OSRRefT13x_0" localSheetId="62">'316'!$T$13:$T$24</definedName>
    <definedName name="OSRRefT13x_0" localSheetId="65">'317'!$T$13:$T$35</definedName>
    <definedName name="OSRRefT13x_0" localSheetId="63">'320'!$T$13:$T$16</definedName>
    <definedName name="OSRRefT13x_0" localSheetId="69">'321'!$T$13:$T$14</definedName>
    <definedName name="OSRRefT13x_0" localSheetId="70">'322'!$T$13:$T$14</definedName>
    <definedName name="OSRRefT13x_0" localSheetId="57">'324'!$T$13:$T$15</definedName>
    <definedName name="OSRRefT13x_0" localSheetId="71">'325'!$T$13:$T$14</definedName>
    <definedName name="OSRRefT13x_0" localSheetId="60">'326'!$T$13:$T$33</definedName>
    <definedName name="OSRRefT13x_0" localSheetId="72">'327'!$T$13</definedName>
    <definedName name="OSRRefT13x_0" localSheetId="52">'330'!$T$13:$T$48</definedName>
    <definedName name="OSRRefT13x_0" localSheetId="58">'331'!$T$13:$T$41</definedName>
    <definedName name="OSRRefT13x_0" localSheetId="61">'332'!$T$13:$T$28</definedName>
    <definedName name="OSRRefT13x_0" localSheetId="76">'405'!$T$13:$T$14</definedName>
    <definedName name="OSRRefT13x_0" localSheetId="77">'406'!$T$13:$T$14</definedName>
    <definedName name="OSRRefT13x_0" localSheetId="79">'412'!$T$13:$T$14</definedName>
    <definedName name="OSRRefT13x_0" localSheetId="80">'413'!$T$13:$T$14</definedName>
    <definedName name="OSRRefT13x_0" localSheetId="81">'414'!$T$13:$T$14</definedName>
    <definedName name="OSRRefT13x_0" localSheetId="82">'415'!$T$13:$T$14</definedName>
    <definedName name="OSRRefT13x_0" localSheetId="83">'418'!$T$13:$T$14</definedName>
    <definedName name="OSRRefT13x_0" localSheetId="86">'424'!$T$13:$T$14</definedName>
    <definedName name="OSRRefT13x_0" localSheetId="87">'425'!$T$13:$T$16</definedName>
    <definedName name="OSRRefT13x_0" localSheetId="91">'433'!$T$13:$T$16</definedName>
    <definedName name="OSRRefT13x_0" localSheetId="92">'435'!$T$13:$T$15</definedName>
    <definedName name="OSRRefT13x_0" localSheetId="93">'444'!$T$13:$T$15</definedName>
    <definedName name="OSRRefT13x_0" localSheetId="95">'450'!$T$13:$T$15</definedName>
    <definedName name="OSRRefT13x_0" localSheetId="75">'491'!$T$13:$T$22</definedName>
    <definedName name="OSRRefT13x_0" localSheetId="89">'492'!$T$13:$T$18</definedName>
    <definedName name="OSRRefT13x_0" localSheetId="97">'501'!$T$13</definedName>
    <definedName name="OSRRefT13x_0" localSheetId="47">'Div 3'!$T$13:$T$106</definedName>
    <definedName name="OSRRefT13x_0" localSheetId="73">'Div 4'!$T$13:$T$24</definedName>
    <definedName name="OSRRefT13x_0" localSheetId="96">'Div 5'!$T$13</definedName>
    <definedName name="OSRRefT13x_0" localSheetId="64">'Div 6'!$T$13:$T$35</definedName>
    <definedName name="OSRRefT13x_0" localSheetId="2">Summary!$T$13:$T$132</definedName>
    <definedName name="OSRRefT16x_0" localSheetId="48">'300'!$T$105:$T$152</definedName>
    <definedName name="OSRRefT16x_0" localSheetId="49">'300 &amp; 317'!$T$122:$T$176</definedName>
    <definedName name="OSRRefT16x_0" localSheetId="53">'307'!$T$46:$T$63</definedName>
    <definedName name="OSRRefT16x_0" localSheetId="55">'308'!$T$42:$T$56</definedName>
    <definedName name="OSRRefT16x_0" localSheetId="67">'309'!$T$17:$T$18</definedName>
    <definedName name="OSRRefT16x_0" localSheetId="66">'310'!$T$24:$T$25</definedName>
    <definedName name="OSRRefT16x_0" localSheetId="74">'310 &amp; 491'!$T$32:$T$33</definedName>
    <definedName name="OSRRefT16x_0" localSheetId="56">'311'!$T$41:$T$55</definedName>
    <definedName name="OSRRefT16x_0" localSheetId="68">'313'!$T$21:$T$22</definedName>
    <definedName name="OSRRefT16x_0" localSheetId="54">'314'!$T$36:$T$49</definedName>
    <definedName name="OSRRefT16x_0" localSheetId="59">'315'!$T$35:$T$48</definedName>
    <definedName name="OSRRefT16x_0" localSheetId="65">'317'!$T$38:$T$50</definedName>
    <definedName name="OSRRefT16x_0" localSheetId="63">'320'!$T$19:$T$23</definedName>
    <definedName name="OSRRefT16x_0" localSheetId="69">'321'!$T$17:$T$18</definedName>
    <definedName name="OSRRefT16x_0" localSheetId="70">'322'!$T$17:$T$18</definedName>
    <definedName name="OSRRefT16x_0" localSheetId="57">'324'!$T$18:$T$19</definedName>
    <definedName name="OSRRefT16x_0" localSheetId="71">'325'!$T$17:$T$18</definedName>
    <definedName name="OSRRefT16x_0" localSheetId="60">'326'!$T$36:$T$51</definedName>
    <definedName name="OSRRefT16x_0" localSheetId="72">'327'!$T$16</definedName>
    <definedName name="OSRRefT16x_0" localSheetId="52">'330'!$T$51:$T$71</definedName>
    <definedName name="OSRRefT16x_0" localSheetId="58">'331'!$T$44:$T$65</definedName>
    <definedName name="OSRRefT16x_0" localSheetId="61">'332'!$T$31:$T$35</definedName>
    <definedName name="OSRRefT16x_0" localSheetId="76">'405'!$T$17:$T$18</definedName>
    <definedName name="OSRRefT16x_0" localSheetId="77">'406'!$T$17:$T$18</definedName>
    <definedName name="OSRRefT16x_0" localSheetId="79">'412'!$T$17</definedName>
    <definedName name="OSRRefT16x_0" localSheetId="80">'413'!$T$17:$T$18</definedName>
    <definedName name="OSRRefT16x_0" localSheetId="81">'414'!$T$17:$T$18</definedName>
    <definedName name="OSRRefT16x_0" localSheetId="82">'415'!$T$17:$T$18</definedName>
    <definedName name="OSRRefT16x_0" localSheetId="83">'418'!$T$17:$T$18</definedName>
    <definedName name="OSRRefT16x_0" localSheetId="85">'423'!$T$15</definedName>
    <definedName name="OSRRefT16x_0" localSheetId="86">'424'!$T$17:$T$18</definedName>
    <definedName name="OSRRefT16x_0" localSheetId="87">'425'!$T$19:$T$20</definedName>
    <definedName name="OSRRefT16x_0" localSheetId="91">'433'!$T$19:$T$20</definedName>
    <definedName name="OSRRefT16x_0" localSheetId="92">'435'!$T$18:$T$19</definedName>
    <definedName name="OSRRefT16x_0" localSheetId="93">'444'!$T$18:$T$19</definedName>
    <definedName name="OSRRefT16x_0" localSheetId="95">'450'!$T$18:$T$19</definedName>
    <definedName name="OSRRefT16x_0" localSheetId="75">'491'!$T$25:$T$26</definedName>
    <definedName name="OSRRefT16x_0" localSheetId="89">'492'!$T$21:$T$22</definedName>
    <definedName name="OSRRefT16x_0" localSheetId="47">'Div 3'!$T$109:$T$158</definedName>
    <definedName name="OSRRefT16x_0" localSheetId="73">'Div 4'!$T$27:$T$28</definedName>
    <definedName name="OSRRefT16x_0" localSheetId="64">'Div 6'!$T$38:$T$50</definedName>
    <definedName name="OSRRefT16x_0" localSheetId="2">Summary!$T$135:$T$191</definedName>
    <definedName name="OSRRefT22_0x_0" localSheetId="40">'200'!$T$20</definedName>
    <definedName name="OSRRefT22_0x_0" localSheetId="41">'201'!$T$20:$T$28</definedName>
    <definedName name="OSRRefT22_0x_0" localSheetId="42">'202'!$T$20:$T$27</definedName>
    <definedName name="OSRRefT22_0x_0" localSheetId="43">'203'!$T$20:$T$29</definedName>
    <definedName name="OSRRefT22_0x_0" localSheetId="44">'204'!$T$20:$T$28</definedName>
    <definedName name="OSRRefT22_0x_0" localSheetId="45">'205'!$T$20:$T$27</definedName>
    <definedName name="OSRRefT22_0x_0" localSheetId="46">'206'!$T$20:$T$27</definedName>
    <definedName name="OSRRefT22_0x_0" localSheetId="48">'300'!$T$158:$T$166</definedName>
    <definedName name="OSRRefT22_0x_0" localSheetId="49">'300 &amp; 317'!$T$182:$T$190</definedName>
    <definedName name="OSRRefT22_0x_0" localSheetId="50">'301'!$T$20:$T$27</definedName>
    <definedName name="OSRRefT22_0x_0" localSheetId="51">'306'!$T$20:$T$28</definedName>
    <definedName name="OSRRefT22_0x_0" localSheetId="53">'307'!$T$69:$T$76</definedName>
    <definedName name="OSRRefT22_0x_0" localSheetId="55">'308'!$T$62:$T$70</definedName>
    <definedName name="OSRRefT22_0x_0" localSheetId="67">'309'!$T$24:$T$31</definedName>
    <definedName name="OSRRefT22_0x_0" localSheetId="66">'310'!$T$31:$T$38</definedName>
    <definedName name="OSRRefT22_0x_0" localSheetId="74">'310 &amp; 491'!$T$39:$T$47</definedName>
    <definedName name="OSRRefT22_0x_0" localSheetId="56">'311'!$T$61:$T$69</definedName>
    <definedName name="OSRRefT22_0x_0" localSheetId="68">'313'!$T$28:$T$35</definedName>
    <definedName name="OSRRefT22_0x_0" localSheetId="54">'314'!$T$55:$T$61</definedName>
    <definedName name="OSRRefT22_0x_0" localSheetId="59">'315'!$T$54:$T$61</definedName>
    <definedName name="OSRRefT22_0x_0" localSheetId="62">'316'!$T$32:$T$39</definedName>
    <definedName name="OSRRefT22_0x_0" localSheetId="65">'317'!$T$56:$T$64</definedName>
    <definedName name="OSRRefT22_0x_0" localSheetId="63">'320'!$T$29:$T$35</definedName>
    <definedName name="OSRRefT22_0x_0" localSheetId="69">'321'!$T$24:$T$30</definedName>
    <definedName name="OSRRefT22_0x_0" localSheetId="70">'322'!$T$24:$T$31</definedName>
    <definedName name="OSRRefT22_0x_0" localSheetId="57">'324'!$T$25</definedName>
    <definedName name="OSRRefT22_0x_0" localSheetId="71">'325'!$T$24:$T$31</definedName>
    <definedName name="OSRRefT22_0x_0" localSheetId="60">'326'!$T$57:$T$64</definedName>
    <definedName name="OSRRefT22_0x_0" localSheetId="72">'327'!$T$22</definedName>
    <definedName name="OSRRefT22_0x_0" localSheetId="52">'330'!$T$77:$T$84</definedName>
    <definedName name="OSRRefT22_0x_0" localSheetId="58">'331'!$T$71:$T$78</definedName>
    <definedName name="OSRRefT22_0x_0" localSheetId="61">'332'!$T$41:$T$48</definedName>
    <definedName name="OSRRefT22_0x_0" localSheetId="76">'405'!$T$24:$T$31</definedName>
    <definedName name="OSRRefT22_0x_0" localSheetId="77">'406'!$T$24:$T$31</definedName>
    <definedName name="OSRRefT22_0x_0" localSheetId="78">'411'!$T$20:$T$28</definedName>
    <definedName name="OSRRefT22_0x_0" localSheetId="79">'412'!$T$23:$T$30</definedName>
    <definedName name="OSRRefT22_0x_0" localSheetId="80">'413'!$T$24:$T$31</definedName>
    <definedName name="OSRRefT22_0x_0" localSheetId="81">'414'!$T$24:$T$31</definedName>
    <definedName name="OSRRefT22_0x_0" localSheetId="82">'415'!$T$24:$T$31</definedName>
    <definedName name="OSRRefT22_0x_0" localSheetId="83">'418'!$T$24:$T$31</definedName>
    <definedName name="OSRRefT22_0x_0" localSheetId="84">'420'!$T$20:$T$21</definedName>
    <definedName name="OSRRefT22_0x_0" localSheetId="85">'423'!$T$21:$T$28</definedName>
    <definedName name="OSRRefT22_0x_0" localSheetId="86">'424'!$T$24:$T$26</definedName>
    <definedName name="OSRRefT22_0x_0" localSheetId="87">'425'!$T$26:$T$33</definedName>
    <definedName name="OSRRefT22_0x_0" localSheetId="90">'430'!$T$20:$T$27</definedName>
    <definedName name="OSRRefT22_0x_0" localSheetId="91">'433'!$T$26:$T$34</definedName>
    <definedName name="OSRRefT22_0x_0" localSheetId="92">'435'!$T$25:$T$27</definedName>
    <definedName name="OSRRefT22_0x_0" localSheetId="93">'444'!$T$25:$T$33</definedName>
    <definedName name="OSRRefT22_0x_0" localSheetId="94">'445'!$T$20</definedName>
    <definedName name="OSRRefT22_0x_0" localSheetId="95">'450'!$T$25:$T$33</definedName>
    <definedName name="OSRRefT22_0x_0" localSheetId="88">'455'!$T$20:$T$26</definedName>
    <definedName name="OSRRefT22_0x_0" localSheetId="75">'491'!$T$32:$T$40</definedName>
    <definedName name="OSRRefT22_0x_0" localSheetId="89">'492'!$T$28:$T$36</definedName>
    <definedName name="OSRRefT22_0x_0" localSheetId="97">'501'!$T$21:$T$28</definedName>
    <definedName name="OSRRefT22_0x_0" localSheetId="39">'Div 2'!$T$20:$T$30</definedName>
    <definedName name="OSRRefT22_0x_0" localSheetId="47">'Div 3'!$T$164:$T$172</definedName>
    <definedName name="OSRRefT22_0x_0" localSheetId="73">'Div 4'!$T$34:$T$42</definedName>
    <definedName name="OSRRefT22_0x_0" localSheetId="96">'Div 5'!$T$21:$T$28</definedName>
    <definedName name="OSRRefT22_0x_0" localSheetId="64">'Div 6'!$T$56:$T$64</definedName>
    <definedName name="OSRRefT22_0x_0" localSheetId="2">Summary!$T$197:$T$205</definedName>
    <definedName name="OSRRefT22_10x_0" localSheetId="41">'201'!$T$52:$T$54</definedName>
    <definedName name="OSRRefT22_10x_0" localSheetId="42">'202'!$T$51</definedName>
    <definedName name="OSRRefT22_10x_0" localSheetId="43">'203'!$T$54:$T$55</definedName>
    <definedName name="OSRRefT22_10x_0" localSheetId="44">'204'!$T$57:$T$58</definedName>
    <definedName name="OSRRefT22_10x_0" localSheetId="48">'300'!$T$194:$T$195</definedName>
    <definedName name="OSRRefT22_10x_0" localSheetId="49">'300 &amp; 317'!$T$218:$T$219</definedName>
    <definedName name="OSRRefT22_10x_0" localSheetId="50">'301'!$T$55</definedName>
    <definedName name="OSRRefT22_10x_0" localSheetId="53">'307'!$T$101</definedName>
    <definedName name="OSRRefT22_10x_0" localSheetId="55">'308'!$T$97</definedName>
    <definedName name="OSRRefT22_10x_0" localSheetId="67">'309'!$T$57:$T$62</definedName>
    <definedName name="OSRRefT22_10x_0" localSheetId="66">'310'!$T$64</definedName>
    <definedName name="OSRRefT22_10x_0" localSheetId="74">'310 &amp; 491'!$T$75</definedName>
    <definedName name="OSRRefT22_10x_0" localSheetId="56">'311'!$T$96</definedName>
    <definedName name="OSRRefT22_10x_0" localSheetId="68">'313'!$T$61</definedName>
    <definedName name="OSRRefT22_10x_0" localSheetId="59">'315'!$T$87</definedName>
    <definedName name="OSRRefT22_10x_0" localSheetId="65">'317'!$T$88</definedName>
    <definedName name="OSRRefT22_10x_0" localSheetId="69">'321'!$T$62</definedName>
    <definedName name="OSRRefT22_10x_0" localSheetId="70">'322'!$T$56:$T$58</definedName>
    <definedName name="OSRRefT22_10x_0" localSheetId="71">'325'!$T$57:$T$59</definedName>
    <definedName name="OSRRefT22_10x_0" localSheetId="60">'326'!$T$87</definedName>
    <definedName name="OSRRefT22_10x_0" localSheetId="52">'330'!$T$109</definedName>
    <definedName name="OSRRefT22_10x_0" localSheetId="58">'331'!$T$103</definedName>
    <definedName name="OSRRefT22_10x_0" localSheetId="61">'332'!$T$72:$T$76</definedName>
    <definedName name="OSRRefT22_10x_0" localSheetId="76">'405'!$T$55:$T$56</definedName>
    <definedName name="OSRRefT22_10x_0" localSheetId="77">'406'!$T$57:$T$62</definedName>
    <definedName name="OSRRefT22_10x_0" localSheetId="78">'411'!$T$57:$T$61</definedName>
    <definedName name="OSRRefT22_10x_0" localSheetId="79">'412'!$T$56:$T$58</definedName>
    <definedName name="OSRRefT22_10x_0" localSheetId="80">'413'!$T$60</definedName>
    <definedName name="OSRRefT22_10x_0" localSheetId="81">'414'!$T$57</definedName>
    <definedName name="OSRRefT22_10x_0" localSheetId="82">'415'!$T$56</definedName>
    <definedName name="OSRRefT22_10x_0" localSheetId="83">'418'!$T$60:$T$62</definedName>
    <definedName name="OSRRefT22_10x_0" localSheetId="86">'424'!$T$54</definedName>
    <definedName name="OSRRefT22_10x_0" localSheetId="87">'425'!$T$58</definedName>
    <definedName name="OSRRefT22_10x_0" localSheetId="91">'433'!$T$59</definedName>
    <definedName name="OSRRefT22_10x_0" localSheetId="93">'444'!$T$58</definedName>
    <definedName name="OSRRefT22_10x_0" localSheetId="95">'450'!$T$58</definedName>
    <definedName name="OSRRefT22_10x_0" localSheetId="75">'491'!$T$69</definedName>
    <definedName name="OSRRefT22_10x_0" localSheetId="89">'492'!$T$62</definedName>
    <definedName name="OSRRefT22_10x_0" localSheetId="97">'501'!$T$53:$T$54</definedName>
    <definedName name="OSRRefT22_10x_0" localSheetId="39">'Div 2'!$T$57</definedName>
    <definedName name="OSRRefT22_10x_0" localSheetId="47">'Div 3'!$T$200:$T$201</definedName>
    <definedName name="OSRRefT22_10x_0" localSheetId="73">'Div 4'!$T$70:$T$71</definedName>
    <definedName name="OSRRefT22_10x_0" localSheetId="96">'Div 5'!$T$53:$T$54</definedName>
    <definedName name="OSRRefT22_10x_0" localSheetId="64">'Div 6'!$T$88</definedName>
    <definedName name="OSRRefT22_10x_0" localSheetId="2">Summary!$T$234:$T$235</definedName>
    <definedName name="OSRRefT22_11x_0" localSheetId="41">'201'!$T$56</definedName>
    <definedName name="OSRRefT22_11x_0" localSheetId="42">'202'!$T$53:$T$54</definedName>
    <definedName name="OSRRefT22_11x_0" localSheetId="43">'203'!$T$57</definedName>
    <definedName name="OSRRefT22_11x_0" localSheetId="48">'300'!$T$197</definedName>
    <definedName name="OSRRefT22_11x_0" localSheetId="49">'300 &amp; 317'!$T$221</definedName>
    <definedName name="OSRRefT22_11x_0" localSheetId="50">'301'!$T$57</definedName>
    <definedName name="OSRRefT22_11x_0" localSheetId="53">'307'!$T$103</definedName>
    <definedName name="OSRRefT22_11x_0" localSheetId="55">'308'!$T$99:$T$101</definedName>
    <definedName name="OSRRefT22_11x_0" localSheetId="67">'309'!$T$64</definedName>
    <definedName name="OSRRefT22_11x_0" localSheetId="66">'310'!$T$66</definedName>
    <definedName name="OSRRefT22_11x_0" localSheetId="74">'310 &amp; 491'!$T$77:$T$78</definedName>
    <definedName name="OSRRefT22_11x_0" localSheetId="56">'311'!$T$98:$T$100</definedName>
    <definedName name="OSRRefT22_11x_0" localSheetId="68">'313'!$T$63:$T$68</definedName>
    <definedName name="OSRRefT22_11x_0" localSheetId="59">'315'!$T$89:$T$92</definedName>
    <definedName name="OSRRefT22_11x_0" localSheetId="69">'321'!$T$64</definedName>
    <definedName name="OSRRefT22_11x_0" localSheetId="70">'322'!$T$60:$T$65</definedName>
    <definedName name="OSRRefT22_11x_0" localSheetId="71">'325'!$T$61:$T$63</definedName>
    <definedName name="OSRRefT22_11x_0" localSheetId="60">'326'!$T$89</definedName>
    <definedName name="OSRRefT22_11x_0" localSheetId="52">'330'!$T$111:$T$112</definedName>
    <definedName name="OSRRefT22_11x_0" localSheetId="58">'331'!$T$105</definedName>
    <definedName name="OSRRefT22_11x_0" localSheetId="61">'332'!$T$78</definedName>
    <definedName name="OSRRefT22_11x_0" localSheetId="76">'405'!$T$58</definedName>
    <definedName name="OSRRefT22_11x_0" localSheetId="77">'406'!$T$64</definedName>
    <definedName name="OSRRefT22_11x_0" localSheetId="78">'411'!$T$63:$T$69</definedName>
    <definedName name="OSRRefT22_11x_0" localSheetId="79">'412'!$T$60:$T$66</definedName>
    <definedName name="OSRRefT22_11x_0" localSheetId="81">'414'!$T$59</definedName>
    <definedName name="OSRRefT22_11x_0" localSheetId="82">'415'!$T$58:$T$60</definedName>
    <definedName name="OSRRefT22_11x_0" localSheetId="83">'418'!$T$64</definedName>
    <definedName name="OSRRefT22_11x_0" localSheetId="87">'425'!$T$60:$T$61</definedName>
    <definedName name="OSRRefT22_11x_0" localSheetId="91">'433'!$T$61:$T$63</definedName>
    <definedName name="OSRRefT22_11x_0" localSheetId="93">'444'!$T$60:$T$61</definedName>
    <definedName name="OSRRefT22_11x_0" localSheetId="95">'450'!$T$60:$T$61</definedName>
    <definedName name="OSRRefT22_11x_0" localSheetId="75">'491'!$T$71</definedName>
    <definedName name="OSRRefT22_11x_0" localSheetId="89">'492'!$T$64</definedName>
    <definedName name="OSRRefT22_11x_0" localSheetId="97">'501'!$T$56:$T$59</definedName>
    <definedName name="OSRRefT22_11x_0" localSheetId="39">'Div 2'!$T$59</definedName>
    <definedName name="OSRRefT22_11x_0" localSheetId="47">'Div 3'!$T$203</definedName>
    <definedName name="OSRRefT22_11x_0" localSheetId="73">'Div 4'!$T$73</definedName>
    <definedName name="OSRRefT22_11x_0" localSheetId="96">'Div 5'!$T$56:$T$59</definedName>
    <definedName name="OSRRefT22_11x_0" localSheetId="2">Summary!$T$237:$T$238</definedName>
    <definedName name="OSRRefT22_12x_0" localSheetId="41">'201'!$T$58:$T$60</definedName>
    <definedName name="OSRRefT22_12x_0" localSheetId="42">'202'!$T$56</definedName>
    <definedName name="OSRRefT22_12x_0" localSheetId="43">'203'!$T$59:$T$61</definedName>
    <definedName name="OSRRefT22_12x_0" localSheetId="48">'300'!$T$199</definedName>
    <definedName name="OSRRefT22_12x_0" localSheetId="49">'300 &amp; 317'!$T$223</definedName>
    <definedName name="OSRRefT22_12x_0" localSheetId="50">'301'!$T$59</definedName>
    <definedName name="OSRRefT22_12x_0" localSheetId="55">'308'!$T$103:$T$104</definedName>
    <definedName name="OSRRefT22_12x_0" localSheetId="66">'310'!$T$68</definedName>
    <definedName name="OSRRefT22_12x_0" localSheetId="74">'310 &amp; 491'!$T$80</definedName>
    <definedName name="OSRRefT22_12x_0" localSheetId="56">'311'!$T$102:$T$103</definedName>
    <definedName name="OSRRefT22_12x_0" localSheetId="68">'313'!$T$70</definedName>
    <definedName name="OSRRefT22_12x_0" localSheetId="59">'315'!$T$94</definedName>
    <definedName name="OSRRefT22_12x_0" localSheetId="70">'322'!$T$67</definedName>
    <definedName name="OSRRefT22_12x_0" localSheetId="71">'325'!$T$65</definedName>
    <definedName name="OSRRefT22_12x_0" localSheetId="60">'326'!$T$91</definedName>
    <definedName name="OSRRefT22_12x_0" localSheetId="52">'330'!$T$114</definedName>
    <definedName name="OSRRefT22_12x_0" localSheetId="58">'331'!$T$107</definedName>
    <definedName name="OSRRefT22_12x_0" localSheetId="61">'332'!$T$80</definedName>
    <definedName name="OSRRefT22_12x_0" localSheetId="76">'405'!$T$60:$T$62</definedName>
    <definedName name="OSRRefT22_12x_0" localSheetId="77">'406'!$T$66</definedName>
    <definedName name="OSRRefT22_12x_0" localSheetId="78">'411'!$T$71</definedName>
    <definedName name="OSRRefT22_12x_0" localSheetId="79">'412'!$T$68</definedName>
    <definedName name="OSRRefT22_12x_0" localSheetId="81">'414'!$T$61:$T$67</definedName>
    <definedName name="OSRRefT22_12x_0" localSheetId="82">'415'!$T$62:$T$66</definedName>
    <definedName name="OSRRefT22_12x_0" localSheetId="83">'418'!$T$66:$T$72</definedName>
    <definedName name="OSRRefT22_12x_0" localSheetId="87">'425'!$T$63:$T$68</definedName>
    <definedName name="OSRRefT22_12x_0" localSheetId="91">'433'!$T$65:$T$70</definedName>
    <definedName name="OSRRefT22_12x_0" localSheetId="93">'444'!$T$63:$T$65</definedName>
    <definedName name="OSRRefT22_12x_0" localSheetId="95">'450'!$T$63:$T$65</definedName>
    <definedName name="OSRRefT22_12x_0" localSheetId="75">'491'!$T$73</definedName>
    <definedName name="OSRRefT22_12x_0" localSheetId="89">'492'!$T$66:$T$68</definedName>
    <definedName name="OSRRefT22_12x_0" localSheetId="97">'501'!$T$61</definedName>
    <definedName name="OSRRefT22_12x_0" localSheetId="39">'Div 2'!$T$61:$T$64</definedName>
    <definedName name="OSRRefT22_12x_0" localSheetId="47">'Div 3'!$T$205</definedName>
    <definedName name="OSRRefT22_12x_0" localSheetId="73">'Div 4'!$T$75</definedName>
    <definedName name="OSRRefT22_12x_0" localSheetId="96">'Div 5'!$T$61</definedName>
    <definedName name="OSRRefT22_12x_0" localSheetId="2">Summary!$T$240</definedName>
    <definedName name="OSRRefT22_13x_0" localSheetId="41">'201'!$T$62</definedName>
    <definedName name="OSRRefT22_13x_0" localSheetId="42">'202'!$T$58</definedName>
    <definedName name="OSRRefT22_13x_0" localSheetId="43">'203'!$T$63</definedName>
    <definedName name="OSRRefT22_13x_0" localSheetId="48">'300'!$T$201</definedName>
    <definedName name="OSRRefT22_13x_0" localSheetId="49">'300 &amp; 317'!$T$225</definedName>
    <definedName name="OSRRefT22_13x_0" localSheetId="50">'301'!$T$61</definedName>
    <definedName name="OSRRefT22_13x_0" localSheetId="55">'308'!$T$106</definedName>
    <definedName name="OSRRefT22_13x_0" localSheetId="66">'310'!$T$70</definedName>
    <definedName name="OSRRefT22_13x_0" localSheetId="74">'310 &amp; 491'!$T$82</definedName>
    <definedName name="OSRRefT22_13x_0" localSheetId="56">'311'!$T$105</definedName>
    <definedName name="OSRRefT22_13x_0" localSheetId="68">'313'!$T$72</definedName>
    <definedName name="OSRRefT22_13x_0" localSheetId="59">'315'!$T$96</definedName>
    <definedName name="OSRRefT22_13x_0" localSheetId="70">'322'!$T$69</definedName>
    <definedName name="OSRRefT22_13x_0" localSheetId="71">'325'!$T$67:$T$72</definedName>
    <definedName name="OSRRefT22_13x_0" localSheetId="60">'326'!$T$93:$T$94</definedName>
    <definedName name="OSRRefT22_13x_0" localSheetId="58">'331'!$T$109</definedName>
    <definedName name="OSRRefT22_13x_0" localSheetId="76">'405'!$T$64</definedName>
    <definedName name="OSRRefT22_13x_0" localSheetId="78">'411'!$T$73</definedName>
    <definedName name="OSRRefT22_13x_0" localSheetId="79">'412'!$T$70</definedName>
    <definedName name="OSRRefT22_13x_0" localSheetId="81">'414'!$T$69</definedName>
    <definedName name="OSRRefT22_13x_0" localSheetId="82">'415'!$T$68</definedName>
    <definedName name="OSRRefT22_13x_0" localSheetId="83">'418'!$T$74</definedName>
    <definedName name="OSRRefT22_13x_0" localSheetId="87">'425'!$T$70</definedName>
    <definedName name="OSRRefT22_13x_0" localSheetId="91">'433'!$T$72</definedName>
    <definedName name="OSRRefT22_13x_0" localSheetId="93">'444'!$T$67:$T$73</definedName>
    <definedName name="OSRRefT22_13x_0" localSheetId="95">'450'!$T$67:$T$72</definedName>
    <definedName name="OSRRefT22_13x_0" localSheetId="75">'491'!$T$75</definedName>
    <definedName name="OSRRefT22_13x_0" localSheetId="89">'492'!$T$70:$T$72</definedName>
    <definedName name="OSRRefT22_13x_0" localSheetId="39">'Div 2'!$T$66:$T$68</definedName>
    <definedName name="OSRRefT22_13x_0" localSheetId="47">'Div 3'!$T$207</definedName>
    <definedName name="OSRRefT22_13x_0" localSheetId="73">'Div 4'!$T$77</definedName>
    <definedName name="OSRRefT22_13x_0" localSheetId="2">Summary!$T$242</definedName>
    <definedName name="OSRRefT22_14x_0" localSheetId="41">'201'!$T$64</definedName>
    <definedName name="OSRRefT22_14x_0" localSheetId="43">'203'!$T$65</definedName>
    <definedName name="OSRRefT22_14x_0" localSheetId="48">'300'!$T$203</definedName>
    <definedName name="OSRRefT22_14x_0" localSheetId="49">'300 &amp; 317'!$T$227</definedName>
    <definedName name="OSRRefT22_14x_0" localSheetId="50">'301'!$T$63:$T$65</definedName>
    <definedName name="OSRRefT22_14x_0" localSheetId="55">'308'!$T$108</definedName>
    <definedName name="OSRRefT22_14x_0" localSheetId="66">'310'!$T$72:$T$74</definedName>
    <definedName name="OSRRefT22_14x_0" localSheetId="74">'310 &amp; 491'!$T$84</definedName>
    <definedName name="OSRRefT22_14x_0" localSheetId="56">'311'!$T$107</definedName>
    <definedName name="OSRRefT22_14x_0" localSheetId="59">'315'!$T$98</definedName>
    <definedName name="OSRRefT22_14x_0" localSheetId="71">'325'!$T$74</definedName>
    <definedName name="OSRRefT22_14x_0" localSheetId="60">'326'!$T$96:$T$98</definedName>
    <definedName name="OSRRefT22_14x_0" localSheetId="58">'331'!$T$111:$T$113</definedName>
    <definedName name="OSRRefT22_14x_0" localSheetId="76">'405'!$T$66:$T$72</definedName>
    <definedName name="OSRRefT22_14x_0" localSheetId="78">'411'!$T$75:$T$77</definedName>
    <definedName name="OSRRefT22_14x_0" localSheetId="81">'414'!$T$71</definedName>
    <definedName name="OSRRefT22_14x_0" localSheetId="82">'415'!$T$70:$T$76</definedName>
    <definedName name="OSRRefT22_14x_0" localSheetId="83">'418'!$T$76</definedName>
    <definedName name="OSRRefT22_14x_0" localSheetId="87">'425'!$T$72</definedName>
    <definedName name="OSRRefT22_14x_0" localSheetId="91">'433'!$T$74</definedName>
    <definedName name="OSRRefT22_14x_0" localSheetId="93">'444'!$T$75</definedName>
    <definedName name="OSRRefT22_14x_0" localSheetId="95">'450'!$T$74</definedName>
    <definedName name="OSRRefT22_14x_0" localSheetId="75">'491'!$T$77:$T$79</definedName>
    <definedName name="OSRRefT22_14x_0" localSheetId="89">'492'!$T$74:$T$80</definedName>
    <definedName name="OSRRefT22_14x_0" localSheetId="39">'Div 2'!$T$70:$T$71</definedName>
    <definedName name="OSRRefT22_14x_0" localSheetId="47">'Div 3'!$T$209</definedName>
    <definedName name="OSRRefT22_14x_0" localSheetId="73">'Div 4'!$T$79</definedName>
    <definedName name="OSRRefT22_14x_0" localSheetId="2">Summary!$T$244</definedName>
    <definedName name="OSRRefT22_15x_0" localSheetId="41">'201'!$T$66:$T$67</definedName>
    <definedName name="OSRRefT22_15x_0" localSheetId="43">'203'!$T$67</definedName>
    <definedName name="OSRRefT22_15x_0" localSheetId="48">'300'!$T$205</definedName>
    <definedName name="OSRRefT22_15x_0" localSheetId="49">'300 &amp; 317'!$T$229</definedName>
    <definedName name="OSRRefT22_15x_0" localSheetId="50">'301'!$T$67:$T$69</definedName>
    <definedName name="OSRRefT22_15x_0" localSheetId="66">'310'!$T$76</definedName>
    <definedName name="OSRRefT22_15x_0" localSheetId="74">'310 &amp; 491'!$T$86</definedName>
    <definedName name="OSRRefT22_15x_0" localSheetId="71">'325'!$T$76</definedName>
    <definedName name="OSRRefT22_15x_0" localSheetId="60">'326'!$T$100</definedName>
    <definedName name="OSRRefT22_15x_0" localSheetId="58">'331'!$T$115:$T$116</definedName>
    <definedName name="OSRRefT22_15x_0" localSheetId="76">'405'!$T$74</definedName>
    <definedName name="OSRRefT22_15x_0" localSheetId="78">'411'!$T$79</definedName>
    <definedName name="OSRRefT22_15x_0" localSheetId="82">'415'!$T$78</definedName>
    <definedName name="OSRRefT22_15x_0" localSheetId="87">'425'!$T$74</definedName>
    <definedName name="OSRRefT22_15x_0" localSheetId="91">'433'!$T$76:$T$77</definedName>
    <definedName name="OSRRefT22_15x_0" localSheetId="93">'444'!$T$77</definedName>
    <definedName name="OSRRefT22_15x_0" localSheetId="95">'450'!$T$76</definedName>
    <definedName name="OSRRefT22_15x_0" localSheetId="75">'491'!$T$81:$T$82</definedName>
    <definedName name="OSRRefT22_15x_0" localSheetId="89">'492'!$T$82</definedName>
    <definedName name="OSRRefT22_15x_0" localSheetId="39">'Div 2'!$T$73</definedName>
    <definedName name="OSRRefT22_15x_0" localSheetId="47">'Div 3'!$T$211</definedName>
    <definedName name="OSRRefT22_15x_0" localSheetId="73">'Div 4'!$T$81</definedName>
    <definedName name="OSRRefT22_15x_0" localSheetId="2">Summary!$T$246</definedName>
    <definedName name="OSRRefT22_16x_0" localSheetId="48">'300'!$T$207:$T$209</definedName>
    <definedName name="OSRRefT22_16x_0" localSheetId="49">'300 &amp; 317'!$T$231:$T$233</definedName>
    <definedName name="OSRRefT22_16x_0" localSheetId="50">'301'!$T$71</definedName>
    <definedName name="OSRRefT22_16x_0" localSheetId="66">'310'!$T$78:$T$81</definedName>
    <definedName name="OSRRefT22_16x_0" localSheetId="74">'310 &amp; 491'!$T$88:$T$90</definedName>
    <definedName name="OSRRefT22_16x_0" localSheetId="60">'326'!$T$102:$T$105</definedName>
    <definedName name="OSRRefT22_16x_0" localSheetId="58">'331'!$T$118:$T$120</definedName>
    <definedName name="OSRRefT22_16x_0" localSheetId="76">'405'!$T$76</definedName>
    <definedName name="OSRRefT22_16x_0" localSheetId="82">'415'!$T$80</definedName>
    <definedName name="OSRRefT22_16x_0" localSheetId="93">'444'!$T$79</definedName>
    <definedName name="OSRRefT22_16x_0" localSheetId="95">'450'!$T$78:$T$79</definedName>
    <definedName name="OSRRefT22_16x_0" localSheetId="75">'491'!$T$84:$T$88</definedName>
    <definedName name="OSRRefT22_16x_0" localSheetId="89">'492'!$T$84</definedName>
    <definedName name="OSRRefT22_16x_0" localSheetId="39">'Div 2'!$T$75:$T$78</definedName>
    <definedName name="OSRRefT22_16x_0" localSheetId="47">'Div 3'!$T$213</definedName>
    <definedName name="OSRRefT22_16x_0" localSheetId="73">'Div 4'!$T$83:$T$85</definedName>
    <definedName name="OSRRefT22_16x_0" localSheetId="2">Summary!$T$248</definedName>
    <definedName name="OSRRefT22_17x_0" localSheetId="48">'300'!$T$211:$T$213</definedName>
    <definedName name="OSRRefT22_17x_0" localSheetId="49">'300 &amp; 317'!$T$235:$T$237</definedName>
    <definedName name="OSRRefT22_17x_0" localSheetId="50">'301'!$T$73:$T$77</definedName>
    <definedName name="OSRRefT22_17x_0" localSheetId="66">'310'!$T$83:$T$84</definedName>
    <definedName name="OSRRefT22_17x_0" localSheetId="74">'310 &amp; 491'!$T$92:$T$93</definedName>
    <definedName name="OSRRefT22_17x_0" localSheetId="60">'326'!$T$107</definedName>
    <definedName name="OSRRefT22_17x_0" localSheetId="58">'331'!$T$122</definedName>
    <definedName name="OSRRefT22_17x_0" localSheetId="76">'405'!$T$78</definedName>
    <definedName name="OSRRefT22_17x_0" localSheetId="82">'415'!$T$82</definedName>
    <definedName name="OSRRefT22_17x_0" localSheetId="75">'491'!$T$90</definedName>
    <definedName name="OSRRefT22_17x_0" localSheetId="89">'492'!$T$86:$T$87</definedName>
    <definedName name="OSRRefT22_17x_0" localSheetId="39">'Div 2'!$T$80:$T$81</definedName>
    <definedName name="OSRRefT22_17x_0" localSheetId="47">'Div 3'!$T$215:$T$217</definedName>
    <definedName name="OSRRefT22_17x_0" localSheetId="73">'Div 4'!$T$87:$T$88</definedName>
    <definedName name="OSRRefT22_17x_0" localSheetId="2">Summary!$T$250</definedName>
    <definedName name="OSRRefT22_18x_0" localSheetId="48">'300'!$T$215:$T$218</definedName>
    <definedName name="OSRRefT22_18x_0" localSheetId="49">'300 &amp; 317'!$T$239:$T$242</definedName>
    <definedName name="OSRRefT22_18x_0" localSheetId="50">'301'!$T$79</definedName>
    <definedName name="OSRRefT22_18x_0" localSheetId="66">'310'!$T$86:$T$92</definedName>
    <definedName name="OSRRefT22_18x_0" localSheetId="74">'310 &amp; 491'!$T$95:$T$99</definedName>
    <definedName name="OSRRefT22_18x_0" localSheetId="60">'326'!$T$109</definedName>
    <definedName name="OSRRefT22_18x_0" localSheetId="58">'331'!$T$124:$T$128</definedName>
    <definedName name="OSRRefT22_18x_0" localSheetId="75">'491'!$T$92:$T$99</definedName>
    <definedName name="OSRRefT22_18x_0" localSheetId="39">'Div 2'!$T$83</definedName>
    <definedName name="OSRRefT22_18x_0" localSheetId="47">'Div 3'!$T$219:$T$221</definedName>
    <definedName name="OSRRefT22_18x_0" localSheetId="73">'Div 4'!$T$90:$T$94</definedName>
    <definedName name="OSRRefT22_18x_0" localSheetId="2">Summary!$T$252:$T$254</definedName>
    <definedName name="OSRRefT22_19x_0" localSheetId="48">'300'!$T$220:$T$221</definedName>
    <definedName name="OSRRefT22_19x_0" localSheetId="49">'300 &amp; 317'!$T$244:$T$245</definedName>
    <definedName name="OSRRefT22_19x_0" localSheetId="50">'301'!$T$81</definedName>
    <definedName name="OSRRefT22_19x_0" localSheetId="66">'310'!$T$94</definedName>
    <definedName name="OSRRefT22_19x_0" localSheetId="74">'310 &amp; 491'!$T$101:$T$102</definedName>
    <definedName name="OSRRefT22_19x_0" localSheetId="60">'326'!$T$111</definedName>
    <definedName name="OSRRefT22_19x_0" localSheetId="58">'331'!$T$130</definedName>
    <definedName name="OSRRefT22_19x_0" localSheetId="75">'491'!$T$101</definedName>
    <definedName name="OSRRefT22_19x_0" localSheetId="39">'Div 2'!$T$85:$T$86</definedName>
    <definedName name="OSRRefT22_19x_0" localSheetId="47">'Div 3'!$T$223:$T$227</definedName>
    <definedName name="OSRRefT22_19x_0" localSheetId="73">'Div 4'!$T$96</definedName>
    <definedName name="OSRRefT22_19x_0" localSheetId="2">Summary!$T$256:$T$258</definedName>
    <definedName name="OSRRefT22_1x_0" localSheetId="40">'200'!$T$22</definedName>
    <definedName name="OSRRefT22_1x_0" localSheetId="41">'201'!$T$30:$T$32</definedName>
    <definedName name="OSRRefT22_1x_0" localSheetId="42">'202'!$T$29:$T$32</definedName>
    <definedName name="OSRRefT22_1x_0" localSheetId="43">'203'!$T$31:$T$34</definedName>
    <definedName name="OSRRefT22_1x_0" localSheetId="44">'204'!$T$30:$T$34</definedName>
    <definedName name="OSRRefT22_1x_0" localSheetId="45">'205'!$T$29</definedName>
    <definedName name="OSRRefT22_1x_0" localSheetId="46">'206'!$T$29:$T$34</definedName>
    <definedName name="OSRRefT22_1x_0" localSheetId="48">'300'!$T$168:$T$174</definedName>
    <definedName name="OSRRefT22_1x_0" localSheetId="49">'300 &amp; 317'!$T$192:$T$198</definedName>
    <definedName name="OSRRefT22_1x_0" localSheetId="50">'301'!$T$29:$T$35</definedName>
    <definedName name="OSRRefT22_1x_0" localSheetId="51">'306'!$T$30:$T$34</definedName>
    <definedName name="OSRRefT22_1x_0" localSheetId="53">'307'!$T$78:$T$80</definedName>
    <definedName name="OSRRefT22_1x_0" localSheetId="55">'308'!$T$72:$T$76</definedName>
    <definedName name="OSRRefT22_1x_0" localSheetId="67">'309'!$T$33:$T$37</definedName>
    <definedName name="OSRRefT22_1x_0" localSheetId="66">'310'!$T$40:$T$45</definedName>
    <definedName name="OSRRefT22_1x_0" localSheetId="74">'310 &amp; 491'!$T$49:$T$55</definedName>
    <definedName name="OSRRefT22_1x_0" localSheetId="56">'311'!$T$71:$T$75</definedName>
    <definedName name="OSRRefT22_1x_0" localSheetId="68">'313'!$T$37:$T$41</definedName>
    <definedName name="OSRRefT22_1x_0" localSheetId="54">'314'!$T$63:$T$65</definedName>
    <definedName name="OSRRefT22_1x_0" localSheetId="59">'315'!$T$63:$T$67</definedName>
    <definedName name="OSRRefT22_1x_0" localSheetId="62">'316'!$T$41:$T$44</definedName>
    <definedName name="OSRRefT22_1x_0" localSheetId="65">'317'!$T$66:$T$69</definedName>
    <definedName name="OSRRefT22_1x_0" localSheetId="63">'320'!$T$37:$T$39</definedName>
    <definedName name="OSRRefT22_1x_0" localSheetId="69">'321'!$T$32:$T$36</definedName>
    <definedName name="OSRRefT22_1x_0" localSheetId="70">'322'!$T$33:$T$37</definedName>
    <definedName name="OSRRefT22_1x_0" localSheetId="71">'325'!$T$33:$T$38</definedName>
    <definedName name="OSRRefT22_1x_0" localSheetId="60">'326'!$T$66:$T$69</definedName>
    <definedName name="OSRRefT22_1x_0" localSheetId="72">'327'!$T$24</definedName>
    <definedName name="OSRRefT22_1x_0" localSheetId="52">'330'!$T$86:$T$88</definedName>
    <definedName name="OSRRefT22_1x_0" localSheetId="58">'331'!$T$80:$T$84</definedName>
    <definedName name="OSRRefT22_1x_0" localSheetId="61">'332'!$T$50:$T$53</definedName>
    <definedName name="OSRRefT22_1x_0" localSheetId="76">'405'!$T$33:$T$36</definedName>
    <definedName name="OSRRefT22_1x_0" localSheetId="77">'406'!$T$33:$T$37</definedName>
    <definedName name="OSRRefT22_1x_0" localSheetId="78">'411'!$T$30:$T$35</definedName>
    <definedName name="OSRRefT22_1x_0" localSheetId="79">'412'!$T$32:$T$37</definedName>
    <definedName name="OSRRefT22_1x_0" localSheetId="80">'413'!$T$33:$T$37</definedName>
    <definedName name="OSRRefT22_1x_0" localSheetId="81">'414'!$T$33:$T$38</definedName>
    <definedName name="OSRRefT22_1x_0" localSheetId="82">'415'!$T$33:$T$37</definedName>
    <definedName name="OSRRefT22_1x_0" localSheetId="83">'418'!$T$33:$T$38</definedName>
    <definedName name="OSRRefT22_1x_0" localSheetId="84">'420'!$T$23</definedName>
    <definedName name="OSRRefT22_1x_0" localSheetId="85">'423'!$T$30</definedName>
    <definedName name="OSRRefT22_1x_0" localSheetId="86">'424'!$T$28:$T$31</definedName>
    <definedName name="OSRRefT22_1x_0" localSheetId="87">'425'!$T$35:$T$39</definedName>
    <definedName name="OSRRefT22_1x_0" localSheetId="90">'430'!$T$29</definedName>
    <definedName name="OSRRefT22_1x_0" localSheetId="91">'433'!$T$36:$T$41</definedName>
    <definedName name="OSRRefT22_1x_0" localSheetId="92">'435'!$T$29:$T$30</definedName>
    <definedName name="OSRRefT22_1x_0" localSheetId="93">'444'!$T$35:$T$40</definedName>
    <definedName name="OSRRefT22_1x_0" localSheetId="95">'450'!$T$35:$T$40</definedName>
    <definedName name="OSRRefT22_1x_0" localSheetId="88">'455'!$T$28:$T$29</definedName>
    <definedName name="OSRRefT22_1x_0" localSheetId="75">'491'!$T$42:$T$48</definedName>
    <definedName name="OSRRefT22_1x_0" localSheetId="89">'492'!$T$38:$T$44</definedName>
    <definedName name="OSRRefT22_1x_0" localSheetId="97">'501'!$T$30:$T$35</definedName>
    <definedName name="OSRRefT22_1x_0" localSheetId="39">'Div 2'!$T$32:$T$38</definedName>
    <definedName name="OSRRefT22_1x_0" localSheetId="47">'Div 3'!$T$174:$T$180</definedName>
    <definedName name="OSRRefT22_1x_0" localSheetId="73">'Div 4'!$T$44:$T$50</definedName>
    <definedName name="OSRRefT22_1x_0" localSheetId="96">'Div 5'!$T$30:$T$35</definedName>
    <definedName name="OSRRefT22_1x_0" localSheetId="64">'Div 6'!$T$66:$T$69</definedName>
    <definedName name="OSRRefT22_1x_0" localSheetId="2">Summary!$T$207:$T$213</definedName>
    <definedName name="OSRRefT22_20x_0" localSheetId="48">'300'!$T$223:$T$228</definedName>
    <definedName name="OSRRefT22_20x_0" localSheetId="49">'300 &amp; 317'!$T$247:$T$252</definedName>
    <definedName name="OSRRefT22_20x_0" localSheetId="50">'301'!$T$83:$T$84</definedName>
    <definedName name="OSRRefT22_20x_0" localSheetId="66">'310'!$T$96</definedName>
    <definedName name="OSRRefT22_20x_0" localSheetId="74">'310 &amp; 491'!$T$104:$T$111</definedName>
    <definedName name="OSRRefT22_20x_0" localSheetId="58">'331'!$T$132</definedName>
    <definedName name="OSRRefT22_20x_0" localSheetId="75">'491'!$T$103</definedName>
    <definedName name="OSRRefT22_20x_0" localSheetId="47">'Div 3'!$T$229:$T$230</definedName>
    <definedName name="OSRRefT22_20x_0" localSheetId="73">'Div 4'!$T$98:$T$105</definedName>
    <definedName name="OSRRefT22_20x_0" localSheetId="2">Summary!$T$260:$T$264</definedName>
    <definedName name="OSRRefT22_21x_0" localSheetId="48">'300'!$T$230:$T$231</definedName>
    <definedName name="OSRRefT22_21x_0" localSheetId="49">'300 &amp; 317'!$T$254:$T$255</definedName>
    <definedName name="OSRRefT22_21x_0" localSheetId="50">'301'!$T$86</definedName>
    <definedName name="OSRRefT22_21x_0" localSheetId="66">'310'!$T$98</definedName>
    <definedName name="OSRRefT22_21x_0" localSheetId="74">'310 &amp; 491'!$T$113</definedName>
    <definedName name="OSRRefT22_21x_0" localSheetId="58">'331'!$T$134</definedName>
    <definedName name="OSRRefT22_21x_0" localSheetId="75">'491'!$T$105:$T$107</definedName>
    <definedName name="OSRRefT22_21x_0" localSheetId="47">'Div 3'!$T$232:$T$238</definedName>
    <definedName name="OSRRefT22_21x_0" localSheetId="73">'Div 4'!$T$107</definedName>
    <definedName name="OSRRefT22_21x_0" localSheetId="2">Summary!$T$266:$T$267</definedName>
    <definedName name="OSRRefT22_22x_0" localSheetId="48">'300'!$T$233</definedName>
    <definedName name="OSRRefT22_22x_0" localSheetId="49">'300 &amp; 317'!$T$257</definedName>
    <definedName name="OSRRefT22_22x_0" localSheetId="74">'310 &amp; 491'!$T$115</definedName>
    <definedName name="OSRRefT22_22x_0" localSheetId="58">'331'!$T$136</definedName>
    <definedName name="OSRRefT22_22x_0" localSheetId="75">'491'!$T$109</definedName>
    <definedName name="OSRRefT22_22x_0" localSheetId="47">'Div 3'!$T$240:$T$241</definedName>
    <definedName name="OSRRefT22_22x_0" localSheetId="73">'Div 4'!$T$109</definedName>
    <definedName name="OSRRefT22_22x_0" localSheetId="2">Summary!$T$269:$T$276</definedName>
    <definedName name="OSRRefT22_23x_0" localSheetId="48">'300'!$T$235:$T$237</definedName>
    <definedName name="OSRRefT22_23x_0" localSheetId="49">'300 &amp; 317'!$T$259:$T$261</definedName>
    <definedName name="OSRRefT22_23x_0" localSheetId="74">'310 &amp; 491'!$T$117:$T$119</definedName>
    <definedName name="OSRRefT22_23x_0" localSheetId="47">'Div 3'!$T$243</definedName>
    <definedName name="OSRRefT22_23x_0" localSheetId="73">'Div 4'!$T$111:$T$113</definedName>
    <definedName name="OSRRefT22_23x_0" localSheetId="2">Summary!$T$278:$T$279</definedName>
    <definedName name="OSRRefT22_24x_0" localSheetId="48">'300'!$T$239</definedName>
    <definedName name="OSRRefT22_24x_0" localSheetId="49">'300 &amp; 317'!$T$263</definedName>
    <definedName name="OSRRefT22_24x_0" localSheetId="74">'310 &amp; 491'!$T$121</definedName>
    <definedName name="OSRRefT22_24x_0" localSheetId="47">'Div 3'!$T$245:$T$247</definedName>
    <definedName name="OSRRefT22_24x_0" localSheetId="73">'Div 4'!$T$115</definedName>
    <definedName name="OSRRefT22_24x_0" localSheetId="2">Summary!$T$281</definedName>
    <definedName name="OSRRefT22_25x_0" localSheetId="47">'Div 3'!$T$249</definedName>
    <definedName name="OSRRefT22_25x_0" localSheetId="2">Summary!$T$283:$T$285</definedName>
    <definedName name="OSRRefT22_26x_0" localSheetId="2">Summary!$T$287</definedName>
    <definedName name="OSRRefT22_2x_0" localSheetId="40">'200'!$T$24</definedName>
    <definedName name="OSRRefT22_2x_0" localSheetId="41">'201'!$T$34</definedName>
    <definedName name="OSRRefT22_2x_0" localSheetId="42">'202'!$T$34</definedName>
    <definedName name="OSRRefT22_2x_0" localSheetId="43">'203'!$T$36</definedName>
    <definedName name="OSRRefT22_2x_0" localSheetId="44">'204'!$T$36</definedName>
    <definedName name="OSRRefT22_2x_0" localSheetId="45">'205'!$T$31</definedName>
    <definedName name="OSRRefT22_2x_0" localSheetId="46">'206'!$T$36</definedName>
    <definedName name="OSRRefT22_2x_0" localSheetId="48">'300'!$T$176</definedName>
    <definedName name="OSRRefT22_2x_0" localSheetId="49">'300 &amp; 317'!$T$200</definedName>
    <definedName name="OSRRefT22_2x_0" localSheetId="50">'301'!$T$37</definedName>
    <definedName name="OSRRefT22_2x_0" localSheetId="51">'306'!$T$36</definedName>
    <definedName name="OSRRefT22_2x_0" localSheetId="53">'307'!$T$82</definedName>
    <definedName name="OSRRefT22_2x_0" localSheetId="55">'308'!$T$78</definedName>
    <definedName name="OSRRefT22_2x_0" localSheetId="67">'309'!$T$39</definedName>
    <definedName name="OSRRefT22_2x_0" localSheetId="66">'310'!$T$47</definedName>
    <definedName name="OSRRefT22_2x_0" localSheetId="74">'310 &amp; 491'!$T$57</definedName>
    <definedName name="OSRRefT22_2x_0" localSheetId="56">'311'!$T$77</definedName>
    <definedName name="OSRRefT22_2x_0" localSheetId="68">'313'!$T$43</definedName>
    <definedName name="OSRRefT22_2x_0" localSheetId="54">'314'!$T$67</definedName>
    <definedName name="OSRRefT22_2x_0" localSheetId="59">'315'!$T$69</definedName>
    <definedName name="OSRRefT22_2x_0" localSheetId="62">'316'!$T$46</definedName>
    <definedName name="OSRRefT22_2x_0" localSheetId="65">'317'!$T$71</definedName>
    <definedName name="OSRRefT22_2x_0" localSheetId="63">'320'!$T$41</definedName>
    <definedName name="OSRRefT22_2x_0" localSheetId="69">'321'!$T$38</definedName>
    <definedName name="OSRRefT22_2x_0" localSheetId="70">'322'!$T$39</definedName>
    <definedName name="OSRRefT22_2x_0" localSheetId="71">'325'!$T$40</definedName>
    <definedName name="OSRRefT22_2x_0" localSheetId="60">'326'!$T$71</definedName>
    <definedName name="OSRRefT22_2x_0" localSheetId="52">'330'!$T$90</definedName>
    <definedName name="OSRRefT22_2x_0" localSheetId="58">'331'!$T$86</definedName>
    <definedName name="OSRRefT22_2x_0" localSheetId="61">'332'!$T$55</definedName>
    <definedName name="OSRRefT22_2x_0" localSheetId="76">'405'!$T$38</definedName>
    <definedName name="OSRRefT22_2x_0" localSheetId="77">'406'!$T$39</definedName>
    <definedName name="OSRRefT22_2x_0" localSheetId="78">'411'!$T$37</definedName>
    <definedName name="OSRRefT22_2x_0" localSheetId="79">'412'!$T$39</definedName>
    <definedName name="OSRRefT22_2x_0" localSheetId="80">'413'!$T$39</definedName>
    <definedName name="OSRRefT22_2x_0" localSheetId="81">'414'!$T$40</definedName>
    <definedName name="OSRRefT22_2x_0" localSheetId="82">'415'!$T$39</definedName>
    <definedName name="OSRRefT22_2x_0" localSheetId="83">'418'!$T$40</definedName>
    <definedName name="OSRRefT22_2x_0" localSheetId="85">'423'!$T$32</definedName>
    <definedName name="OSRRefT22_2x_0" localSheetId="86">'424'!$T$33</definedName>
    <definedName name="OSRRefT22_2x_0" localSheetId="87">'425'!$T$41</definedName>
    <definedName name="OSRRefT22_2x_0" localSheetId="90">'430'!$T$31</definedName>
    <definedName name="OSRRefT22_2x_0" localSheetId="91">'433'!$T$43</definedName>
    <definedName name="OSRRefT22_2x_0" localSheetId="92">'435'!$T$32</definedName>
    <definedName name="OSRRefT22_2x_0" localSheetId="93">'444'!$T$42</definedName>
    <definedName name="OSRRefT22_2x_0" localSheetId="95">'450'!$T$42</definedName>
    <definedName name="OSRRefT22_2x_0" localSheetId="75">'491'!$T$50</definedName>
    <definedName name="OSRRefT22_2x_0" localSheetId="89">'492'!$T$46</definedName>
    <definedName name="OSRRefT22_2x_0" localSheetId="97">'501'!$T$37</definedName>
    <definedName name="OSRRefT22_2x_0" localSheetId="39">'Div 2'!$T$40</definedName>
    <definedName name="OSRRefT22_2x_0" localSheetId="47">'Div 3'!$T$182</definedName>
    <definedName name="OSRRefT22_2x_0" localSheetId="73">'Div 4'!$T$52</definedName>
    <definedName name="OSRRefT22_2x_0" localSheetId="96">'Div 5'!$T$37</definedName>
    <definedName name="OSRRefT22_2x_0" localSheetId="64">'Div 6'!$T$71</definedName>
    <definedName name="OSRRefT22_2x_0" localSheetId="2">Summary!$T$215</definedName>
    <definedName name="OSRRefT22_3x_0" localSheetId="40">'200'!$T$26:$T$27</definedName>
    <definedName name="OSRRefT22_3x_0" localSheetId="41">'201'!$T$36</definedName>
    <definedName name="OSRRefT22_3x_0" localSheetId="42">'202'!$T$36</definedName>
    <definedName name="OSRRefT22_3x_0" localSheetId="43">'203'!$T$38</definedName>
    <definedName name="OSRRefT22_3x_0" localSheetId="44">'204'!$T$38:$T$39</definedName>
    <definedName name="OSRRefT22_3x_0" localSheetId="45">'205'!$T$33</definedName>
    <definedName name="OSRRefT22_3x_0" localSheetId="46">'206'!$T$38</definedName>
    <definedName name="OSRRefT22_3x_0" localSheetId="48">'300'!$T$178</definedName>
    <definedName name="OSRRefT22_3x_0" localSheetId="49">'300 &amp; 317'!$T$202</definedName>
    <definedName name="OSRRefT22_3x_0" localSheetId="50">'301'!$T$39</definedName>
    <definedName name="OSRRefT22_3x_0" localSheetId="51">'306'!$T$38</definedName>
    <definedName name="OSRRefT22_3x_0" localSheetId="53">'307'!$T$84</definedName>
    <definedName name="OSRRefT22_3x_0" localSheetId="55">'308'!$T$80:$T$81</definedName>
    <definedName name="OSRRefT22_3x_0" localSheetId="67">'309'!$T$41</definedName>
    <definedName name="OSRRefT22_3x_0" localSheetId="66">'310'!$T$49</definedName>
    <definedName name="OSRRefT22_3x_0" localSheetId="74">'310 &amp; 491'!$T$59</definedName>
    <definedName name="OSRRefT22_3x_0" localSheetId="56">'311'!$T$79:$T$80</definedName>
    <definedName name="OSRRefT22_3x_0" localSheetId="68">'313'!$T$45</definedName>
    <definedName name="OSRRefT22_3x_0" localSheetId="54">'314'!$T$69:$T$70</definedName>
    <definedName name="OSRRefT22_3x_0" localSheetId="59">'315'!$T$71:$T$72</definedName>
    <definedName name="OSRRefT22_3x_0" localSheetId="62">'316'!$T$48</definedName>
    <definedName name="OSRRefT22_3x_0" localSheetId="65">'317'!$T$73</definedName>
    <definedName name="OSRRefT22_3x_0" localSheetId="63">'320'!$T$43</definedName>
    <definedName name="OSRRefT22_3x_0" localSheetId="69">'321'!$T$40</definedName>
    <definedName name="OSRRefT22_3x_0" localSheetId="70">'322'!$T$41</definedName>
    <definedName name="OSRRefT22_3x_0" localSheetId="71">'325'!$T$42</definedName>
    <definedName name="OSRRefT22_3x_0" localSheetId="60">'326'!$T$73</definedName>
    <definedName name="OSRRefT22_3x_0" localSheetId="52">'330'!$T$92</definedName>
    <definedName name="OSRRefT22_3x_0" localSheetId="58">'331'!$T$88</definedName>
    <definedName name="OSRRefT22_3x_0" localSheetId="61">'332'!$T$57</definedName>
    <definedName name="OSRRefT22_3x_0" localSheetId="76">'405'!$T$40</definedName>
    <definedName name="OSRRefT22_3x_0" localSheetId="77">'406'!$T$41</definedName>
    <definedName name="OSRRefT22_3x_0" localSheetId="78">'411'!$T$39:$T$41</definedName>
    <definedName name="OSRRefT22_3x_0" localSheetId="79">'412'!$T$41</definedName>
    <definedName name="OSRRefT22_3x_0" localSheetId="80">'413'!$T$41</definedName>
    <definedName name="OSRRefT22_3x_0" localSheetId="81">'414'!$T$42</definedName>
    <definedName name="OSRRefT22_3x_0" localSheetId="82">'415'!$T$41</definedName>
    <definedName name="OSRRefT22_3x_0" localSheetId="83">'418'!$T$42</definedName>
    <definedName name="OSRRefT22_3x_0" localSheetId="85">'423'!$T$34</definedName>
    <definedName name="OSRRefT22_3x_0" localSheetId="86">'424'!$T$35</definedName>
    <definedName name="OSRRefT22_3x_0" localSheetId="87">'425'!$T$43</definedName>
    <definedName name="OSRRefT22_3x_0" localSheetId="90">'430'!$T$33</definedName>
    <definedName name="OSRRefT22_3x_0" localSheetId="91">'433'!$T$45</definedName>
    <definedName name="OSRRefT22_3x_0" localSheetId="92">'435'!$T$34</definedName>
    <definedName name="OSRRefT22_3x_0" localSheetId="93">'444'!$T$44</definedName>
    <definedName name="OSRRefT22_3x_0" localSheetId="95">'450'!$T$44</definedName>
    <definedName name="OSRRefT22_3x_0" localSheetId="75">'491'!$T$52</definedName>
    <definedName name="OSRRefT22_3x_0" localSheetId="89">'492'!$T$48</definedName>
    <definedName name="OSRRefT22_3x_0" localSheetId="97">'501'!$T$39</definedName>
    <definedName name="OSRRefT22_3x_0" localSheetId="39">'Div 2'!$T$42</definedName>
    <definedName name="OSRRefT22_3x_0" localSheetId="47">'Div 3'!$T$184</definedName>
    <definedName name="OSRRefT22_3x_0" localSheetId="73">'Div 4'!$T$54</definedName>
    <definedName name="OSRRefT22_3x_0" localSheetId="96">'Div 5'!$T$39</definedName>
    <definedName name="OSRRefT22_3x_0" localSheetId="64">'Div 6'!$T$73</definedName>
    <definedName name="OSRRefT22_3x_0" localSheetId="2">Summary!$T$217</definedName>
    <definedName name="OSRRefT22_4x_0" localSheetId="41">'201'!$T$38</definedName>
    <definedName name="OSRRefT22_4x_0" localSheetId="42">'202'!$T$38</definedName>
    <definedName name="OSRRefT22_4x_0" localSheetId="43">'203'!$T$40</definedName>
    <definedName name="OSRRefT22_4x_0" localSheetId="44">'204'!$T$41</definedName>
    <definedName name="OSRRefT22_4x_0" localSheetId="45">'205'!$T$35:$T$36</definedName>
    <definedName name="OSRRefT22_4x_0" localSheetId="46">'206'!$T$40</definedName>
    <definedName name="OSRRefT22_4x_0" localSheetId="48">'300'!$T$180</definedName>
    <definedName name="OSRRefT22_4x_0" localSheetId="49">'300 &amp; 317'!$T$204</definedName>
    <definedName name="OSRRefT22_4x_0" localSheetId="50">'301'!$T$41</definedName>
    <definedName name="OSRRefT22_4x_0" localSheetId="51">'306'!$T$40</definedName>
    <definedName name="OSRRefT22_4x_0" localSheetId="53">'307'!$T$86:$T$87</definedName>
    <definedName name="OSRRefT22_4x_0" localSheetId="55">'308'!$T$83</definedName>
    <definedName name="OSRRefT22_4x_0" localSheetId="67">'309'!$T$43</definedName>
    <definedName name="OSRRefT22_4x_0" localSheetId="66">'310'!$T$51</definedName>
    <definedName name="OSRRefT22_4x_0" localSheetId="74">'310 &amp; 491'!$T$61</definedName>
    <definedName name="OSRRefT22_4x_0" localSheetId="56">'311'!$T$82</definedName>
    <definedName name="OSRRefT22_4x_0" localSheetId="68">'313'!$T$47</definedName>
    <definedName name="OSRRefT22_4x_0" localSheetId="54">'314'!$T$72</definedName>
    <definedName name="OSRRefT22_4x_0" localSheetId="59">'315'!$T$74</definedName>
    <definedName name="OSRRefT22_4x_0" localSheetId="62">'316'!$T$50</definedName>
    <definedName name="OSRRefT22_4x_0" localSheetId="65">'317'!$T$75</definedName>
    <definedName name="OSRRefT22_4x_0" localSheetId="63">'320'!$T$45:$T$46</definedName>
    <definedName name="OSRRefT22_4x_0" localSheetId="69">'321'!$T$42</definedName>
    <definedName name="OSRRefT22_4x_0" localSheetId="70">'322'!$T$43</definedName>
    <definedName name="OSRRefT22_4x_0" localSheetId="71">'325'!$T$44</definedName>
    <definedName name="OSRRefT22_4x_0" localSheetId="60">'326'!$T$75</definedName>
    <definedName name="OSRRefT22_4x_0" localSheetId="52">'330'!$T$94:$T$95</definedName>
    <definedName name="OSRRefT22_4x_0" localSheetId="58">'331'!$T$90</definedName>
    <definedName name="OSRRefT22_4x_0" localSheetId="61">'332'!$T$59</definedName>
    <definedName name="OSRRefT22_4x_0" localSheetId="76">'405'!$T$42</definedName>
    <definedName name="OSRRefT22_4x_0" localSheetId="77">'406'!$T$43</definedName>
    <definedName name="OSRRefT22_4x_0" localSheetId="78">'411'!$T$43</definedName>
    <definedName name="OSRRefT22_4x_0" localSheetId="79">'412'!$T$43</definedName>
    <definedName name="OSRRefT22_4x_0" localSheetId="80">'413'!$T$43</definedName>
    <definedName name="OSRRefT22_4x_0" localSheetId="81">'414'!$T$44</definedName>
    <definedName name="OSRRefT22_4x_0" localSheetId="82">'415'!$T$43</definedName>
    <definedName name="OSRRefT22_4x_0" localSheetId="83">'418'!$T$44</definedName>
    <definedName name="OSRRefT22_4x_0" localSheetId="85">'423'!$T$36</definedName>
    <definedName name="OSRRefT22_4x_0" localSheetId="86">'424'!$T$37</definedName>
    <definedName name="OSRRefT22_4x_0" localSheetId="87">'425'!$T$45</definedName>
    <definedName name="OSRRefT22_4x_0" localSheetId="90">'430'!$T$35</definedName>
    <definedName name="OSRRefT22_4x_0" localSheetId="91">'433'!$T$47</definedName>
    <definedName name="OSRRefT22_4x_0" localSheetId="92">'435'!$T$36</definedName>
    <definedName name="OSRRefT22_4x_0" localSheetId="93">'444'!$T$46</definedName>
    <definedName name="OSRRefT22_4x_0" localSheetId="95">'450'!$T$46</definedName>
    <definedName name="OSRRefT22_4x_0" localSheetId="75">'491'!$T$54</definedName>
    <definedName name="OSRRefT22_4x_0" localSheetId="89">'492'!$T$50</definedName>
    <definedName name="OSRRefT22_4x_0" localSheetId="97">'501'!$T$41</definedName>
    <definedName name="OSRRefT22_4x_0" localSheetId="39">'Div 2'!$T$44</definedName>
    <definedName name="OSRRefT22_4x_0" localSheetId="47">'Div 3'!$T$186</definedName>
    <definedName name="OSRRefT22_4x_0" localSheetId="73">'Div 4'!$T$56</definedName>
    <definedName name="OSRRefT22_4x_0" localSheetId="96">'Div 5'!$T$41</definedName>
    <definedName name="OSRRefT22_4x_0" localSheetId="64">'Div 6'!$T$75</definedName>
    <definedName name="OSRRefT22_4x_0" localSheetId="2">Summary!$T$219</definedName>
    <definedName name="OSRRefT22_5x_0" localSheetId="41">'201'!$T$40</definedName>
    <definedName name="OSRRefT22_5x_0" localSheetId="42">'202'!$T$40</definedName>
    <definedName name="OSRRefT22_5x_0" localSheetId="43">'203'!$T$42</definedName>
    <definedName name="OSRRefT22_5x_0" localSheetId="44">'204'!$T$43</definedName>
    <definedName name="OSRRefT22_5x_0" localSheetId="45">'205'!$T$38</definedName>
    <definedName name="OSRRefT22_5x_0" localSheetId="46">'206'!$T$42:$T$43</definedName>
    <definedName name="OSRRefT22_5x_0" localSheetId="48">'300'!$T$182:$T$183</definedName>
    <definedName name="OSRRefT22_5x_0" localSheetId="49">'300 &amp; 317'!$T$206:$T$207</definedName>
    <definedName name="OSRRefT22_5x_0" localSheetId="50">'301'!$T$43:$T$44</definedName>
    <definedName name="OSRRefT22_5x_0" localSheetId="51">'306'!$T$42</definedName>
    <definedName name="OSRRefT22_5x_0" localSheetId="53">'307'!$T$89</definedName>
    <definedName name="OSRRefT22_5x_0" localSheetId="55">'308'!$T$85</definedName>
    <definedName name="OSRRefT22_5x_0" localSheetId="67">'309'!$T$45</definedName>
    <definedName name="OSRRefT22_5x_0" localSheetId="66">'310'!$T$53:$T$54</definedName>
    <definedName name="OSRRefT22_5x_0" localSheetId="74">'310 &amp; 491'!$T$63:$T$65</definedName>
    <definedName name="OSRRefT22_5x_0" localSheetId="56">'311'!$T$84</definedName>
    <definedName name="OSRRefT22_5x_0" localSheetId="68">'313'!$T$49</definedName>
    <definedName name="OSRRefT22_5x_0" localSheetId="54">'314'!$T$74:$T$75</definedName>
    <definedName name="OSRRefT22_5x_0" localSheetId="59">'315'!$T$76</definedName>
    <definedName name="OSRRefT22_5x_0" localSheetId="62">'316'!$T$52</definedName>
    <definedName name="OSRRefT22_5x_0" localSheetId="65">'317'!$T$77</definedName>
    <definedName name="OSRRefT22_5x_0" localSheetId="63">'320'!$T$48</definedName>
    <definedName name="OSRRefT22_5x_0" localSheetId="69">'321'!$T$44</definedName>
    <definedName name="OSRRefT22_5x_0" localSheetId="70">'322'!$T$45</definedName>
    <definedName name="OSRRefT22_5x_0" localSheetId="71">'325'!$T$46:$T$47</definedName>
    <definedName name="OSRRefT22_5x_0" localSheetId="60">'326'!$T$77</definedName>
    <definedName name="OSRRefT22_5x_0" localSheetId="52">'330'!$T$97</definedName>
    <definedName name="OSRRefT22_5x_0" localSheetId="58">'331'!$T$92:$T$93</definedName>
    <definedName name="OSRRefT22_5x_0" localSheetId="61">'332'!$T$61:$T$62</definedName>
    <definedName name="OSRRefT22_5x_0" localSheetId="76">'405'!$T$44:$T$45</definedName>
    <definedName name="OSRRefT22_5x_0" localSheetId="77">'406'!$T$45</definedName>
    <definedName name="OSRRefT22_5x_0" localSheetId="78">'411'!$T$45</definedName>
    <definedName name="OSRRefT22_5x_0" localSheetId="79">'412'!$T$45</definedName>
    <definedName name="OSRRefT22_5x_0" localSheetId="80">'413'!$T$45</definedName>
    <definedName name="OSRRefT22_5x_0" localSheetId="81">'414'!$T$46</definedName>
    <definedName name="OSRRefT22_5x_0" localSheetId="82">'415'!$T$45:$T$46</definedName>
    <definedName name="OSRRefT22_5x_0" localSheetId="83">'418'!$T$46:$T$47</definedName>
    <definedName name="OSRRefT22_5x_0" localSheetId="85">'423'!$T$38</definedName>
    <definedName name="OSRRefT22_5x_0" localSheetId="86">'424'!$T$39</definedName>
    <definedName name="OSRRefT22_5x_0" localSheetId="87">'425'!$T$47</definedName>
    <definedName name="OSRRefT22_5x_0" localSheetId="90">'430'!$T$37:$T$38</definedName>
    <definedName name="OSRRefT22_5x_0" localSheetId="91">'433'!$T$49</definedName>
    <definedName name="OSRRefT22_5x_0" localSheetId="92">'435'!$T$38</definedName>
    <definedName name="OSRRefT22_5x_0" localSheetId="93">'444'!$T$48</definedName>
    <definedName name="OSRRefT22_5x_0" localSheetId="95">'450'!$T$48</definedName>
    <definedName name="OSRRefT22_5x_0" localSheetId="75">'491'!$T$56:$T$58</definedName>
    <definedName name="OSRRefT22_5x_0" localSheetId="89">'492'!$T$52</definedName>
    <definedName name="OSRRefT22_5x_0" localSheetId="97">'501'!$T$43</definedName>
    <definedName name="OSRRefT22_5x_0" localSheetId="39">'Div 2'!$T$46:$T$47</definedName>
    <definedName name="OSRRefT22_5x_0" localSheetId="47">'Div 3'!$T$188:$T$189</definedName>
    <definedName name="OSRRefT22_5x_0" localSheetId="73">'Div 4'!$T$58:$T$60</definedName>
    <definedName name="OSRRefT22_5x_0" localSheetId="96">'Div 5'!$T$43</definedName>
    <definedName name="OSRRefT22_5x_0" localSheetId="64">'Div 6'!$T$77</definedName>
    <definedName name="OSRRefT22_5x_0" localSheetId="2">Summary!$T$221:$T$223</definedName>
    <definedName name="OSRRefT22_6x_0" localSheetId="41">'201'!$T$42</definedName>
    <definedName name="OSRRefT22_6x_0" localSheetId="42">'202'!$T$42</definedName>
    <definedName name="OSRRefT22_6x_0" localSheetId="43">'203'!$T$44</definedName>
    <definedName name="OSRRefT22_6x_0" localSheetId="44">'204'!$T$45:$T$47</definedName>
    <definedName name="OSRRefT22_6x_0" localSheetId="45">'205'!$T$40:$T$41</definedName>
    <definedName name="OSRRefT22_6x_0" localSheetId="46">'206'!$T$45</definedName>
    <definedName name="OSRRefT22_6x_0" localSheetId="48">'300'!$T$185:$T$186</definedName>
    <definedName name="OSRRefT22_6x_0" localSheetId="49">'300 &amp; 317'!$T$209:$T$210</definedName>
    <definedName name="OSRRefT22_6x_0" localSheetId="50">'301'!$T$46:$T$47</definedName>
    <definedName name="OSRRefT22_6x_0" localSheetId="51">'306'!$T$44:$T$46</definedName>
    <definedName name="OSRRefT22_6x_0" localSheetId="53">'307'!$T$91</definedName>
    <definedName name="OSRRefT22_6x_0" localSheetId="55">'308'!$T$87:$T$88</definedName>
    <definedName name="OSRRefT22_6x_0" localSheetId="67">'309'!$T$47</definedName>
    <definedName name="OSRRefT22_6x_0" localSheetId="66">'310'!$T$56</definedName>
    <definedName name="OSRRefT22_6x_0" localSheetId="74">'310 &amp; 491'!$T$67</definedName>
    <definedName name="OSRRefT22_6x_0" localSheetId="56">'311'!$T$86:$T$87</definedName>
    <definedName name="OSRRefT22_6x_0" localSheetId="68">'313'!$T$51</definedName>
    <definedName name="OSRRefT22_6x_0" localSheetId="54">'314'!$T$77</definedName>
    <definedName name="OSRRefT22_6x_0" localSheetId="59">'315'!$T$78</definedName>
    <definedName name="OSRRefT22_6x_0" localSheetId="62">'316'!$T$54</definedName>
    <definedName name="OSRRefT22_6x_0" localSheetId="65">'317'!$T$79</definedName>
    <definedName name="OSRRefT22_6x_0" localSheetId="63">'320'!$T$50</definedName>
    <definedName name="OSRRefT22_6x_0" localSheetId="69">'321'!$T$46:$T$48</definedName>
    <definedName name="OSRRefT22_6x_0" localSheetId="70">'322'!$T$47</definedName>
    <definedName name="OSRRefT22_6x_0" localSheetId="71">'325'!$T$49</definedName>
    <definedName name="OSRRefT22_6x_0" localSheetId="60">'326'!$T$79</definedName>
    <definedName name="OSRRefT22_6x_0" localSheetId="52">'330'!$T$99</definedName>
    <definedName name="OSRRefT22_6x_0" localSheetId="58">'331'!$T$95</definedName>
    <definedName name="OSRRefT22_6x_0" localSheetId="61">'332'!$T$64</definedName>
    <definedName name="OSRRefT22_6x_0" localSheetId="76">'405'!$T$47</definedName>
    <definedName name="OSRRefT22_6x_0" localSheetId="77">'406'!$T$47</definedName>
    <definedName name="OSRRefT22_6x_0" localSheetId="78">'411'!$T$47</definedName>
    <definedName name="OSRRefT22_6x_0" localSheetId="79">'412'!$T$47</definedName>
    <definedName name="OSRRefT22_6x_0" localSheetId="80">'413'!$T$47</definedName>
    <definedName name="OSRRefT22_6x_0" localSheetId="81">'414'!$T$48</definedName>
    <definedName name="OSRRefT22_6x_0" localSheetId="82">'415'!$T$48</definedName>
    <definedName name="OSRRefT22_6x_0" localSheetId="83">'418'!$T$49</definedName>
    <definedName name="OSRRefT22_6x_0" localSheetId="86">'424'!$T$41</definedName>
    <definedName name="OSRRefT22_6x_0" localSheetId="87">'425'!$T$49</definedName>
    <definedName name="OSRRefT22_6x_0" localSheetId="90">'430'!$T$40</definedName>
    <definedName name="OSRRefT22_6x_0" localSheetId="91">'433'!$T$51</definedName>
    <definedName name="OSRRefT22_6x_0" localSheetId="92">'435'!$T$40:$T$43</definedName>
    <definedName name="OSRRefT22_6x_0" localSheetId="93">'444'!$T$50</definedName>
    <definedName name="OSRRefT22_6x_0" localSheetId="95">'450'!$T$50</definedName>
    <definedName name="OSRRefT22_6x_0" localSheetId="75">'491'!$T$60</definedName>
    <definedName name="OSRRefT22_6x_0" localSheetId="89">'492'!$T$54</definedName>
    <definedName name="OSRRefT22_6x_0" localSheetId="97">'501'!$T$45</definedName>
    <definedName name="OSRRefT22_6x_0" localSheetId="39">'Div 2'!$T$49</definedName>
    <definedName name="OSRRefT22_6x_0" localSheetId="47">'Div 3'!$T$191:$T$192</definedName>
    <definedName name="OSRRefT22_6x_0" localSheetId="73">'Div 4'!$T$62</definedName>
    <definedName name="OSRRefT22_6x_0" localSheetId="96">'Div 5'!$T$45</definedName>
    <definedName name="OSRRefT22_6x_0" localSheetId="64">'Div 6'!$T$79</definedName>
    <definedName name="OSRRefT22_6x_0" localSheetId="2">Summary!$T$225:$T$226</definedName>
    <definedName name="OSRRefT22_7x_0" localSheetId="41">'201'!$T$44</definedName>
    <definedName name="OSRRefT22_7x_0" localSheetId="42">'202'!$T$44</definedName>
    <definedName name="OSRRefT22_7x_0" localSheetId="43">'203'!$T$46</definedName>
    <definedName name="OSRRefT22_7x_0" localSheetId="44">'204'!$T$49:$T$50</definedName>
    <definedName name="OSRRefT22_7x_0" localSheetId="45">'205'!$T$43</definedName>
    <definedName name="OSRRefT22_7x_0" localSheetId="46">'206'!$T$47</definedName>
    <definedName name="OSRRefT22_7x_0" localSheetId="48">'300'!$T$188</definedName>
    <definedName name="OSRRefT22_7x_0" localSheetId="49">'300 &amp; 317'!$T$212</definedName>
    <definedName name="OSRRefT22_7x_0" localSheetId="50">'301'!$T$49</definedName>
    <definedName name="OSRRefT22_7x_0" localSheetId="51">'306'!$T$48</definedName>
    <definedName name="OSRRefT22_7x_0" localSheetId="53">'307'!$T$93</definedName>
    <definedName name="OSRRefT22_7x_0" localSheetId="55">'308'!$T$90</definedName>
    <definedName name="OSRRefT22_7x_0" localSheetId="67">'309'!$T$49:$T$50</definedName>
    <definedName name="OSRRefT22_7x_0" localSheetId="66">'310'!$T$58</definedName>
    <definedName name="OSRRefT22_7x_0" localSheetId="74">'310 &amp; 491'!$T$69</definedName>
    <definedName name="OSRRefT22_7x_0" localSheetId="56">'311'!$T$89</definedName>
    <definedName name="OSRRefT22_7x_0" localSheetId="68">'313'!$T$53</definedName>
    <definedName name="OSRRefT22_7x_0" localSheetId="59">'315'!$T$80</definedName>
    <definedName name="OSRRefT22_7x_0" localSheetId="62">'316'!$T$56:$T$59</definedName>
    <definedName name="OSRRefT22_7x_0" localSheetId="65">'317'!$T$81</definedName>
    <definedName name="OSRRefT22_7x_0" localSheetId="63">'320'!$T$52:$T$53</definedName>
    <definedName name="OSRRefT22_7x_0" localSheetId="69">'321'!$T$50</definedName>
    <definedName name="OSRRefT22_7x_0" localSheetId="70">'322'!$T$49</definedName>
    <definedName name="OSRRefT22_7x_0" localSheetId="71">'325'!$T$51</definedName>
    <definedName name="OSRRefT22_7x_0" localSheetId="60">'326'!$T$81</definedName>
    <definedName name="OSRRefT22_7x_0" localSheetId="52">'330'!$T$101</definedName>
    <definedName name="OSRRefT22_7x_0" localSheetId="58">'331'!$T$97</definedName>
    <definedName name="OSRRefT22_7x_0" localSheetId="61">'332'!$T$66</definedName>
    <definedName name="OSRRefT22_7x_0" localSheetId="76">'405'!$T$49</definedName>
    <definedName name="OSRRefT22_7x_0" localSheetId="77">'406'!$T$49</definedName>
    <definedName name="OSRRefT22_7x_0" localSheetId="78">'411'!$T$49</definedName>
    <definedName name="OSRRefT22_7x_0" localSheetId="79">'412'!$T$49</definedName>
    <definedName name="OSRRefT22_7x_0" localSheetId="80">'413'!$T$49:$T$51</definedName>
    <definedName name="OSRRefT22_7x_0" localSheetId="81">'414'!$T$50</definedName>
    <definedName name="OSRRefT22_7x_0" localSheetId="82">'415'!$T$50</definedName>
    <definedName name="OSRRefT22_7x_0" localSheetId="83">'418'!$T$51</definedName>
    <definedName name="OSRRefT22_7x_0" localSheetId="86">'424'!$T$43:$T$44</definedName>
    <definedName name="OSRRefT22_7x_0" localSheetId="87">'425'!$T$51</definedName>
    <definedName name="OSRRefT22_7x_0" localSheetId="90">'430'!$T$42</definedName>
    <definedName name="OSRRefT22_7x_0" localSheetId="91">'433'!$T$53</definedName>
    <definedName name="OSRRefT22_7x_0" localSheetId="92">'435'!$T$45</definedName>
    <definedName name="OSRRefT22_7x_0" localSheetId="93">'444'!$T$52</definedName>
    <definedName name="OSRRefT22_7x_0" localSheetId="95">'450'!$T$52</definedName>
    <definedName name="OSRRefT22_7x_0" localSheetId="75">'491'!$T$62</definedName>
    <definedName name="OSRRefT22_7x_0" localSheetId="89">'492'!$T$56</definedName>
    <definedName name="OSRRefT22_7x_0" localSheetId="97">'501'!$T$47</definedName>
    <definedName name="OSRRefT22_7x_0" localSheetId="39">'Div 2'!$T$51</definedName>
    <definedName name="OSRRefT22_7x_0" localSheetId="47">'Div 3'!$T$194</definedName>
    <definedName name="OSRRefT22_7x_0" localSheetId="73">'Div 4'!$T$64</definedName>
    <definedName name="OSRRefT22_7x_0" localSheetId="96">'Div 5'!$T$47</definedName>
    <definedName name="OSRRefT22_7x_0" localSheetId="64">'Div 6'!$T$81</definedName>
    <definedName name="OSRRefT22_7x_0" localSheetId="2">Summary!$T$228</definedName>
    <definedName name="OSRRefT22_8x_0" localSheetId="41">'201'!$T$46</definedName>
    <definedName name="OSRRefT22_8x_0" localSheetId="42">'202'!$T$46:$T$47</definedName>
    <definedName name="OSRRefT22_8x_0" localSheetId="43">'203'!$T$48</definedName>
    <definedName name="OSRRefT22_8x_0" localSheetId="44">'204'!$T$52:$T$53</definedName>
    <definedName name="OSRRefT22_8x_0" localSheetId="45">'205'!$T$45</definedName>
    <definedName name="OSRRefT22_8x_0" localSheetId="48">'300'!$T$190</definedName>
    <definedName name="OSRRefT22_8x_0" localSheetId="49">'300 &amp; 317'!$T$214</definedName>
    <definedName name="OSRRefT22_8x_0" localSheetId="50">'301'!$T$51</definedName>
    <definedName name="OSRRefT22_8x_0" localSheetId="51">'306'!$T$50</definedName>
    <definedName name="OSRRefT22_8x_0" localSheetId="53">'307'!$T$95:$T$96</definedName>
    <definedName name="OSRRefT22_8x_0" localSheetId="55">'308'!$T$92</definedName>
    <definedName name="OSRRefT22_8x_0" localSheetId="67">'309'!$T$52:$T$53</definedName>
    <definedName name="OSRRefT22_8x_0" localSheetId="66">'310'!$T$60</definedName>
    <definedName name="OSRRefT22_8x_0" localSheetId="74">'310 &amp; 491'!$T$71</definedName>
    <definedName name="OSRRefT22_8x_0" localSheetId="56">'311'!$T$91</definedName>
    <definedName name="OSRRefT22_8x_0" localSheetId="68">'313'!$T$55</definedName>
    <definedName name="OSRRefT22_8x_0" localSheetId="59">'315'!$T$82</definedName>
    <definedName name="OSRRefT22_8x_0" localSheetId="62">'316'!$T$61</definedName>
    <definedName name="OSRRefT22_8x_0" localSheetId="65">'317'!$T$83</definedName>
    <definedName name="OSRRefT22_8x_0" localSheetId="63">'320'!$T$55</definedName>
    <definedName name="OSRRefT22_8x_0" localSheetId="69">'321'!$T$52:$T$54</definedName>
    <definedName name="OSRRefT22_8x_0" localSheetId="70">'322'!$T$51</definedName>
    <definedName name="OSRRefT22_8x_0" localSheetId="71">'325'!$T$53</definedName>
    <definedName name="OSRRefT22_8x_0" localSheetId="60">'326'!$T$83</definedName>
    <definedName name="OSRRefT22_8x_0" localSheetId="52">'330'!$T$103:$T$104</definedName>
    <definedName name="OSRRefT22_8x_0" localSheetId="58">'331'!$T$99</definedName>
    <definedName name="OSRRefT22_8x_0" localSheetId="61">'332'!$T$68</definedName>
    <definedName name="OSRRefT22_8x_0" localSheetId="76">'405'!$T$51</definedName>
    <definedName name="OSRRefT22_8x_0" localSheetId="77">'406'!$T$51:$T$53</definedName>
    <definedName name="OSRRefT22_8x_0" localSheetId="78">'411'!$T$51</definedName>
    <definedName name="OSRRefT22_8x_0" localSheetId="79">'412'!$T$51:$T$52</definedName>
    <definedName name="OSRRefT22_8x_0" localSheetId="80">'413'!$T$53</definedName>
    <definedName name="OSRRefT22_8x_0" localSheetId="81">'414'!$T$52:$T$53</definedName>
    <definedName name="OSRRefT22_8x_0" localSheetId="82">'415'!$T$52</definedName>
    <definedName name="OSRRefT22_8x_0" localSheetId="83">'418'!$T$53:$T$54</definedName>
    <definedName name="OSRRefT22_8x_0" localSheetId="86">'424'!$T$46</definedName>
    <definedName name="OSRRefT22_8x_0" localSheetId="87">'425'!$T$53</definedName>
    <definedName name="OSRRefT22_8x_0" localSheetId="90">'430'!$T$44</definedName>
    <definedName name="OSRRefT22_8x_0" localSheetId="91">'433'!$T$55</definedName>
    <definedName name="OSRRefT22_8x_0" localSheetId="93">'444'!$T$54</definedName>
    <definedName name="OSRRefT22_8x_0" localSheetId="95">'450'!$T$54</definedName>
    <definedName name="OSRRefT22_8x_0" localSheetId="75">'491'!$T$64</definedName>
    <definedName name="OSRRefT22_8x_0" localSheetId="89">'492'!$T$58</definedName>
    <definedName name="OSRRefT22_8x_0" localSheetId="97">'501'!$T$49</definedName>
    <definedName name="OSRRefT22_8x_0" localSheetId="39">'Div 2'!$T$53</definedName>
    <definedName name="OSRRefT22_8x_0" localSheetId="47">'Div 3'!$T$196</definedName>
    <definedName name="OSRRefT22_8x_0" localSheetId="73">'Div 4'!$T$66</definedName>
    <definedName name="OSRRefT22_8x_0" localSheetId="96">'Div 5'!$T$49</definedName>
    <definedName name="OSRRefT22_8x_0" localSheetId="64">'Div 6'!$T$83</definedName>
    <definedName name="OSRRefT22_8x_0" localSheetId="2">Summary!$T$230</definedName>
    <definedName name="OSRRefT22_9x_0" localSheetId="41">'201'!$T$48:$T$50</definedName>
    <definedName name="OSRRefT22_9x_0" localSheetId="42">'202'!$T$49</definedName>
    <definedName name="OSRRefT22_9x_0" localSheetId="43">'203'!$T$50:$T$52</definedName>
    <definedName name="OSRRefT22_9x_0" localSheetId="44">'204'!$T$55</definedName>
    <definedName name="OSRRefT22_9x_0" localSheetId="48">'300'!$T$192</definedName>
    <definedName name="OSRRefT22_9x_0" localSheetId="49">'300 &amp; 317'!$T$216</definedName>
    <definedName name="OSRRefT22_9x_0" localSheetId="50">'301'!$T$53</definedName>
    <definedName name="OSRRefT22_9x_0" localSheetId="53">'307'!$T$98:$T$99</definedName>
    <definedName name="OSRRefT22_9x_0" localSheetId="55">'308'!$T$94:$T$95</definedName>
    <definedName name="OSRRefT22_9x_0" localSheetId="67">'309'!$T$55</definedName>
    <definedName name="OSRRefT22_9x_0" localSheetId="66">'310'!$T$62</definedName>
    <definedName name="OSRRefT22_9x_0" localSheetId="74">'310 &amp; 491'!$T$73</definedName>
    <definedName name="OSRRefT22_9x_0" localSheetId="56">'311'!$T$93:$T$94</definedName>
    <definedName name="OSRRefT22_9x_0" localSheetId="68">'313'!$T$57:$T$59</definedName>
    <definedName name="OSRRefT22_9x_0" localSheetId="59">'315'!$T$84:$T$85</definedName>
    <definedName name="OSRRefT22_9x_0" localSheetId="62">'316'!$T$63</definedName>
    <definedName name="OSRRefT22_9x_0" localSheetId="65">'317'!$T$85:$T$86</definedName>
    <definedName name="OSRRefT22_9x_0" localSheetId="69">'321'!$T$56:$T$60</definedName>
    <definedName name="OSRRefT22_9x_0" localSheetId="70">'322'!$T$53:$T$54</definedName>
    <definedName name="OSRRefT22_9x_0" localSheetId="71">'325'!$T$55</definedName>
    <definedName name="OSRRefT22_9x_0" localSheetId="60">'326'!$T$85</definedName>
    <definedName name="OSRRefT22_9x_0" localSheetId="52">'330'!$T$106:$T$107</definedName>
    <definedName name="OSRRefT22_9x_0" localSheetId="58">'331'!$T$101</definedName>
    <definedName name="OSRRefT22_9x_0" localSheetId="61">'332'!$T$70</definedName>
    <definedName name="OSRRefT22_9x_0" localSheetId="76">'405'!$T$53</definedName>
    <definedName name="OSRRefT22_9x_0" localSheetId="77">'406'!$T$55</definedName>
    <definedName name="OSRRefT22_9x_0" localSheetId="78">'411'!$T$53:$T$55</definedName>
    <definedName name="OSRRefT22_9x_0" localSheetId="79">'412'!$T$54</definedName>
    <definedName name="OSRRefT22_9x_0" localSheetId="80">'413'!$T$55:$T$58</definedName>
    <definedName name="OSRRefT22_9x_0" localSheetId="81">'414'!$T$55</definedName>
    <definedName name="OSRRefT22_9x_0" localSheetId="82">'415'!$T$54</definedName>
    <definedName name="OSRRefT22_9x_0" localSheetId="83">'418'!$T$56:$T$58</definedName>
    <definedName name="OSRRefT22_9x_0" localSheetId="86">'424'!$T$48:$T$52</definedName>
    <definedName name="OSRRefT22_9x_0" localSheetId="87">'425'!$T$55:$T$56</definedName>
    <definedName name="OSRRefT22_9x_0" localSheetId="91">'433'!$T$57</definedName>
    <definedName name="OSRRefT22_9x_0" localSheetId="93">'444'!$T$56</definedName>
    <definedName name="OSRRefT22_9x_0" localSheetId="95">'450'!$T$56</definedName>
    <definedName name="OSRRefT22_9x_0" localSheetId="75">'491'!$T$66:$T$67</definedName>
    <definedName name="OSRRefT22_9x_0" localSheetId="89">'492'!$T$60</definedName>
    <definedName name="OSRRefT22_9x_0" localSheetId="97">'501'!$T$51</definedName>
    <definedName name="OSRRefT22_9x_0" localSheetId="39">'Div 2'!$T$55</definedName>
    <definedName name="OSRRefT22_9x_0" localSheetId="47">'Div 3'!$T$198</definedName>
    <definedName name="OSRRefT22_9x_0" localSheetId="73">'Div 4'!$T$68</definedName>
    <definedName name="OSRRefT22_9x_0" localSheetId="96">'Div 5'!$T$51</definedName>
    <definedName name="OSRRefT22_9x_0" localSheetId="64">'Div 6'!$T$85:$T$86</definedName>
    <definedName name="OSRRefT22_9x_0" localSheetId="2">Summary!$T$232</definedName>
    <definedName name="OSRRefT22x_0" localSheetId="40">'200'!$T$20,'200'!$T$22,'200'!$T$24,'200'!$T$26:$T$27</definedName>
    <definedName name="OSRRefT22x_0" localSheetId="41">'201'!$T$20:$T$28,'201'!$T$30:$T$32,'201'!$T$34,'201'!$T$36,'201'!$T$38,'201'!$T$40,'201'!$T$42,'201'!$T$44,'201'!$T$46,'201'!$T$48:$T$50,'201'!$T$52:$T$54,'201'!$T$56,'201'!$T$58:$T$60,'201'!$T$62,'201'!$T$64,'201'!$T$66:$T$67</definedName>
    <definedName name="OSRRefT22x_0" localSheetId="42">'202'!$T$20:$T$27,'202'!$T$29:$T$32,'202'!$T$34,'202'!$T$36,'202'!$T$38,'202'!$T$40,'202'!$T$42,'202'!$T$44,'202'!$T$46:$T$47,'202'!$T$49,'202'!$T$51,'202'!$T$53:$T$54,'202'!$T$56,'202'!$T$58</definedName>
    <definedName name="OSRRefT22x_0" localSheetId="43">'203'!$T$20:$T$29,'203'!$T$31:$T$34,'203'!$T$36,'203'!$T$38,'203'!$T$40,'203'!$T$42,'203'!$T$44,'203'!$T$46,'203'!$T$48,'203'!$T$50:$T$52,'203'!$T$54:$T$55,'203'!$T$57,'203'!$T$59:$T$61,'203'!$T$63,'203'!$T$65,'203'!$T$67</definedName>
    <definedName name="OSRRefT22x_0" localSheetId="44">'204'!$T$20:$T$28,'204'!$T$30:$T$34,'204'!$T$36,'204'!$T$38:$T$39,'204'!$T$41,'204'!$T$43,'204'!$T$45:$T$47,'204'!$T$49:$T$50,'204'!$T$52:$T$53,'204'!$T$55,'204'!$T$57:$T$58</definedName>
    <definedName name="OSRRefT22x_0" localSheetId="45">'205'!$T$20:$T$27,'205'!$T$29,'205'!$T$31,'205'!$T$33,'205'!$T$35:$T$36,'205'!$T$38,'205'!$T$40:$T$41,'205'!$T$43,'205'!$T$45</definedName>
    <definedName name="OSRRefT22x_0" localSheetId="46">'206'!$T$20:$T$27,'206'!$T$29:$T$34,'206'!$T$36,'206'!$T$38,'206'!$T$40,'206'!$T$42:$T$43,'206'!$T$45,'206'!$T$47</definedName>
    <definedName name="OSRRefT22x_0" localSheetId="48">'300'!$T$158:$T$166,'300'!$T$168:$T$174,'300'!$T$176,'300'!$T$178,'300'!$T$180,'300'!$T$182:$T$183,'300'!$T$185:$T$186,'300'!$T$188,'300'!$T$190,'300'!$T$192,'300'!$T$194:$T$195,'300'!$T$197,'300'!$T$199,'300'!$T$201,'300'!$T$203,'300'!$T$205,'300'!$T$207:$T$209,'300'!$T$211:$T$213,'300'!$T$215:$T$218,'300'!$T$220:$T$221,'300'!$T$223:$T$228,'300'!$T$230:$T$231,'300'!$T$233,'300'!$T$235:$T$237,'300'!$T$239</definedName>
    <definedName name="OSRRefT22x_0" localSheetId="49">'300 &amp; 317'!$T$182:$T$190,'300 &amp; 317'!$T$192:$T$198,'300 &amp; 317'!$T$200,'300 &amp; 317'!$T$202,'300 &amp; 317'!$T$204,'300 &amp; 317'!$T$206:$T$207,'300 &amp; 317'!$T$209:$T$210,'300 &amp; 317'!$T$212,'300 &amp; 317'!$T$214,'300 &amp; 317'!$T$216,'300 &amp; 317'!$T$218:$T$219,'300 &amp; 317'!$T$221,'300 &amp; 317'!$T$223,'300 &amp; 317'!$T$225,'300 &amp; 317'!$T$227,'300 &amp; 317'!$T$229,'300 &amp; 317'!$T$231:$T$233,'300 &amp; 317'!$T$235:$T$237,'300 &amp; 317'!$T$239:$T$242,'300 &amp; 317'!$T$244:$T$245,'300 &amp; 317'!$T$247:$T$252,'300 &amp; 317'!$T$254:$T$255,'300 &amp; 317'!$T$257,'300 &amp; 317'!$T$259:$T$261,'300 &amp; 317'!$T$263</definedName>
    <definedName name="OSRRefT22x_0" localSheetId="50">'301'!$T$20:$T$27,'301'!$T$29:$T$35,'301'!$T$37,'301'!$T$39,'301'!$T$41,'301'!$T$43:$T$44,'301'!$T$46:$T$47,'301'!$T$49,'301'!$T$51,'301'!$T$53,'301'!$T$55,'301'!$T$57,'301'!$T$59,'301'!$T$61,'301'!$T$63:$T$65,'301'!$T$67:$T$69,'301'!$T$71,'301'!$T$73:$T$77,'301'!$T$79,'301'!$T$81,'301'!$T$83:$T$84,'301'!$T$86</definedName>
    <definedName name="OSRRefT22x_0" localSheetId="51">'306'!$T$20:$T$28,'306'!$T$30:$T$34,'306'!$T$36,'306'!$T$38,'306'!$T$40,'306'!$T$42,'306'!$T$44:$T$46,'306'!$T$48,'306'!$T$50</definedName>
    <definedName name="OSRRefT22x_0" localSheetId="53">'307'!$T$69:$T$76,'307'!$T$78:$T$80,'307'!$T$82,'307'!$T$84,'307'!$T$86:$T$87,'307'!$T$89,'307'!$T$91,'307'!$T$93,'307'!$T$95:$T$96,'307'!$T$98:$T$99,'307'!$T$101,'307'!$T$103</definedName>
    <definedName name="OSRRefT22x_0" localSheetId="55">'308'!$T$62:$T$70,'308'!$T$72:$T$76,'308'!$T$78,'308'!$T$80:$T$81,'308'!$T$83,'308'!$T$85,'308'!$T$87:$T$88,'308'!$T$90,'308'!$T$92,'308'!$T$94:$T$95,'308'!$T$97,'308'!$T$99:$T$101,'308'!$T$103:$T$104,'308'!$T$106,'308'!$T$108</definedName>
    <definedName name="OSRRefT22x_0" localSheetId="67">'309'!$T$24:$T$31,'309'!$T$33:$T$37,'309'!$T$39,'309'!$T$41,'309'!$T$43,'309'!$T$45,'309'!$T$47,'309'!$T$49:$T$50,'309'!$T$52:$T$53,'309'!$T$55,'309'!$T$57:$T$62,'309'!$T$64</definedName>
    <definedName name="OSRRefT22x_0" localSheetId="66">'310'!$T$31:$T$38,'310'!$T$40:$T$45,'310'!$T$47,'310'!$T$49,'310'!$T$51,'310'!$T$53:$T$54,'310'!$T$56,'310'!$T$58,'310'!$T$60,'310'!$T$62,'310'!$T$64,'310'!$T$66,'310'!$T$68,'310'!$T$70,'310'!$T$72:$T$74,'310'!$T$76,'310'!$T$78:$T$81,'310'!$T$83:$T$84,'310'!$T$86:$T$92,'310'!$T$94,'310'!$T$96,'310'!$T$98</definedName>
    <definedName name="OSRRefT22x_0" localSheetId="74">'310 &amp; 491'!$T$39:$T$47,'310 &amp; 491'!$T$49:$T$55,'310 &amp; 491'!$T$57,'310 &amp; 491'!$T$59,'310 &amp; 491'!$T$61,'310 &amp; 491'!$T$63:$T$65,'310 &amp; 491'!$T$67,'310 &amp; 491'!$T$69,'310 &amp; 491'!$T$71,'310 &amp; 491'!$T$73,'310 &amp; 491'!$T$75,'310 &amp; 491'!$T$77:$T$78,'310 &amp; 491'!$T$80,'310 &amp; 491'!$T$82,'310 &amp; 491'!$T$84,'310 &amp; 491'!$T$86,'310 &amp; 491'!$T$88:$T$90,'310 &amp; 491'!$T$92:$T$93,'310 &amp; 491'!$T$95:$T$99,'310 &amp; 491'!$T$101:$T$102,'310 &amp; 491'!$T$104:$T$111,'310 &amp; 491'!$T$113,'310 &amp; 491'!$T$115,'310 &amp; 491'!$T$117:$T$119,'310 &amp; 491'!$T$121</definedName>
    <definedName name="OSRRefT22x_0" localSheetId="56">'311'!$T$61:$T$69,'311'!$T$71:$T$75,'311'!$T$77,'311'!$T$79:$T$80,'311'!$T$82,'311'!$T$84,'311'!$T$86:$T$87,'311'!$T$89,'311'!$T$91,'311'!$T$93:$T$94,'311'!$T$96,'311'!$T$98:$T$100,'311'!$T$102:$T$103,'311'!$T$105,'311'!$T$107</definedName>
    <definedName name="OSRRefT22x_0" localSheetId="68">'313'!$T$28:$T$35,'313'!$T$37:$T$41,'313'!$T$43,'313'!$T$45,'313'!$T$47,'313'!$T$49,'313'!$T$51,'313'!$T$53,'313'!$T$55,'313'!$T$57:$T$59,'313'!$T$61,'313'!$T$63:$T$68,'313'!$T$70,'313'!$T$72</definedName>
    <definedName name="OSRRefT22x_0" localSheetId="54">'314'!$T$55:$T$61,'314'!$T$63:$T$65,'314'!$T$67,'314'!$T$69:$T$70,'314'!$T$72,'314'!$T$74:$T$75,'314'!$T$77</definedName>
    <definedName name="OSRRefT22x_0" localSheetId="59">'315'!$T$54:$T$61,'315'!$T$63:$T$67,'315'!$T$69,'315'!$T$71:$T$72,'315'!$T$74,'315'!$T$76,'315'!$T$78,'315'!$T$80,'315'!$T$82,'315'!$T$84:$T$85,'315'!$T$87,'315'!$T$89:$T$92,'315'!$T$94,'315'!$T$96,'315'!$T$98</definedName>
    <definedName name="OSRRefT22x_0" localSheetId="62">'316'!$T$32:$T$39,'316'!$T$41:$T$44,'316'!$T$46,'316'!$T$48,'316'!$T$50,'316'!$T$52,'316'!$T$54,'316'!$T$56:$T$59,'316'!$T$61,'316'!$T$63</definedName>
    <definedName name="OSRRefT22x_0" localSheetId="65">'317'!$T$56:$T$64,'317'!$T$66:$T$69,'317'!$T$71,'317'!$T$73,'317'!$T$75,'317'!$T$77,'317'!$T$79,'317'!$T$81,'317'!$T$83,'317'!$T$85:$T$86,'317'!$T$88</definedName>
    <definedName name="OSRRefT22x_0" localSheetId="63">'320'!$T$29:$T$35,'320'!$T$37:$T$39,'320'!$T$41,'320'!$T$43,'320'!$T$45:$T$46,'320'!$T$48,'320'!$T$50,'320'!$T$52:$T$53,'320'!$T$55</definedName>
    <definedName name="OSRRefT22x_0" localSheetId="69">'321'!$T$24:$T$30,'321'!$T$32:$T$36,'321'!$T$38,'321'!$T$40,'321'!$T$42,'321'!$T$44,'321'!$T$46:$T$48,'321'!$T$50,'321'!$T$52:$T$54,'321'!$T$56:$T$60,'321'!$T$62,'321'!$T$64</definedName>
    <definedName name="OSRRefT22x_0" localSheetId="70">'322'!$T$24:$T$31,'322'!$T$33:$T$37,'322'!$T$39,'322'!$T$41,'322'!$T$43,'322'!$T$45,'322'!$T$47,'322'!$T$49,'322'!$T$51,'322'!$T$53:$T$54,'322'!$T$56:$T$58,'322'!$T$60:$T$65,'322'!$T$67,'322'!$T$69</definedName>
    <definedName name="OSRRefT22x_0" localSheetId="57">'324'!$T$25</definedName>
    <definedName name="OSRRefT22x_0" localSheetId="71">'325'!$T$24:$T$31,'325'!$T$33:$T$38,'325'!$T$40,'325'!$T$42,'325'!$T$44,'325'!$T$46:$T$47,'325'!$T$49,'325'!$T$51,'325'!$T$53,'325'!$T$55,'325'!$T$57:$T$59,'325'!$T$61:$T$63,'325'!$T$65,'325'!$T$67:$T$72,'325'!$T$74,'325'!$T$76</definedName>
    <definedName name="OSRRefT22x_0" localSheetId="60">'326'!$T$57:$T$64,'326'!$T$66:$T$69,'326'!$T$71,'326'!$T$73,'326'!$T$75,'326'!$T$77,'326'!$T$79,'326'!$T$81,'326'!$T$83,'326'!$T$85,'326'!$T$87,'326'!$T$89,'326'!$T$91,'326'!$T$93:$T$94,'326'!$T$96:$T$98,'326'!$T$100,'326'!$T$102:$T$105,'326'!$T$107,'326'!$T$109,'326'!$T$111</definedName>
    <definedName name="OSRRefT22x_0" localSheetId="72">'327'!$T$22,'327'!$T$24</definedName>
    <definedName name="OSRRefT22x_0" localSheetId="52">'330'!$T$77:$T$84,'330'!$T$86:$T$88,'330'!$T$90,'330'!$T$92,'330'!$T$94:$T$95,'330'!$T$97,'330'!$T$99,'330'!$T$101,'330'!$T$103:$T$104,'330'!$T$106:$T$107,'330'!$T$109,'330'!$T$111:$T$112,'330'!$T$114</definedName>
    <definedName name="OSRRefT22x_0" localSheetId="58">'331'!$T$71:$T$78,'331'!$T$80:$T$84,'331'!$T$86,'331'!$T$88,'331'!$T$90,'331'!$T$92:$T$93,'331'!$T$95,'331'!$T$97,'331'!$T$99,'331'!$T$101,'331'!$T$103,'331'!$T$105,'331'!$T$107,'331'!$T$109,'331'!$T$111:$T$113,'331'!$T$115:$T$116,'331'!$T$118:$T$120,'331'!$T$122,'331'!$T$124:$T$128,'331'!$T$130,'331'!$T$132,'331'!$T$134,'331'!$T$136</definedName>
    <definedName name="OSRRefT22x_0" localSheetId="61">'332'!$T$41:$T$48,'332'!$T$50:$T$53,'332'!$T$55,'332'!$T$57,'332'!$T$59,'332'!$T$61:$T$62,'332'!$T$64,'332'!$T$66,'332'!$T$68,'332'!$T$70,'332'!$T$72:$T$76,'332'!$T$78,'332'!$T$80</definedName>
    <definedName name="OSRRefT22x_0" localSheetId="76">'405'!$T$24:$T$31,'405'!$T$33:$T$36,'405'!$T$38,'405'!$T$40,'405'!$T$42,'405'!$T$44:$T$45,'405'!$T$47,'405'!$T$49,'405'!$T$51,'405'!$T$53,'405'!$T$55:$T$56,'405'!$T$58,'405'!$T$60:$T$62,'405'!$T$64,'405'!$T$66:$T$72,'405'!$T$74,'405'!$T$76,'405'!$T$78</definedName>
    <definedName name="OSRRefT22x_0" localSheetId="77">'406'!$T$24:$T$31,'406'!$T$33:$T$37,'406'!$T$39,'406'!$T$41,'406'!$T$43,'406'!$T$45,'406'!$T$47,'406'!$T$49,'406'!$T$51:$T$53,'406'!$T$55,'406'!$T$57:$T$62,'406'!$T$64,'406'!$T$66</definedName>
    <definedName name="OSRRefT22x_0" localSheetId="78">'411'!$T$20:$T$28,'411'!$T$30:$T$35,'411'!$T$37,'411'!$T$39:$T$41,'411'!$T$43,'411'!$T$45,'411'!$T$47,'411'!$T$49,'411'!$T$51,'411'!$T$53:$T$55,'411'!$T$57:$T$61,'411'!$T$63:$T$69,'411'!$T$71,'411'!$T$73,'411'!$T$75:$T$77,'411'!$T$79</definedName>
    <definedName name="OSRRefT22x_0" localSheetId="79">'412'!$T$23:$T$30,'412'!$T$32:$T$37,'412'!$T$39,'412'!$T$41,'412'!$T$43,'412'!$T$45,'412'!$T$47,'412'!$T$49,'412'!$T$51:$T$52,'412'!$T$54,'412'!$T$56:$T$58,'412'!$T$60:$T$66,'412'!$T$68,'412'!$T$70</definedName>
    <definedName name="OSRRefT22x_0" localSheetId="80">'413'!$T$24:$T$31,'413'!$T$33:$T$37,'413'!$T$39,'413'!$T$41,'413'!$T$43,'413'!$T$45,'413'!$T$47,'413'!$T$49:$T$51,'413'!$T$53,'413'!$T$55:$T$58,'413'!$T$60</definedName>
    <definedName name="OSRRefT22x_0" localSheetId="81">'414'!$T$24:$T$31,'414'!$T$33:$T$38,'414'!$T$40,'414'!$T$42,'414'!$T$44,'414'!$T$46,'414'!$T$48,'414'!$T$50,'414'!$T$52:$T$53,'414'!$T$55,'414'!$T$57,'414'!$T$59,'414'!$T$61:$T$67,'414'!$T$69,'414'!$T$71</definedName>
    <definedName name="OSRRefT22x_0" localSheetId="82">'415'!$T$24:$T$31,'415'!$T$33:$T$37,'415'!$T$39,'415'!$T$41,'415'!$T$43,'415'!$T$45:$T$46,'415'!$T$48,'415'!$T$50,'415'!$T$52,'415'!$T$54,'415'!$T$56,'415'!$T$58:$T$60,'415'!$T$62:$T$66,'415'!$T$68,'415'!$T$70:$T$76,'415'!$T$78,'415'!$T$80,'415'!$T$82</definedName>
    <definedName name="OSRRefT22x_0" localSheetId="83">'418'!$T$24:$T$31,'418'!$T$33:$T$38,'418'!$T$40,'418'!$T$42,'418'!$T$44,'418'!$T$46:$T$47,'418'!$T$49,'418'!$T$51,'418'!$T$53:$T$54,'418'!$T$56:$T$58,'418'!$T$60:$T$62,'418'!$T$64,'418'!$T$66:$T$72,'418'!$T$74,'418'!$T$76</definedName>
    <definedName name="OSRRefT22x_0" localSheetId="84">'420'!$T$20:$T$21,'420'!$T$23</definedName>
    <definedName name="OSRRefT22x_0" localSheetId="85">'423'!$T$21:$T$28,'423'!$T$30,'423'!$T$32,'423'!$T$34,'423'!$T$36,'423'!$T$38</definedName>
    <definedName name="OSRRefT22x_0" localSheetId="86">'424'!$T$24:$T$26,'424'!$T$28:$T$31,'424'!$T$33,'424'!$T$35,'424'!$T$37,'424'!$T$39,'424'!$T$41,'424'!$T$43:$T$44,'424'!$T$46,'424'!$T$48:$T$52,'424'!$T$54</definedName>
    <definedName name="OSRRefT22x_0" localSheetId="87">'425'!$T$26:$T$33,'425'!$T$35:$T$39,'425'!$T$41,'425'!$T$43,'425'!$T$45,'425'!$T$47,'425'!$T$49,'425'!$T$51,'425'!$T$53,'425'!$T$55:$T$56,'425'!$T$58,'425'!$T$60:$T$61,'425'!$T$63:$T$68,'425'!$T$70,'425'!$T$72,'425'!$T$74</definedName>
    <definedName name="OSRRefT22x_0" localSheetId="90">'430'!$T$20:$T$27,'430'!$T$29,'430'!$T$31,'430'!$T$33,'430'!$T$35,'430'!$T$37:$T$38,'430'!$T$40,'430'!$T$42,'430'!$T$44</definedName>
    <definedName name="OSRRefT22x_0" localSheetId="91">'433'!$T$26:$T$34,'433'!$T$36:$T$41,'433'!$T$43,'433'!$T$45,'433'!$T$47,'433'!$T$49,'433'!$T$51,'433'!$T$53,'433'!$T$55,'433'!$T$57,'433'!$T$59,'433'!$T$61:$T$63,'433'!$T$65:$T$70,'433'!$T$72,'433'!$T$74,'433'!$T$76:$T$77</definedName>
    <definedName name="OSRRefT22x_0" localSheetId="92">'435'!$T$25:$T$27,'435'!$T$29:$T$30,'435'!$T$32,'435'!$T$34,'435'!$T$36,'435'!$T$38,'435'!$T$40:$T$43,'435'!$T$45</definedName>
    <definedName name="OSRRefT22x_0" localSheetId="93">'444'!$T$25:$T$33,'444'!$T$35:$T$40,'444'!$T$42,'444'!$T$44,'444'!$T$46,'444'!$T$48,'444'!$T$50,'444'!$T$52,'444'!$T$54,'444'!$T$56,'444'!$T$58,'444'!$T$60:$T$61,'444'!$T$63:$T$65,'444'!$T$67:$T$73,'444'!$T$75,'444'!$T$77,'444'!$T$79</definedName>
    <definedName name="OSRRefT22x_0" localSheetId="94">'445'!$T$20</definedName>
    <definedName name="OSRRefT22x_0" localSheetId="95">'450'!$T$25:$T$33,'450'!$T$35:$T$40,'450'!$T$42,'450'!$T$44,'450'!$T$46,'450'!$T$48,'450'!$T$50,'450'!$T$52,'450'!$T$54,'450'!$T$56,'450'!$T$58,'450'!$T$60:$T$61,'450'!$T$63:$T$65,'450'!$T$67:$T$72,'450'!$T$74,'450'!$T$76,'450'!$T$78:$T$79</definedName>
    <definedName name="OSRRefT22x_0" localSheetId="88">'455'!$T$20:$T$26,'455'!$T$28:$T$29</definedName>
    <definedName name="OSRRefT22x_0" localSheetId="75">'491'!$T$32:$T$40,'491'!$T$42:$T$48,'491'!$T$50,'491'!$T$52,'491'!$T$54,'491'!$T$56:$T$58,'491'!$T$60,'491'!$T$62,'491'!$T$64,'491'!$T$66:$T$67,'491'!$T$69,'491'!$T$71,'491'!$T$73,'491'!$T$75,'491'!$T$77:$T$79,'491'!$T$81:$T$82,'491'!$T$84:$T$88,'491'!$T$90,'491'!$T$92:$T$99,'491'!$T$101,'491'!$T$103,'491'!$T$105:$T$107,'491'!$T$109</definedName>
    <definedName name="OSRRefT22x_0" localSheetId="89">'492'!$T$28:$T$36,'492'!$T$38:$T$44,'492'!$T$46,'492'!$T$48,'492'!$T$50,'492'!$T$52,'492'!$T$54,'492'!$T$56,'492'!$T$58,'492'!$T$60,'492'!$T$62,'492'!$T$64,'492'!$T$66:$T$68,'492'!$T$70:$T$72,'492'!$T$74:$T$80,'492'!$T$82,'492'!$T$84,'492'!$T$86:$T$87</definedName>
    <definedName name="OSRRefT22x_0" localSheetId="97">'501'!$T$21:$T$28,'501'!$T$30:$T$35,'501'!$T$37,'501'!$T$39,'501'!$T$41,'501'!$T$43,'501'!$T$45,'501'!$T$47,'501'!$T$49,'501'!$T$51,'501'!$T$53:$T$54,'501'!$T$56:$T$59,'501'!$T$61</definedName>
    <definedName name="OSRRefT22x_0" localSheetId="39">'Div 2'!$T$20:$T$30,'Div 2'!$T$32:$T$38,'Div 2'!$T$40,'Div 2'!$T$42,'Div 2'!$T$44,'Div 2'!$T$46:$T$47,'Div 2'!$T$49,'Div 2'!$T$51,'Div 2'!$T$53,'Div 2'!$T$55,'Div 2'!$T$57,'Div 2'!$T$59,'Div 2'!$T$61:$T$64,'Div 2'!$T$66:$T$68,'Div 2'!$T$70:$T$71,'Div 2'!$T$73,'Div 2'!$T$75:$T$78,'Div 2'!$T$80:$T$81,'Div 2'!$T$83,'Div 2'!$T$85:$T$86</definedName>
    <definedName name="OSRRefT22x_0" localSheetId="47">'Div 3'!$T$164:$T$172,'Div 3'!$T$174:$T$180,'Div 3'!$T$182,'Div 3'!$T$184,'Div 3'!$T$186,'Div 3'!$T$188:$T$189,'Div 3'!$T$191:$T$192,'Div 3'!$T$194,'Div 3'!$T$196,'Div 3'!$T$198,'Div 3'!$T$200:$T$201,'Div 3'!$T$203,'Div 3'!$T$205,'Div 3'!$T$207,'Div 3'!$T$209,'Div 3'!$T$211,'Div 3'!$T$213,'Div 3'!$T$215:$T$217,'Div 3'!$T$219:$T$221,'Div 3'!$T$223:$T$227,'Div 3'!$T$229:$T$230,'Div 3'!$T$232:$T$238,'Div 3'!$T$240:$T$241,'Div 3'!$T$243,'Div 3'!$T$245:$T$247,'Div 3'!$T$249</definedName>
    <definedName name="OSRRefT22x_0" localSheetId="73">'Div 4'!$T$34:$T$42,'Div 4'!$T$44:$T$50,'Div 4'!$T$52,'Div 4'!$T$54,'Div 4'!$T$56,'Div 4'!$T$58:$T$60,'Div 4'!$T$62,'Div 4'!$T$64,'Div 4'!$T$66,'Div 4'!$T$68,'Div 4'!$T$70:$T$71,'Div 4'!$T$73,'Div 4'!$T$75,'Div 4'!$T$77,'Div 4'!$T$79,'Div 4'!$T$81,'Div 4'!$T$83:$T$85,'Div 4'!$T$87:$T$88,'Div 4'!$T$90:$T$94,'Div 4'!$T$96,'Div 4'!$T$98:$T$105,'Div 4'!$T$107,'Div 4'!$T$109,'Div 4'!$T$111:$T$113,'Div 4'!$T$115</definedName>
    <definedName name="OSRRefT22x_0" localSheetId="96">'Div 5'!$T$21:$T$28,'Div 5'!$T$30:$T$35,'Div 5'!$T$37,'Div 5'!$T$39,'Div 5'!$T$41,'Div 5'!$T$43,'Div 5'!$T$45,'Div 5'!$T$47,'Div 5'!$T$49,'Div 5'!$T$51,'Div 5'!$T$53:$T$54,'Div 5'!$T$56:$T$59,'Div 5'!$T$61</definedName>
    <definedName name="OSRRefT22x_0" localSheetId="64">'Div 6'!$T$56:$T$64,'Div 6'!$T$66:$T$69,'Div 6'!$T$71,'Div 6'!$T$73,'Div 6'!$T$75,'Div 6'!$T$77,'Div 6'!$T$79,'Div 6'!$T$81,'Div 6'!$T$83,'Div 6'!$T$85:$T$86,'Div 6'!$T$88</definedName>
    <definedName name="OSRRefT22x_0" localSheetId="2">Summary!$T$197:$T$205,Summary!$T$207:$T$213,Summary!$T$215,Summary!$T$217,Summary!$T$219,Summary!$T$221:$T$223,Summary!$T$225:$T$226,Summary!$T$228,Summary!$T$230,Summary!$T$232,Summary!$T$234:$T$235,Summary!$T$237:$T$238,Summary!$T$240,Summary!$T$242,Summary!$T$244,Summary!$T$246,Summary!$T$248,Summary!$T$250,Summary!$T$252:$T$254,Summary!$T$256:$T$258,Summary!$T$260:$T$264,Summary!$T$266:$T$267,Summary!$T$269:$T$276,Summary!$T$278:$T$279,Summary!$T$281,Summary!$T$283:$T$285,Summary!$T$287</definedName>
    <definedName name="OSRRefT25x_0" localSheetId="48">'300'!$T$242:$T$248</definedName>
    <definedName name="OSRRefT25x_0" localSheetId="49">'300 &amp; 317'!$T$266:$T$274</definedName>
    <definedName name="OSRRefT25x_0" localSheetId="50">'301'!$T$89:$T$90</definedName>
    <definedName name="OSRRefT25x_0" localSheetId="55">'308'!$T$111:$T$113</definedName>
    <definedName name="OSRRefT25x_0" localSheetId="74">'310 &amp; 491'!$T$124:$T$126</definedName>
    <definedName name="OSRRefT25x_0" localSheetId="56">'311'!$T$110:$T$112</definedName>
    <definedName name="OSRRefT25x_0" localSheetId="59">'315'!$T$101</definedName>
    <definedName name="OSRRefT25x_0" localSheetId="62">'316'!$T$66</definedName>
    <definedName name="OSRRefT25x_0" localSheetId="65">'317'!$T$91:$T$93</definedName>
    <definedName name="OSRRefT25x_0" localSheetId="63">'320'!$T$58:$T$61</definedName>
    <definedName name="OSRRefT25x_0" localSheetId="58">'331'!$T$139</definedName>
    <definedName name="OSRRefT25x_0" localSheetId="61">'332'!$T$83:$T$87</definedName>
    <definedName name="OSRRefT25x_0" localSheetId="78">'411'!$T$82:$T$83</definedName>
    <definedName name="OSRRefT25x_0" localSheetId="80">'413'!$T$63</definedName>
    <definedName name="OSRRefT25x_0" localSheetId="83">'418'!$T$79</definedName>
    <definedName name="OSRRefT25x_0" localSheetId="85">'423'!$T$41</definedName>
    <definedName name="OSRRefT25x_0" localSheetId="86">'424'!$T$57</definedName>
    <definedName name="OSRRefT25x_0" localSheetId="87">'425'!$T$77</definedName>
    <definedName name="OSRRefT25x_0" localSheetId="88">'455'!$T$32:$T$33</definedName>
    <definedName name="OSRRefT25x_0" localSheetId="75">'491'!$T$112:$T$114</definedName>
    <definedName name="OSRRefT25x_0" localSheetId="97">'501'!$T$64</definedName>
    <definedName name="OSRRefT25x_0" localSheetId="47">'Div 3'!$T$252:$T$258</definedName>
    <definedName name="OSRRefT25x_0" localSheetId="73">'Div 4'!$T$118:$T$120</definedName>
    <definedName name="OSRRefT25x_0" localSheetId="96">'Div 5'!$T$64</definedName>
    <definedName name="OSRRefT25x_0" localSheetId="64">'Div 6'!$T$91:$T$93</definedName>
    <definedName name="OSRRefT25x_0" localSheetId="2">Summary!$T$290:$T$299</definedName>
    <definedName name="_xlnm.Print_Area" localSheetId="38">'100'!$A$1:$Z$34</definedName>
    <definedName name="_xlnm.Print_Area" localSheetId="40">'200'!$A$1:$Z$41</definedName>
    <definedName name="_xlnm.Print_Area" localSheetId="41">'201'!$A$1:$Z$81</definedName>
    <definedName name="_xlnm.Print_Area" localSheetId="42">'202'!$A$1:$Z$72</definedName>
    <definedName name="_xlnm.Print_Area" localSheetId="43">'203'!$A$1:$Z$81</definedName>
    <definedName name="_xlnm.Print_Area" localSheetId="44">'204'!$A$1:$Z$72</definedName>
    <definedName name="_xlnm.Print_Area" localSheetId="45">'205'!$A$1:$Z$59</definedName>
    <definedName name="_xlnm.Print_Area" localSheetId="46">'206'!$A$1:$Z$61</definedName>
    <definedName name="_xlnm.Print_Area" localSheetId="48">'300'!$A$1:$Z$260</definedName>
    <definedName name="_xlnm.Print_Area" localSheetId="49">'300 &amp; 317'!$A$1:$Z$286</definedName>
    <definedName name="_xlnm.Print_Area" localSheetId="50">'301'!$A$1:$Z$102</definedName>
    <definedName name="_xlnm.Print_Area" localSheetId="51">'306'!$A$1:$Z$64</definedName>
    <definedName name="_xlnm.Print_Area" localSheetId="53">'307'!$A$1:$Z$117</definedName>
    <definedName name="_xlnm.Print_Area" localSheetId="55">'308'!$A$1:$Z$125</definedName>
    <definedName name="_xlnm.Print_Area" localSheetId="67">'309'!$A$1:$Z$78</definedName>
    <definedName name="_xlnm.Print_Area" localSheetId="66">'310'!$A$1:$Z$112</definedName>
    <definedName name="_xlnm.Print_Area" localSheetId="74">'310 &amp; 491'!$A$1:$Z$138</definedName>
    <definedName name="_xlnm.Print_Area" localSheetId="56">'311'!$A$1:$Z$124</definedName>
    <definedName name="_xlnm.Print_Area" localSheetId="68">'313'!$A$1:$Z$86</definedName>
    <definedName name="_xlnm.Print_Area" localSheetId="54">'314'!$A$1:$Z$91</definedName>
    <definedName name="_xlnm.Print_Area" localSheetId="59">'315'!$A$1:$Z$113</definedName>
    <definedName name="_xlnm.Print_Area" localSheetId="62">'316'!$A$1:$Z$78</definedName>
    <definedName name="_xlnm.Print_Area" localSheetId="65">'317'!$A$1:$Z$105</definedName>
    <definedName name="_xlnm.Print_Area" localSheetId="63">'320'!$A$1:$Z$73</definedName>
    <definedName name="_xlnm.Print_Area" localSheetId="69">'321'!$A$1:$Z$78</definedName>
    <definedName name="_xlnm.Print_Area" localSheetId="70">'322'!$A$1:$Z$83</definedName>
    <definedName name="_xlnm.Print_Area" localSheetId="57">'324'!$A$1:$Z$39</definedName>
    <definedName name="_xlnm.Print_Area" localSheetId="71">'325'!$A$1:$Z$90</definedName>
    <definedName name="_xlnm.Print_Area" localSheetId="60">'326'!$A$1:$Z$125</definedName>
    <definedName name="_xlnm.Print_Area" localSheetId="72">'327'!$A$1:$Z$38</definedName>
    <definedName name="_xlnm.Print_Area" localSheetId="52">'330'!$A$1:$Z$128</definedName>
    <definedName name="_xlnm.Print_Area" localSheetId="58">'331'!$A$1:$Z$151</definedName>
    <definedName name="_xlnm.Print_Area" localSheetId="61">'332'!$A$1:$Z$99</definedName>
    <definedName name="_xlnm.Print_Area" localSheetId="76">'405'!$A$1:$Z$92</definedName>
    <definedName name="_xlnm.Print_Area" localSheetId="77">'406'!$A$1:$Z$80</definedName>
    <definedName name="_xlnm.Print_Area" localSheetId="78">'411'!$A$1:$Z$95</definedName>
    <definedName name="_xlnm.Print_Area" localSheetId="79">'412'!$A$1:$Z$84</definedName>
    <definedName name="_xlnm.Print_Area" localSheetId="80">'413'!$A$1:$Z$75</definedName>
    <definedName name="_xlnm.Print_Area" localSheetId="81">'414'!$A$1:$Z$85</definedName>
    <definedName name="_xlnm.Print_Area" localSheetId="82">'415'!$A$1:$Z$96</definedName>
    <definedName name="_xlnm.Print_Area" localSheetId="83">'418'!$A$1:$Z$91</definedName>
    <definedName name="_xlnm.Print_Area" localSheetId="84">'420'!$A$1:$Z$37</definedName>
    <definedName name="_xlnm.Print_Area" localSheetId="85">'423'!$A$1:$Z$53</definedName>
    <definedName name="_xlnm.Print_Area" localSheetId="86">'424'!$A$1:$Z$69</definedName>
    <definedName name="_xlnm.Print_Area" localSheetId="87">'425'!$A$1:$Z$89</definedName>
    <definedName name="_xlnm.Print_Area" localSheetId="90">'430'!$A$1:$Z$58</definedName>
    <definedName name="_xlnm.Print_Area" localSheetId="91">'433'!$A$1:$Z$91</definedName>
    <definedName name="_xlnm.Print_Area" localSheetId="92">'435'!$A$1:$Z$59</definedName>
    <definedName name="_xlnm.Print_Area" localSheetId="93">'444'!$A$1:$Z$93</definedName>
    <definedName name="_xlnm.Print_Area" localSheetId="94">'445'!$A$1:$Z$34</definedName>
    <definedName name="_xlnm.Print_Area" localSheetId="95">'450'!$A$1:$Z$93</definedName>
    <definedName name="_xlnm.Print_Area" localSheetId="88">'455'!$A$1:$Z$45</definedName>
    <definedName name="_xlnm.Print_Area" localSheetId="75">'491'!$A$1:$Z$126</definedName>
    <definedName name="_xlnm.Print_Area" localSheetId="89">'492'!$A$1:$Z$101</definedName>
    <definedName name="_xlnm.Print_Area" localSheetId="97">'501'!$A$1:$Z$76</definedName>
    <definedName name="_xlnm.Print_Area" localSheetId="98">Dept!$A$1:$Z$39</definedName>
    <definedName name="_xlnm.Print_Area" localSheetId="37">'Div 1'!$A$1:$Z$34</definedName>
    <definedName name="_xlnm.Print_Area" localSheetId="39">'Div 2'!$A$1:$Z$100</definedName>
    <definedName name="_xlnm.Print_Area" localSheetId="47">'Div 3'!$A$1:$Z$270</definedName>
    <definedName name="_xlnm.Print_Area" localSheetId="73">'Div 4'!$A$1:$Z$132</definedName>
    <definedName name="_xlnm.Print_Area" localSheetId="96">'Div 5'!$A$1:$Z$76</definedName>
    <definedName name="_xlnm.Print_Area" localSheetId="64">'Div 6'!$A$1:$Z$105</definedName>
    <definedName name="_xlnm.Print_Area" localSheetId="13">'OSR_300 &amp; 317_1C00ID4'!$A$1:$Z$39</definedName>
    <definedName name="_xlnm.Print_Area" localSheetId="10">'OSR_300 (2)_7...54cb56fc_UFX0O2'!$A$1:$Z$39</definedName>
    <definedName name="_xlnm.Print_Area" localSheetId="14">'OSR_300 (2)_c...79cd3046_1TJM0H'!$A$1:$Z$39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(2)_0...c51cc666_QIOT67'!$A$1:$Z$39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9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12">'OSR_Div 3 (2)...b7db256a_40ITCB'!$A$1:$Z$39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(2...09141158_1BG9FGV'!$A$1:$Z$39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0">'OSR_Summary (...56e5d78f_5JEYZH'!$A$1:$Z$39</definedName>
    <definedName name="_xlnm.Print_Area" localSheetId="3">OSR_Summary_18VAVWG!$A$1:$Z$39</definedName>
    <definedName name="_xlnm.Print_Area" localSheetId="2">Summary!$A$1:$Z$313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57">'324'!$A:$C,'324'!$1:$10</definedName>
    <definedName name="_xlnm.Print_Titles" localSheetId="71">'325'!$A:$C,'325'!$1:$10</definedName>
    <definedName name="_xlnm.Print_Titles" localSheetId="60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0">'413'!$A:$C,'413'!$1:$10</definedName>
    <definedName name="_xlnm.Print_Titles" localSheetId="81">'414'!$A:$C,'414'!$1:$10</definedName>
    <definedName name="_xlnm.Print_Titles" localSheetId="82">'415'!$A:$C,'415'!$1:$10</definedName>
    <definedName name="_xlnm.Print_Titles" localSheetId="83">'418'!$A:$C,'418'!$1:$10</definedName>
    <definedName name="_xlnm.Print_Titles" localSheetId="84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'445'!$A:$C,'445'!$1:$10</definedName>
    <definedName name="_xlnm.Print_Titles" localSheetId="95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7">'501'!$A:$C,'501'!$1:$10</definedName>
    <definedName name="_xlnm.Print_Titles" localSheetId="98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6">'Div 5'!$A:$C,'Div 5'!$1:$10</definedName>
    <definedName name="_xlnm.Print_Titles" localSheetId="64">'Div 6'!$A:$C,'Div 6'!$1:$10</definedName>
    <definedName name="_xlnm.Print_Titles" localSheetId="13">'OSR_300 &amp; 317_1C00ID4'!$A:$C,'OSR_300 &amp; 317_1C00ID4'!$1:$10</definedName>
    <definedName name="_xlnm.Print_Titles" localSheetId="10">'OSR_300 (2)_7...54cb56fc_UFX0O2'!$A:$C,'OSR_300 (2)_7...54cb56fc_UFX0O2'!$1:$10</definedName>
    <definedName name="_xlnm.Print_Titles" localSheetId="14">'OSR_300 (2)_c...79cd3046_1TJM0H'!$A:$C,'OSR_300 (2)_c...79cd3046_1TJM0H'!$1:$10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(2)_0...c51cc666_QIOT67'!$A:$C,'OSR_491 (2)_0...c51cc666_QIOT67'!$1:$10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9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12">'OSR_Div 3 (2)...b7db256a_40ITCB'!$A:$C,'OSR_Div 3 (2)...b7db256a_40ITCB'!$1:$10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(2...09141158_1BG9FGV'!$A:$C,'OSR_Div 5 (2...09141158_1BG9FGV'!$1:$10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0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68" i="110" l="1"/>
  <c r="X68" i="110"/>
  <c r="L68" i="110"/>
  <c r="N68" i="110" s="1"/>
  <c r="T64" i="110"/>
  <c r="Z64" i="110" s="1"/>
  <c r="P64" i="110"/>
  <c r="X64" i="110" s="1"/>
  <c r="H64" i="110"/>
  <c r="D64" i="110"/>
  <c r="B64" i="110"/>
  <c r="T63" i="110"/>
  <c r="P63" i="110"/>
  <c r="X63" i="110" s="1"/>
  <c r="D63" i="110"/>
  <c r="Z61" i="110"/>
  <c r="X61" i="110"/>
  <c r="L61" i="110"/>
  <c r="N61" i="110" s="1"/>
  <c r="B61" i="110"/>
  <c r="T60" i="110"/>
  <c r="P60" i="110"/>
  <c r="X60" i="110" s="1"/>
  <c r="Z60" i="110" s="1"/>
  <c r="H60" i="110"/>
  <c r="D60" i="110"/>
  <c r="L60" i="110" s="1"/>
  <c r="B60" i="110"/>
  <c r="X59" i="110"/>
  <c r="Z59" i="110" s="1"/>
  <c r="L59" i="110"/>
  <c r="N59" i="110" s="1"/>
  <c r="B59" i="110"/>
  <c r="Z58" i="110"/>
  <c r="X58" i="110"/>
  <c r="N58" i="110"/>
  <c r="L58" i="110"/>
  <c r="B58" i="110"/>
  <c r="X57" i="110"/>
  <c r="Z57" i="110" s="1"/>
  <c r="N57" i="110"/>
  <c r="L57" i="110"/>
  <c r="B57" i="110"/>
  <c r="Z56" i="110"/>
  <c r="X56" i="110"/>
  <c r="N56" i="110"/>
  <c r="L56" i="110"/>
  <c r="B56" i="110"/>
  <c r="T55" i="110"/>
  <c r="Z55" i="110" s="1"/>
  <c r="P55" i="110"/>
  <c r="X55" i="110" s="1"/>
  <c r="H55" i="110"/>
  <c r="F55" i="110"/>
  <c r="D55" i="110"/>
  <c r="B55" i="110"/>
  <c r="X54" i="110"/>
  <c r="Z54" i="110" s="1"/>
  <c r="N54" i="110"/>
  <c r="L54" i="110"/>
  <c r="B54" i="110"/>
  <c r="Z53" i="110"/>
  <c r="X53" i="110"/>
  <c r="N53" i="110"/>
  <c r="L53" i="110"/>
  <c r="B53" i="110"/>
  <c r="X52" i="110"/>
  <c r="T52" i="110"/>
  <c r="P52" i="110"/>
  <c r="N52" i="110"/>
  <c r="L52" i="110"/>
  <c r="H52" i="110"/>
  <c r="D52" i="110"/>
  <c r="B52" i="110"/>
  <c r="X51" i="110"/>
  <c r="Z51" i="110" s="1"/>
  <c r="N51" i="110"/>
  <c r="L51" i="110"/>
  <c r="B51" i="110"/>
  <c r="T50" i="110"/>
  <c r="P50" i="110"/>
  <c r="X50" i="110" s="1"/>
  <c r="H50" i="110"/>
  <c r="D50" i="110"/>
  <c r="L50" i="110" s="1"/>
  <c r="B50" i="110"/>
  <c r="Z49" i="110"/>
  <c r="X49" i="110"/>
  <c r="N49" i="110"/>
  <c r="L49" i="110"/>
  <c r="B49" i="110"/>
  <c r="T48" i="110"/>
  <c r="P48" i="110"/>
  <c r="X48" i="110" s="1"/>
  <c r="H48" i="110"/>
  <c r="D48" i="110"/>
  <c r="L48" i="110" s="1"/>
  <c r="N48" i="110" s="1"/>
  <c r="B48" i="110"/>
  <c r="Z47" i="110"/>
  <c r="X47" i="110"/>
  <c r="L47" i="110"/>
  <c r="N47" i="110" s="1"/>
  <c r="B47" i="110"/>
  <c r="T46" i="110"/>
  <c r="P46" i="110"/>
  <c r="L46" i="110"/>
  <c r="H46" i="110"/>
  <c r="D46" i="110"/>
  <c r="B46" i="110"/>
  <c r="Z45" i="110"/>
  <c r="X45" i="110"/>
  <c r="N45" i="110"/>
  <c r="L45" i="110"/>
  <c r="F45" i="110"/>
  <c r="B45" i="110"/>
  <c r="T44" i="110"/>
  <c r="P44" i="110"/>
  <c r="H44" i="110"/>
  <c r="D44" i="110"/>
  <c r="L44" i="110" s="1"/>
  <c r="B44" i="110"/>
  <c r="Z43" i="110"/>
  <c r="X43" i="110"/>
  <c r="N43" i="110"/>
  <c r="L43" i="110"/>
  <c r="B43" i="110"/>
  <c r="Z42" i="110"/>
  <c r="X42" i="110"/>
  <c r="T42" i="110"/>
  <c r="P42" i="110"/>
  <c r="L42" i="110"/>
  <c r="H42" i="110"/>
  <c r="N42" i="110" s="1"/>
  <c r="D42" i="110"/>
  <c r="B42" i="110"/>
  <c r="Z41" i="110"/>
  <c r="X41" i="110"/>
  <c r="N41" i="110"/>
  <c r="L41" i="110"/>
  <c r="B41" i="110"/>
  <c r="T40" i="110"/>
  <c r="Z40" i="110" s="1"/>
  <c r="P40" i="110"/>
  <c r="H40" i="110"/>
  <c r="N40" i="110" s="1"/>
  <c r="D40" i="110"/>
  <c r="B40" i="110"/>
  <c r="Z39" i="110"/>
  <c r="X39" i="110"/>
  <c r="N39" i="110"/>
  <c r="L39" i="110"/>
  <c r="B39" i="110"/>
  <c r="T38" i="110"/>
  <c r="P38" i="110"/>
  <c r="X38" i="110" s="1"/>
  <c r="H38" i="110"/>
  <c r="D38" i="110"/>
  <c r="L38" i="110" s="1"/>
  <c r="B38" i="110"/>
  <c r="Z37" i="110"/>
  <c r="X37" i="110"/>
  <c r="N37" i="110"/>
  <c r="L37" i="110"/>
  <c r="B37" i="110"/>
  <c r="T36" i="110"/>
  <c r="P36" i="110"/>
  <c r="X36" i="110" s="1"/>
  <c r="H36" i="110"/>
  <c r="D36" i="110"/>
  <c r="L36" i="110" s="1"/>
  <c r="N36" i="110" s="1"/>
  <c r="B36" i="110"/>
  <c r="Z35" i="110"/>
  <c r="X35" i="110"/>
  <c r="N35" i="110"/>
  <c r="L35" i="110"/>
  <c r="B35" i="110"/>
  <c r="X34" i="110"/>
  <c r="Z34" i="110" s="1"/>
  <c r="L34" i="110"/>
  <c r="N34" i="110" s="1"/>
  <c r="F34" i="110"/>
  <c r="B34" i="110"/>
  <c r="Z33" i="110"/>
  <c r="X33" i="110"/>
  <c r="N33" i="110"/>
  <c r="L33" i="110"/>
  <c r="B33" i="110"/>
  <c r="X32" i="110"/>
  <c r="Z32" i="110" s="1"/>
  <c r="L32" i="110"/>
  <c r="N32" i="110" s="1"/>
  <c r="F32" i="110"/>
  <c r="B32" i="110"/>
  <c r="Z31" i="110"/>
  <c r="X31" i="110"/>
  <c r="N31" i="110"/>
  <c r="L31" i="110"/>
  <c r="B31" i="110"/>
  <c r="X30" i="110"/>
  <c r="Z30" i="110" s="1"/>
  <c r="L30" i="110"/>
  <c r="N30" i="110" s="1"/>
  <c r="F30" i="110"/>
  <c r="B30" i="110"/>
  <c r="Z29" i="110"/>
  <c r="T29" i="110"/>
  <c r="P29" i="110"/>
  <c r="X29" i="110" s="1"/>
  <c r="H29" i="110"/>
  <c r="D29" i="110"/>
  <c r="L29" i="110" s="1"/>
  <c r="N29" i="110" s="1"/>
  <c r="B29" i="110"/>
  <c r="X28" i="110"/>
  <c r="Z28" i="110" s="1"/>
  <c r="L28" i="110"/>
  <c r="N28" i="110" s="1"/>
  <c r="B28" i="110"/>
  <c r="Z27" i="110"/>
  <c r="X27" i="110"/>
  <c r="N27" i="110"/>
  <c r="L27" i="110"/>
  <c r="B27" i="110"/>
  <c r="X26" i="110"/>
  <c r="Z26" i="110" s="1"/>
  <c r="L26" i="110"/>
  <c r="N26" i="110" s="1"/>
  <c r="B26" i="110"/>
  <c r="Z25" i="110"/>
  <c r="X25" i="110"/>
  <c r="N25" i="110"/>
  <c r="L25" i="110"/>
  <c r="B25" i="110"/>
  <c r="X24" i="110"/>
  <c r="Z24" i="110" s="1"/>
  <c r="L24" i="110"/>
  <c r="N24" i="110" s="1"/>
  <c r="B24" i="110"/>
  <c r="Z23" i="110"/>
  <c r="X23" i="110"/>
  <c r="N23" i="110"/>
  <c r="L23" i="110"/>
  <c r="B23" i="110"/>
  <c r="X22" i="110"/>
  <c r="Z22" i="110" s="1"/>
  <c r="N22" i="110"/>
  <c r="L22" i="110"/>
  <c r="B22" i="110"/>
  <c r="Z21" i="110"/>
  <c r="X21" i="110"/>
  <c r="N21" i="110"/>
  <c r="L21" i="110"/>
  <c r="B21" i="110"/>
  <c r="T20" i="110"/>
  <c r="P20" i="110"/>
  <c r="X20" i="110" s="1"/>
  <c r="L20" i="110"/>
  <c r="H20" i="110"/>
  <c r="D20" i="110"/>
  <c r="B20" i="110"/>
  <c r="T19" i="110"/>
  <c r="P19" i="110"/>
  <c r="X19" i="110" s="1"/>
  <c r="H19" i="110"/>
  <c r="F19" i="110"/>
  <c r="D19" i="110"/>
  <c r="D17" i="110"/>
  <c r="T15" i="110"/>
  <c r="Z15" i="110" s="1"/>
  <c r="P15" i="110"/>
  <c r="H15" i="110"/>
  <c r="N15" i="110" s="1"/>
  <c r="D15" i="110"/>
  <c r="T13" i="110"/>
  <c r="P13" i="110"/>
  <c r="L13" i="110"/>
  <c r="H13" i="110"/>
  <c r="D13" i="110"/>
  <c r="B13" i="110"/>
  <c r="D12" i="110"/>
  <c r="F17" i="110" s="1"/>
  <c r="D6" i="110"/>
  <c r="D4" i="110"/>
  <c r="V42" i="109"/>
  <c r="R39" i="109"/>
  <c r="Z37" i="109"/>
  <c r="X37" i="109"/>
  <c r="N37" i="109"/>
  <c r="L37" i="109"/>
  <c r="F37" i="109"/>
  <c r="V33" i="109"/>
  <c r="T33" i="109"/>
  <c r="P33" i="109"/>
  <c r="H33" i="109"/>
  <c r="D33" i="109"/>
  <c r="L33" i="109" s="1"/>
  <c r="N33" i="109" s="1"/>
  <c r="B33" i="109"/>
  <c r="V32" i="109"/>
  <c r="T32" i="109"/>
  <c r="R32" i="109"/>
  <c r="P32" i="109"/>
  <c r="H32" i="109"/>
  <c r="D32" i="109"/>
  <c r="L32" i="109" s="1"/>
  <c r="N32" i="109" s="1"/>
  <c r="B32" i="109"/>
  <c r="R31" i="109"/>
  <c r="H31" i="109"/>
  <c r="D31" i="109"/>
  <c r="Z29" i="109"/>
  <c r="X29" i="109"/>
  <c r="N29" i="109"/>
  <c r="L29" i="109"/>
  <c r="B29" i="109"/>
  <c r="X28" i="109"/>
  <c r="Z28" i="109" s="1"/>
  <c r="N28" i="109"/>
  <c r="L28" i="109"/>
  <c r="B28" i="109"/>
  <c r="T27" i="109"/>
  <c r="Z27" i="109" s="1"/>
  <c r="R27" i="109"/>
  <c r="P27" i="109"/>
  <c r="X27" i="109" s="1"/>
  <c r="N27" i="109"/>
  <c r="L27" i="109"/>
  <c r="H27" i="109"/>
  <c r="D27" i="109"/>
  <c r="B27" i="109"/>
  <c r="Z26" i="109"/>
  <c r="X26" i="109"/>
  <c r="N26" i="109"/>
  <c r="L26" i="109"/>
  <c r="B26" i="109"/>
  <c r="X25" i="109"/>
  <c r="Z25" i="109" s="1"/>
  <c r="L25" i="109"/>
  <c r="N25" i="109" s="1"/>
  <c r="F25" i="109"/>
  <c r="B25" i="109"/>
  <c r="Z24" i="109"/>
  <c r="X24" i="109"/>
  <c r="V24" i="109"/>
  <c r="R24" i="109"/>
  <c r="N24" i="109"/>
  <c r="L24" i="109"/>
  <c r="B24" i="109"/>
  <c r="Z23" i="109"/>
  <c r="X23" i="109"/>
  <c r="V23" i="109"/>
  <c r="L23" i="109"/>
  <c r="N23" i="109" s="1"/>
  <c r="J23" i="109"/>
  <c r="F23" i="109"/>
  <c r="B23" i="109"/>
  <c r="X22" i="109"/>
  <c r="Z22" i="109" s="1"/>
  <c r="L22" i="109"/>
  <c r="N22" i="109" s="1"/>
  <c r="F22" i="109"/>
  <c r="B22" i="109"/>
  <c r="Z21" i="109"/>
  <c r="X21" i="109"/>
  <c r="N21" i="109"/>
  <c r="L21" i="109"/>
  <c r="B21" i="109"/>
  <c r="X20" i="109"/>
  <c r="Z20" i="109" s="1"/>
  <c r="V20" i="109"/>
  <c r="R20" i="109"/>
  <c r="N20" i="109"/>
  <c r="L20" i="109"/>
  <c r="B20" i="109"/>
  <c r="V19" i="109"/>
  <c r="T19" i="109"/>
  <c r="Z19" i="109" s="1"/>
  <c r="P19" i="109"/>
  <c r="X19" i="109" s="1"/>
  <c r="L19" i="109"/>
  <c r="N19" i="109" s="1"/>
  <c r="H19" i="109"/>
  <c r="D19" i="109"/>
  <c r="B19" i="109"/>
  <c r="T18" i="109"/>
  <c r="R18" i="109"/>
  <c r="P18" i="109"/>
  <c r="X18" i="109" s="1"/>
  <c r="N18" i="109"/>
  <c r="L18" i="109"/>
  <c r="H18" i="109"/>
  <c r="D18" i="109"/>
  <c r="R16" i="109"/>
  <c r="P16" i="109"/>
  <c r="T14" i="109"/>
  <c r="Z14" i="109" s="1"/>
  <c r="R14" i="109"/>
  <c r="P14" i="109"/>
  <c r="X14" i="109" s="1"/>
  <c r="N14" i="109"/>
  <c r="L14" i="109"/>
  <c r="H14" i="109"/>
  <c r="D14" i="109"/>
  <c r="T12" i="109"/>
  <c r="V35" i="109" s="1"/>
  <c r="P12" i="109"/>
  <c r="R42" i="109" s="1"/>
  <c r="H12" i="109"/>
  <c r="D12" i="109"/>
  <c r="D6" i="109"/>
  <c r="D4" i="109"/>
  <c r="X85" i="108"/>
  <c r="Z85" i="108" s="1"/>
  <c r="L85" i="108"/>
  <c r="N85" i="108" s="1"/>
  <c r="Z81" i="108"/>
  <c r="T81" i="108"/>
  <c r="X81" i="108" s="1"/>
  <c r="P81" i="108"/>
  <c r="H81" i="108"/>
  <c r="N81" i="108" s="1"/>
  <c r="D81" i="108"/>
  <c r="L81" i="108" s="1"/>
  <c r="Z79" i="108"/>
  <c r="X79" i="108"/>
  <c r="N79" i="108"/>
  <c r="L79" i="108"/>
  <c r="B79" i="108"/>
  <c r="Z78" i="108"/>
  <c r="X78" i="108"/>
  <c r="N78" i="108"/>
  <c r="L78" i="108"/>
  <c r="B78" i="108"/>
  <c r="T77" i="108"/>
  <c r="P77" i="108"/>
  <c r="X77" i="108" s="1"/>
  <c r="N77" i="108"/>
  <c r="H77" i="108"/>
  <c r="D77" i="108"/>
  <c r="L77" i="108" s="1"/>
  <c r="B77" i="108"/>
  <c r="Z76" i="108"/>
  <c r="X76" i="108"/>
  <c r="L76" i="108"/>
  <c r="N76" i="108" s="1"/>
  <c r="B76" i="108"/>
  <c r="T75" i="108"/>
  <c r="P75" i="108"/>
  <c r="X75" i="108" s="1"/>
  <c r="N75" i="108"/>
  <c r="L75" i="108"/>
  <c r="H75" i="108"/>
  <c r="D75" i="108"/>
  <c r="B75" i="108"/>
  <c r="Z74" i="108"/>
  <c r="X74" i="108"/>
  <c r="L74" i="108"/>
  <c r="N74" i="108" s="1"/>
  <c r="B74" i="108"/>
  <c r="X73" i="108"/>
  <c r="T73" i="108"/>
  <c r="Z73" i="108" s="1"/>
  <c r="P73" i="108"/>
  <c r="H73" i="108"/>
  <c r="D73" i="108"/>
  <c r="B73" i="108"/>
  <c r="Z72" i="108"/>
  <c r="X72" i="108"/>
  <c r="N72" i="108"/>
  <c r="L72" i="108"/>
  <c r="B72" i="108"/>
  <c r="Z71" i="108"/>
  <c r="X71" i="108"/>
  <c r="N71" i="108"/>
  <c r="L71" i="108"/>
  <c r="B71" i="108"/>
  <c r="X70" i="108"/>
  <c r="Z70" i="108" s="1"/>
  <c r="N70" i="108"/>
  <c r="L70" i="108"/>
  <c r="B70" i="108"/>
  <c r="X69" i="108"/>
  <c r="Z69" i="108" s="1"/>
  <c r="L69" i="108"/>
  <c r="N69" i="108" s="1"/>
  <c r="B69" i="108"/>
  <c r="Z68" i="108"/>
  <c r="X68" i="108"/>
  <c r="N68" i="108"/>
  <c r="L68" i="108"/>
  <c r="B68" i="108"/>
  <c r="Z67" i="108"/>
  <c r="X67" i="108"/>
  <c r="L67" i="108"/>
  <c r="N67" i="108" s="1"/>
  <c r="B67" i="108"/>
  <c r="T66" i="108"/>
  <c r="P66" i="108"/>
  <c r="H66" i="108"/>
  <c r="D66" i="108"/>
  <c r="L66" i="108" s="1"/>
  <c r="N66" i="108" s="1"/>
  <c r="B66" i="108"/>
  <c r="Z65" i="108"/>
  <c r="X65" i="108"/>
  <c r="L65" i="108"/>
  <c r="N65" i="108" s="1"/>
  <c r="B65" i="108"/>
  <c r="Z64" i="108"/>
  <c r="X64" i="108"/>
  <c r="L64" i="108"/>
  <c r="N64" i="108" s="1"/>
  <c r="B64" i="108"/>
  <c r="X63" i="108"/>
  <c r="Z63" i="108" s="1"/>
  <c r="L63" i="108"/>
  <c r="N63" i="108" s="1"/>
  <c r="B63" i="108"/>
  <c r="T62" i="108"/>
  <c r="P62" i="108"/>
  <c r="X62" i="108" s="1"/>
  <c r="Z62" i="108" s="1"/>
  <c r="H62" i="108"/>
  <c r="D62" i="108"/>
  <c r="B62" i="108"/>
  <c r="X61" i="108"/>
  <c r="Z61" i="108" s="1"/>
  <c r="L61" i="108"/>
  <c r="N61" i="108" s="1"/>
  <c r="B61" i="108"/>
  <c r="X60" i="108"/>
  <c r="Z60" i="108" s="1"/>
  <c r="N60" i="108"/>
  <c r="L60" i="108"/>
  <c r="B60" i="108"/>
  <c r="T59" i="108"/>
  <c r="P59" i="108"/>
  <c r="L59" i="108"/>
  <c r="H59" i="108"/>
  <c r="N59" i="108" s="1"/>
  <c r="D59" i="108"/>
  <c r="B59" i="108"/>
  <c r="X58" i="108"/>
  <c r="Z58" i="108" s="1"/>
  <c r="N58" i="108"/>
  <c r="L58" i="108"/>
  <c r="B58" i="108"/>
  <c r="T57" i="108"/>
  <c r="P57" i="108"/>
  <c r="X57" i="108" s="1"/>
  <c r="N57" i="108"/>
  <c r="H57" i="108"/>
  <c r="D57" i="108"/>
  <c r="L57" i="108" s="1"/>
  <c r="B57" i="108"/>
  <c r="Z56" i="108"/>
  <c r="X56" i="108"/>
  <c r="N56" i="108"/>
  <c r="L56" i="108"/>
  <c r="B56" i="108"/>
  <c r="T55" i="108"/>
  <c r="P55" i="108"/>
  <c r="X55" i="108" s="1"/>
  <c r="L55" i="108"/>
  <c r="N55" i="108" s="1"/>
  <c r="H55" i="108"/>
  <c r="D55" i="108"/>
  <c r="B55" i="108"/>
  <c r="Z54" i="108"/>
  <c r="X54" i="108"/>
  <c r="N54" i="108"/>
  <c r="L54" i="108"/>
  <c r="B54" i="108"/>
  <c r="X53" i="108"/>
  <c r="T53" i="108"/>
  <c r="Z53" i="108" s="1"/>
  <c r="P53" i="108"/>
  <c r="H53" i="108"/>
  <c r="D53" i="108"/>
  <c r="B53" i="108"/>
  <c r="Z52" i="108"/>
  <c r="X52" i="108"/>
  <c r="N52" i="108"/>
  <c r="L52" i="108"/>
  <c r="B52" i="108"/>
  <c r="T51" i="108"/>
  <c r="P51" i="108"/>
  <c r="X51" i="108" s="1"/>
  <c r="Z51" i="108" s="1"/>
  <c r="H51" i="108"/>
  <c r="D51" i="108"/>
  <c r="L51" i="108" s="1"/>
  <c r="B51" i="108"/>
  <c r="Z50" i="108"/>
  <c r="X50" i="108"/>
  <c r="N50" i="108"/>
  <c r="L50" i="108"/>
  <c r="B50" i="108"/>
  <c r="X49" i="108"/>
  <c r="Z49" i="108" s="1"/>
  <c r="T49" i="108"/>
  <c r="P49" i="108"/>
  <c r="H49" i="108"/>
  <c r="N49" i="108" s="1"/>
  <c r="D49" i="108"/>
  <c r="L49" i="108" s="1"/>
  <c r="B49" i="108"/>
  <c r="X48" i="108"/>
  <c r="Z48" i="108" s="1"/>
  <c r="N48" i="108"/>
  <c r="L48" i="108"/>
  <c r="B48" i="108"/>
  <c r="X47" i="108"/>
  <c r="T47" i="108"/>
  <c r="P47" i="108"/>
  <c r="L47" i="108"/>
  <c r="H47" i="108"/>
  <c r="N47" i="108" s="1"/>
  <c r="D47" i="108"/>
  <c r="B47" i="108"/>
  <c r="Z46" i="108"/>
  <c r="X46" i="108"/>
  <c r="N46" i="108"/>
  <c r="L46" i="108"/>
  <c r="B46" i="108"/>
  <c r="T45" i="108"/>
  <c r="P45" i="108"/>
  <c r="H45" i="108"/>
  <c r="D45" i="108"/>
  <c r="L45" i="108" s="1"/>
  <c r="N45" i="108" s="1"/>
  <c r="B45" i="108"/>
  <c r="Z44" i="108"/>
  <c r="X44" i="108"/>
  <c r="N44" i="108"/>
  <c r="L44" i="108"/>
  <c r="B44" i="108"/>
  <c r="T43" i="108"/>
  <c r="P43" i="108"/>
  <c r="X43" i="108" s="1"/>
  <c r="L43" i="108"/>
  <c r="N43" i="108" s="1"/>
  <c r="H43" i="108"/>
  <c r="D43" i="108"/>
  <c r="B43" i="108"/>
  <c r="Z42" i="108"/>
  <c r="X42" i="108"/>
  <c r="L42" i="108"/>
  <c r="N42" i="108" s="1"/>
  <c r="B42" i="108"/>
  <c r="X41" i="108"/>
  <c r="T41" i="108"/>
  <c r="P41" i="108"/>
  <c r="L41" i="108"/>
  <c r="H41" i="108"/>
  <c r="D41" i="108"/>
  <c r="B41" i="108"/>
  <c r="Z40" i="108"/>
  <c r="X40" i="108"/>
  <c r="N40" i="108"/>
  <c r="L40" i="108"/>
  <c r="B40" i="108"/>
  <c r="Z39" i="108"/>
  <c r="X39" i="108"/>
  <c r="L39" i="108"/>
  <c r="N39" i="108" s="1"/>
  <c r="B39" i="108"/>
  <c r="Z38" i="108"/>
  <c r="X38" i="108"/>
  <c r="N38" i="108"/>
  <c r="L38" i="108"/>
  <c r="B38" i="108"/>
  <c r="X37" i="108"/>
  <c r="Z37" i="108" s="1"/>
  <c r="L37" i="108"/>
  <c r="N37" i="108" s="1"/>
  <c r="B37" i="108"/>
  <c r="Z36" i="108"/>
  <c r="X36" i="108"/>
  <c r="N36" i="108"/>
  <c r="L36" i="108"/>
  <c r="B36" i="108"/>
  <c r="Z35" i="108"/>
  <c r="X35" i="108"/>
  <c r="L35" i="108"/>
  <c r="N35" i="108" s="1"/>
  <c r="B35" i="108"/>
  <c r="X34" i="108"/>
  <c r="Z34" i="108" s="1"/>
  <c r="T34" i="108"/>
  <c r="P34" i="108"/>
  <c r="N34" i="108"/>
  <c r="L34" i="108"/>
  <c r="H34" i="108"/>
  <c r="D34" i="108"/>
  <c r="B34" i="108"/>
  <c r="X33" i="108"/>
  <c r="Z33" i="108" s="1"/>
  <c r="L33" i="108"/>
  <c r="N33" i="108" s="1"/>
  <c r="B33" i="108"/>
  <c r="Z32" i="108"/>
  <c r="X32" i="108"/>
  <c r="N32" i="108"/>
  <c r="L32" i="108"/>
  <c r="B32" i="108"/>
  <c r="X31" i="108"/>
  <c r="Z31" i="108" s="1"/>
  <c r="L31" i="108"/>
  <c r="N31" i="108" s="1"/>
  <c r="B31" i="108"/>
  <c r="X30" i="108"/>
  <c r="Z30" i="108" s="1"/>
  <c r="N30" i="108"/>
  <c r="L30" i="108"/>
  <c r="B30" i="108"/>
  <c r="X29" i="108"/>
  <c r="Z29" i="108" s="1"/>
  <c r="L29" i="108"/>
  <c r="N29" i="108" s="1"/>
  <c r="B29" i="108"/>
  <c r="Z28" i="108"/>
  <c r="X28" i="108"/>
  <c r="N28" i="108"/>
  <c r="L28" i="108"/>
  <c r="B28" i="108"/>
  <c r="X27" i="108"/>
  <c r="Z27" i="108" s="1"/>
  <c r="L27" i="108"/>
  <c r="N27" i="108" s="1"/>
  <c r="B27" i="108"/>
  <c r="X26" i="108"/>
  <c r="Z26" i="108" s="1"/>
  <c r="N26" i="108"/>
  <c r="L26" i="108"/>
  <c r="B26" i="108"/>
  <c r="X25" i="108"/>
  <c r="Z25" i="108" s="1"/>
  <c r="L25" i="108"/>
  <c r="N25" i="108" s="1"/>
  <c r="B25" i="108"/>
  <c r="T24" i="108"/>
  <c r="P24" i="108"/>
  <c r="H24" i="108"/>
  <c r="N24" i="108" s="1"/>
  <c r="D24" i="108"/>
  <c r="L24" i="108" s="1"/>
  <c r="B24" i="108"/>
  <c r="T23" i="108"/>
  <c r="P23" i="108"/>
  <c r="L23" i="108"/>
  <c r="H23" i="108"/>
  <c r="N23" i="108" s="1"/>
  <c r="D23" i="108"/>
  <c r="X19" i="108"/>
  <c r="Z19" i="108" s="1"/>
  <c r="N19" i="108"/>
  <c r="L19" i="108"/>
  <c r="B19" i="108"/>
  <c r="Z18" i="108"/>
  <c r="X18" i="108"/>
  <c r="N18" i="108"/>
  <c r="L18" i="108"/>
  <c r="B18" i="108"/>
  <c r="T17" i="108"/>
  <c r="P17" i="108"/>
  <c r="X17" i="108" s="1"/>
  <c r="H17" i="108"/>
  <c r="D17" i="108"/>
  <c r="L17" i="108" s="1"/>
  <c r="T15" i="108"/>
  <c r="P15" i="108"/>
  <c r="X15" i="108" s="1"/>
  <c r="L15" i="108"/>
  <c r="N15" i="108" s="1"/>
  <c r="H15" i="108"/>
  <c r="D15" i="108"/>
  <c r="B15" i="108"/>
  <c r="T14" i="108"/>
  <c r="X14" i="108" s="1"/>
  <c r="Z14" i="108" s="1"/>
  <c r="P14" i="108"/>
  <c r="N14" i="108"/>
  <c r="H14" i="108"/>
  <c r="D14" i="108"/>
  <c r="L14" i="108" s="1"/>
  <c r="B14" i="108"/>
  <c r="X13" i="108"/>
  <c r="T13" i="108"/>
  <c r="P13" i="108"/>
  <c r="N13" i="108"/>
  <c r="L13" i="108"/>
  <c r="H13" i="108"/>
  <c r="D13" i="108"/>
  <c r="D12" i="108" s="1"/>
  <c r="B13" i="108"/>
  <c r="H12" i="108"/>
  <c r="D6" i="108"/>
  <c r="D4" i="108"/>
  <c r="R31" i="107"/>
  <c r="F31" i="107"/>
  <c r="F28" i="107"/>
  <c r="Z26" i="107"/>
  <c r="X26" i="107"/>
  <c r="N26" i="107"/>
  <c r="L26" i="107"/>
  <c r="F26" i="107"/>
  <c r="R24" i="107"/>
  <c r="Z22" i="107"/>
  <c r="X22" i="107"/>
  <c r="T22" i="107"/>
  <c r="R22" i="107"/>
  <c r="P22" i="107"/>
  <c r="N22" i="107"/>
  <c r="J22" i="107"/>
  <c r="H22" i="107"/>
  <c r="D22" i="107"/>
  <c r="L22" i="107" s="1"/>
  <c r="Z20" i="107"/>
  <c r="X20" i="107"/>
  <c r="R20" i="107"/>
  <c r="N20" i="107"/>
  <c r="L20" i="107"/>
  <c r="F20" i="107"/>
  <c r="B20" i="107"/>
  <c r="T19" i="107"/>
  <c r="P19" i="107"/>
  <c r="X19" i="107" s="1"/>
  <c r="N19" i="107"/>
  <c r="H19" i="107"/>
  <c r="F19" i="107"/>
  <c r="D19" i="107"/>
  <c r="L19" i="107" s="1"/>
  <c r="B19" i="107"/>
  <c r="T18" i="107"/>
  <c r="P18" i="107"/>
  <c r="X18" i="107" s="1"/>
  <c r="N18" i="107"/>
  <c r="H18" i="107"/>
  <c r="F18" i="107"/>
  <c r="D18" i="107"/>
  <c r="L18" i="107" s="1"/>
  <c r="F16" i="107"/>
  <c r="V14" i="107"/>
  <c r="T14" i="107"/>
  <c r="Z14" i="107" s="1"/>
  <c r="P14" i="107"/>
  <c r="X14" i="107" s="1"/>
  <c r="N14" i="107"/>
  <c r="H14" i="107"/>
  <c r="F14" i="107"/>
  <c r="D14" i="107"/>
  <c r="L14" i="107" s="1"/>
  <c r="T12" i="107"/>
  <c r="V16" i="107" s="1"/>
  <c r="P12" i="107"/>
  <c r="R26" i="107" s="1"/>
  <c r="L12" i="107"/>
  <c r="H12" i="107"/>
  <c r="J28" i="107" s="1"/>
  <c r="D12" i="107"/>
  <c r="F24" i="107" s="1"/>
  <c r="D6" i="107"/>
  <c r="D4" i="107"/>
  <c r="Z85" i="106"/>
  <c r="X85" i="106"/>
  <c r="N85" i="106"/>
  <c r="L85" i="106"/>
  <c r="F85" i="106"/>
  <c r="Z81" i="106"/>
  <c r="T81" i="106"/>
  <c r="P81" i="106"/>
  <c r="X81" i="106" s="1"/>
  <c r="H81" i="106"/>
  <c r="N81" i="106" s="1"/>
  <c r="D81" i="106"/>
  <c r="L81" i="106" s="1"/>
  <c r="Z79" i="106"/>
  <c r="X79" i="106"/>
  <c r="N79" i="106"/>
  <c r="L79" i="106"/>
  <c r="B79" i="106"/>
  <c r="T78" i="106"/>
  <c r="Z78" i="106" s="1"/>
  <c r="P78" i="106"/>
  <c r="X78" i="106" s="1"/>
  <c r="N78" i="106"/>
  <c r="H78" i="106"/>
  <c r="D78" i="106"/>
  <c r="L78" i="106" s="1"/>
  <c r="B78" i="106"/>
  <c r="X77" i="106"/>
  <c r="Z77" i="106" s="1"/>
  <c r="N77" i="106"/>
  <c r="L77" i="106"/>
  <c r="B77" i="106"/>
  <c r="X76" i="106"/>
  <c r="Z76" i="106" s="1"/>
  <c r="T76" i="106"/>
  <c r="P76" i="106"/>
  <c r="H76" i="106"/>
  <c r="D76" i="106"/>
  <c r="B76" i="106"/>
  <c r="Z75" i="106"/>
  <c r="X75" i="106"/>
  <c r="N75" i="106"/>
  <c r="L75" i="106"/>
  <c r="B75" i="106"/>
  <c r="T74" i="106"/>
  <c r="P74" i="106"/>
  <c r="H74" i="106"/>
  <c r="D74" i="106"/>
  <c r="L74" i="106" s="1"/>
  <c r="N74" i="106" s="1"/>
  <c r="B74" i="106"/>
  <c r="X73" i="106"/>
  <c r="Z73" i="106" s="1"/>
  <c r="N73" i="106"/>
  <c r="L73" i="106"/>
  <c r="B73" i="106"/>
  <c r="Z72" i="106"/>
  <c r="X72" i="106"/>
  <c r="N72" i="106"/>
  <c r="L72" i="106"/>
  <c r="B72" i="106"/>
  <c r="Z71" i="106"/>
  <c r="X71" i="106"/>
  <c r="N71" i="106"/>
  <c r="L71" i="106"/>
  <c r="B71" i="106"/>
  <c r="Z70" i="106"/>
  <c r="X70" i="106"/>
  <c r="L70" i="106"/>
  <c r="N70" i="106" s="1"/>
  <c r="B70" i="106"/>
  <c r="X69" i="106"/>
  <c r="Z69" i="106" s="1"/>
  <c r="L69" i="106"/>
  <c r="N69" i="106" s="1"/>
  <c r="B69" i="106"/>
  <c r="X68" i="106"/>
  <c r="Z68" i="106" s="1"/>
  <c r="L68" i="106"/>
  <c r="N68" i="106" s="1"/>
  <c r="B68" i="106"/>
  <c r="Z67" i="106"/>
  <c r="X67" i="106"/>
  <c r="N67" i="106"/>
  <c r="L67" i="106"/>
  <c r="B67" i="106"/>
  <c r="T66" i="106"/>
  <c r="Z66" i="106" s="1"/>
  <c r="P66" i="106"/>
  <c r="X66" i="106" s="1"/>
  <c r="H66" i="106"/>
  <c r="D66" i="106"/>
  <c r="L66" i="106" s="1"/>
  <c r="B66" i="106"/>
  <c r="X65" i="106"/>
  <c r="Z65" i="106" s="1"/>
  <c r="N65" i="106"/>
  <c r="L65" i="106"/>
  <c r="B65" i="106"/>
  <c r="X64" i="106"/>
  <c r="Z64" i="106" s="1"/>
  <c r="N64" i="106"/>
  <c r="L64" i="106"/>
  <c r="B64" i="106"/>
  <c r="Z63" i="106"/>
  <c r="X63" i="106"/>
  <c r="N63" i="106"/>
  <c r="L63" i="106"/>
  <c r="F63" i="106"/>
  <c r="B63" i="106"/>
  <c r="T62" i="106"/>
  <c r="P62" i="106"/>
  <c r="L62" i="106"/>
  <c r="N62" i="106" s="1"/>
  <c r="H62" i="106"/>
  <c r="F62" i="106"/>
  <c r="D62" i="106"/>
  <c r="B62" i="106"/>
  <c r="Z61" i="106"/>
  <c r="X61" i="106"/>
  <c r="N61" i="106"/>
  <c r="L61" i="106"/>
  <c r="B61" i="106"/>
  <c r="Z60" i="106"/>
  <c r="X60" i="106"/>
  <c r="L60" i="106"/>
  <c r="N60" i="106" s="1"/>
  <c r="B60" i="106"/>
  <c r="Z59" i="106"/>
  <c r="T59" i="106"/>
  <c r="X59" i="106" s="1"/>
  <c r="P59" i="106"/>
  <c r="H59" i="106"/>
  <c r="D59" i="106"/>
  <c r="L59" i="106" s="1"/>
  <c r="N59" i="106" s="1"/>
  <c r="B59" i="106"/>
  <c r="Z58" i="106"/>
  <c r="X58" i="106"/>
  <c r="L58" i="106"/>
  <c r="N58" i="106" s="1"/>
  <c r="B58" i="106"/>
  <c r="T57" i="106"/>
  <c r="P57" i="106"/>
  <c r="X57" i="106" s="1"/>
  <c r="H57" i="106"/>
  <c r="D57" i="106"/>
  <c r="L57" i="106" s="1"/>
  <c r="N57" i="106" s="1"/>
  <c r="B57" i="106"/>
  <c r="X56" i="106"/>
  <c r="Z56" i="106" s="1"/>
  <c r="N56" i="106"/>
  <c r="L56" i="106"/>
  <c r="B56" i="106"/>
  <c r="T55" i="106"/>
  <c r="Z55" i="106" s="1"/>
  <c r="P55" i="106"/>
  <c r="X55" i="106" s="1"/>
  <c r="L55" i="106"/>
  <c r="H55" i="106"/>
  <c r="N55" i="106" s="1"/>
  <c r="D55" i="106"/>
  <c r="B55" i="106"/>
  <c r="Z54" i="106"/>
  <c r="X54" i="106"/>
  <c r="N54" i="106"/>
  <c r="L54" i="106"/>
  <c r="B54" i="106"/>
  <c r="T53" i="106"/>
  <c r="P53" i="106"/>
  <c r="X53" i="106" s="1"/>
  <c r="Z53" i="106" s="1"/>
  <c r="H53" i="106"/>
  <c r="L53" i="106" s="1"/>
  <c r="N53" i="106" s="1"/>
  <c r="D53" i="106"/>
  <c r="B53" i="106"/>
  <c r="X52" i="106"/>
  <c r="Z52" i="106" s="1"/>
  <c r="L52" i="106"/>
  <c r="N52" i="106" s="1"/>
  <c r="B52" i="106"/>
  <c r="T51" i="106"/>
  <c r="P51" i="106"/>
  <c r="X51" i="106" s="1"/>
  <c r="Z51" i="106" s="1"/>
  <c r="H51" i="106"/>
  <c r="D51" i="106"/>
  <c r="L51" i="106" s="1"/>
  <c r="B51" i="106"/>
  <c r="X50" i="106"/>
  <c r="Z50" i="106" s="1"/>
  <c r="N50" i="106"/>
  <c r="L50" i="106"/>
  <c r="F50" i="106"/>
  <c r="B50" i="106"/>
  <c r="X49" i="106"/>
  <c r="T49" i="106"/>
  <c r="P49" i="106"/>
  <c r="H49" i="106"/>
  <c r="N49" i="106" s="1"/>
  <c r="F49" i="106"/>
  <c r="D49" i="106"/>
  <c r="L49" i="106" s="1"/>
  <c r="B49" i="106"/>
  <c r="Z48" i="106"/>
  <c r="X48" i="106"/>
  <c r="L48" i="106"/>
  <c r="N48" i="106" s="1"/>
  <c r="B48" i="106"/>
  <c r="T47" i="106"/>
  <c r="X47" i="106" s="1"/>
  <c r="P47" i="106"/>
  <c r="H47" i="106"/>
  <c r="D47" i="106"/>
  <c r="L47" i="106" s="1"/>
  <c r="N47" i="106" s="1"/>
  <c r="B47" i="106"/>
  <c r="Z46" i="106"/>
  <c r="X46" i="106"/>
  <c r="L46" i="106"/>
  <c r="N46" i="106" s="1"/>
  <c r="B46" i="106"/>
  <c r="V45" i="106"/>
  <c r="T45" i="106"/>
  <c r="P45" i="106"/>
  <c r="X45" i="106" s="1"/>
  <c r="H45" i="106"/>
  <c r="D45" i="106"/>
  <c r="L45" i="106" s="1"/>
  <c r="N45" i="106" s="1"/>
  <c r="B45" i="106"/>
  <c r="X44" i="106"/>
  <c r="Z44" i="106" s="1"/>
  <c r="N44" i="106"/>
  <c r="L44" i="106"/>
  <c r="B44" i="106"/>
  <c r="T43" i="106"/>
  <c r="P43" i="106"/>
  <c r="X43" i="106" s="1"/>
  <c r="L43" i="106"/>
  <c r="H43" i="106"/>
  <c r="N43" i="106" s="1"/>
  <c r="D43" i="106"/>
  <c r="B43" i="106"/>
  <c r="Z42" i="106"/>
  <c r="X42" i="106"/>
  <c r="N42" i="106"/>
  <c r="L42" i="106"/>
  <c r="B42" i="106"/>
  <c r="T41" i="106"/>
  <c r="P41" i="106"/>
  <c r="X41" i="106" s="1"/>
  <c r="Z41" i="106" s="1"/>
  <c r="N41" i="106"/>
  <c r="H41" i="106"/>
  <c r="D41" i="106"/>
  <c r="L41" i="106" s="1"/>
  <c r="B41" i="106"/>
  <c r="X40" i="106"/>
  <c r="Z40" i="106" s="1"/>
  <c r="L40" i="106"/>
  <c r="N40" i="106" s="1"/>
  <c r="B40" i="106"/>
  <c r="Z39" i="106"/>
  <c r="X39" i="106"/>
  <c r="N39" i="106"/>
  <c r="L39" i="106"/>
  <c r="F39" i="106"/>
  <c r="B39" i="106"/>
  <c r="Z38" i="106"/>
  <c r="X38" i="106"/>
  <c r="V38" i="106"/>
  <c r="L38" i="106"/>
  <c r="N38" i="106" s="1"/>
  <c r="B38" i="106"/>
  <c r="X37" i="106"/>
  <c r="Z37" i="106" s="1"/>
  <c r="V37" i="106"/>
  <c r="L37" i="106"/>
  <c r="N37" i="106" s="1"/>
  <c r="B37" i="106"/>
  <c r="X36" i="106"/>
  <c r="Z36" i="106" s="1"/>
  <c r="L36" i="106"/>
  <c r="N36" i="106" s="1"/>
  <c r="B36" i="106"/>
  <c r="Z35" i="106"/>
  <c r="X35" i="106"/>
  <c r="N35" i="106"/>
  <c r="L35" i="106"/>
  <c r="F35" i="106"/>
  <c r="B35" i="106"/>
  <c r="V34" i="106"/>
  <c r="T34" i="106"/>
  <c r="P34" i="106"/>
  <c r="X34" i="106" s="1"/>
  <c r="H34" i="106"/>
  <c r="D34" i="106"/>
  <c r="B34" i="106"/>
  <c r="X33" i="106"/>
  <c r="Z33" i="106" s="1"/>
  <c r="N33" i="106"/>
  <c r="L33" i="106"/>
  <c r="B33" i="106"/>
  <c r="X32" i="106"/>
  <c r="Z32" i="106" s="1"/>
  <c r="N32" i="106"/>
  <c r="L32" i="106"/>
  <c r="B32" i="106"/>
  <c r="Z31" i="106"/>
  <c r="X31" i="106"/>
  <c r="N31" i="106"/>
  <c r="L31" i="106"/>
  <c r="F31" i="106"/>
  <c r="B31" i="106"/>
  <c r="X30" i="106"/>
  <c r="Z30" i="106" s="1"/>
  <c r="L30" i="106"/>
  <c r="N30" i="106" s="1"/>
  <c r="F30" i="106"/>
  <c r="B30" i="106"/>
  <c r="X29" i="106"/>
  <c r="Z29" i="106" s="1"/>
  <c r="L29" i="106"/>
  <c r="N29" i="106" s="1"/>
  <c r="B29" i="106"/>
  <c r="X28" i="106"/>
  <c r="Z28" i="106" s="1"/>
  <c r="N28" i="106"/>
  <c r="L28" i="106"/>
  <c r="B28" i="106"/>
  <c r="Z27" i="106"/>
  <c r="X27" i="106"/>
  <c r="N27" i="106"/>
  <c r="L27" i="106"/>
  <c r="F27" i="106"/>
  <c r="B27" i="106"/>
  <c r="X26" i="106"/>
  <c r="Z26" i="106" s="1"/>
  <c r="N26" i="106"/>
  <c r="L26" i="106"/>
  <c r="F26" i="106"/>
  <c r="B26" i="106"/>
  <c r="X25" i="106"/>
  <c r="Z25" i="106" s="1"/>
  <c r="L25" i="106"/>
  <c r="N25" i="106" s="1"/>
  <c r="B25" i="106"/>
  <c r="X24" i="106"/>
  <c r="Z24" i="106" s="1"/>
  <c r="T24" i="106"/>
  <c r="P24" i="106"/>
  <c r="H24" i="106"/>
  <c r="D24" i="106"/>
  <c r="L24" i="106" s="1"/>
  <c r="B24" i="106"/>
  <c r="T23" i="106"/>
  <c r="P23" i="106"/>
  <c r="H23" i="106"/>
  <c r="D23" i="106"/>
  <c r="L23" i="106" s="1"/>
  <c r="D21" i="106"/>
  <c r="Z19" i="106"/>
  <c r="X19" i="106"/>
  <c r="L19" i="106"/>
  <c r="N19" i="106" s="1"/>
  <c r="B19" i="106"/>
  <c r="Z18" i="106"/>
  <c r="X18" i="106"/>
  <c r="V18" i="106"/>
  <c r="N18" i="106"/>
  <c r="L18" i="106"/>
  <c r="B18" i="106"/>
  <c r="T17" i="106"/>
  <c r="P17" i="106"/>
  <c r="X17" i="106" s="1"/>
  <c r="H17" i="106"/>
  <c r="D17" i="106"/>
  <c r="L17" i="106" s="1"/>
  <c r="N17" i="106" s="1"/>
  <c r="T15" i="106"/>
  <c r="P15" i="106"/>
  <c r="X15" i="106" s="1"/>
  <c r="Z15" i="106" s="1"/>
  <c r="L15" i="106"/>
  <c r="H15" i="106"/>
  <c r="D15" i="106"/>
  <c r="B15" i="106"/>
  <c r="Z14" i="106"/>
  <c r="T14" i="106"/>
  <c r="X14" i="106" s="1"/>
  <c r="P14" i="106"/>
  <c r="H14" i="106"/>
  <c r="D14" i="106"/>
  <c r="B14" i="106"/>
  <c r="T13" i="106"/>
  <c r="P13" i="106"/>
  <c r="X13" i="106" s="1"/>
  <c r="Z13" i="106" s="1"/>
  <c r="L13" i="106"/>
  <c r="N13" i="106" s="1"/>
  <c r="H13" i="106"/>
  <c r="D13" i="106"/>
  <c r="B13" i="106"/>
  <c r="T12" i="106"/>
  <c r="V73" i="106" s="1"/>
  <c r="H12" i="106"/>
  <c r="J61" i="106" s="1"/>
  <c r="D12" i="106"/>
  <c r="F73" i="106" s="1"/>
  <c r="D6" i="106"/>
  <c r="D4" i="106"/>
  <c r="X51" i="105"/>
  <c r="Z51" i="105" s="1"/>
  <c r="L51" i="105"/>
  <c r="N51" i="105" s="1"/>
  <c r="Z47" i="105"/>
  <c r="T47" i="105"/>
  <c r="P47" i="105"/>
  <c r="X47" i="105" s="1"/>
  <c r="H47" i="105"/>
  <c r="N47" i="105" s="1"/>
  <c r="D47" i="105"/>
  <c r="Z45" i="105"/>
  <c r="X45" i="105"/>
  <c r="L45" i="105"/>
  <c r="N45" i="105" s="1"/>
  <c r="B45" i="105"/>
  <c r="Z44" i="105"/>
  <c r="T44" i="105"/>
  <c r="P44" i="105"/>
  <c r="X44" i="105" s="1"/>
  <c r="H44" i="105"/>
  <c r="N44" i="105" s="1"/>
  <c r="D44" i="105"/>
  <c r="L44" i="105" s="1"/>
  <c r="B44" i="105"/>
  <c r="Z43" i="105"/>
  <c r="X43" i="105"/>
  <c r="N43" i="105"/>
  <c r="L43" i="105"/>
  <c r="B43" i="105"/>
  <c r="X42" i="105"/>
  <c r="Z42" i="105" s="1"/>
  <c r="L42" i="105"/>
  <c r="N42" i="105" s="1"/>
  <c r="B42" i="105"/>
  <c r="X41" i="105"/>
  <c r="Z41" i="105" s="1"/>
  <c r="L41" i="105"/>
  <c r="N41" i="105" s="1"/>
  <c r="B41" i="105"/>
  <c r="X40" i="105"/>
  <c r="Z40" i="105" s="1"/>
  <c r="L40" i="105"/>
  <c r="N40" i="105" s="1"/>
  <c r="B40" i="105"/>
  <c r="V39" i="105"/>
  <c r="T39" i="105"/>
  <c r="P39" i="105"/>
  <c r="X39" i="105" s="1"/>
  <c r="H39" i="105"/>
  <c r="N39" i="105" s="1"/>
  <c r="D39" i="105"/>
  <c r="L39" i="105" s="1"/>
  <c r="B39" i="105"/>
  <c r="X38" i="105"/>
  <c r="Z38" i="105" s="1"/>
  <c r="N38" i="105"/>
  <c r="L38" i="105"/>
  <c r="B38" i="105"/>
  <c r="X37" i="105"/>
  <c r="Z37" i="105" s="1"/>
  <c r="T37" i="105"/>
  <c r="P37" i="105"/>
  <c r="H37" i="105"/>
  <c r="D37" i="105"/>
  <c r="L37" i="105" s="1"/>
  <c r="N37" i="105" s="1"/>
  <c r="B37" i="105"/>
  <c r="Z36" i="105"/>
  <c r="X36" i="105"/>
  <c r="L36" i="105"/>
  <c r="N36" i="105" s="1"/>
  <c r="B36" i="105"/>
  <c r="V35" i="105"/>
  <c r="T35" i="105"/>
  <c r="P35" i="105"/>
  <c r="N35" i="105"/>
  <c r="H35" i="105"/>
  <c r="L35" i="105" s="1"/>
  <c r="D35" i="105"/>
  <c r="B35" i="105"/>
  <c r="X34" i="105"/>
  <c r="Z34" i="105" s="1"/>
  <c r="L34" i="105"/>
  <c r="N34" i="105" s="1"/>
  <c r="B34" i="105"/>
  <c r="T33" i="105"/>
  <c r="Z33" i="105" s="1"/>
  <c r="P33" i="105"/>
  <c r="X33" i="105" s="1"/>
  <c r="H33" i="105"/>
  <c r="D33" i="105"/>
  <c r="L33" i="105" s="1"/>
  <c r="B33" i="105"/>
  <c r="X32" i="105"/>
  <c r="Z32" i="105" s="1"/>
  <c r="N32" i="105"/>
  <c r="L32" i="105"/>
  <c r="B32" i="105"/>
  <c r="X31" i="105"/>
  <c r="Z31" i="105" s="1"/>
  <c r="T31" i="105"/>
  <c r="P31" i="105"/>
  <c r="L31" i="105"/>
  <c r="N31" i="105" s="1"/>
  <c r="H31" i="105"/>
  <c r="D31" i="105"/>
  <c r="B31" i="105"/>
  <c r="Z30" i="105"/>
  <c r="X30" i="105"/>
  <c r="L30" i="105"/>
  <c r="N30" i="105" s="1"/>
  <c r="B30" i="105"/>
  <c r="X29" i="105"/>
  <c r="Z29" i="105" s="1"/>
  <c r="L29" i="105"/>
  <c r="N29" i="105" s="1"/>
  <c r="F29" i="105"/>
  <c r="B29" i="105"/>
  <c r="T28" i="105"/>
  <c r="P28" i="105"/>
  <c r="H28" i="105"/>
  <c r="D28" i="105"/>
  <c r="L28" i="105" s="1"/>
  <c r="N28" i="105" s="1"/>
  <c r="B28" i="105"/>
  <c r="X27" i="105"/>
  <c r="Z27" i="105" s="1"/>
  <c r="N27" i="105"/>
  <c r="L27" i="105"/>
  <c r="B27" i="105"/>
  <c r="X26" i="105"/>
  <c r="Z26" i="105" s="1"/>
  <c r="N26" i="105"/>
  <c r="L26" i="105"/>
  <c r="B26" i="105"/>
  <c r="X25" i="105"/>
  <c r="Z25" i="105" s="1"/>
  <c r="L25" i="105"/>
  <c r="N25" i="105" s="1"/>
  <c r="F25" i="105"/>
  <c r="B25" i="105"/>
  <c r="X24" i="105"/>
  <c r="Z24" i="105" s="1"/>
  <c r="T24" i="105"/>
  <c r="P24" i="105"/>
  <c r="H24" i="105"/>
  <c r="F24" i="105"/>
  <c r="D24" i="105"/>
  <c r="L24" i="105" s="1"/>
  <c r="B24" i="105"/>
  <c r="T23" i="105"/>
  <c r="Z23" i="105" s="1"/>
  <c r="P23" i="105"/>
  <c r="X23" i="105" s="1"/>
  <c r="H23" i="105"/>
  <c r="D23" i="105"/>
  <c r="L23" i="105" s="1"/>
  <c r="D21" i="105"/>
  <c r="D49" i="105" s="1"/>
  <c r="Z19" i="105"/>
  <c r="X19" i="105"/>
  <c r="N19" i="105"/>
  <c r="L19" i="105"/>
  <c r="B19" i="105"/>
  <c r="Z18" i="105"/>
  <c r="X18" i="105"/>
  <c r="L18" i="105"/>
  <c r="N18" i="105" s="1"/>
  <c r="B18" i="105"/>
  <c r="T17" i="105"/>
  <c r="P17" i="105"/>
  <c r="X17" i="105" s="1"/>
  <c r="H17" i="105"/>
  <c r="D17" i="105"/>
  <c r="L17" i="105" s="1"/>
  <c r="T15" i="105"/>
  <c r="Z15" i="105" s="1"/>
  <c r="P15" i="105"/>
  <c r="X15" i="105" s="1"/>
  <c r="L15" i="105"/>
  <c r="H15" i="105"/>
  <c r="N15" i="105" s="1"/>
  <c r="D15" i="105"/>
  <c r="B15" i="105"/>
  <c r="Z14" i="105"/>
  <c r="X14" i="105"/>
  <c r="T14" i="105"/>
  <c r="P14" i="105"/>
  <c r="H14" i="105"/>
  <c r="H12" i="105" s="1"/>
  <c r="D14" i="105"/>
  <c r="B14" i="105"/>
  <c r="T13" i="105"/>
  <c r="P13" i="105"/>
  <c r="X13" i="105" s="1"/>
  <c r="Z13" i="105" s="1"/>
  <c r="H13" i="105"/>
  <c r="D13" i="105"/>
  <c r="L13" i="105" s="1"/>
  <c r="N13" i="105" s="1"/>
  <c r="B13" i="105"/>
  <c r="T12" i="105"/>
  <c r="D12" i="105"/>
  <c r="F31" i="105" s="1"/>
  <c r="D6" i="105"/>
  <c r="D4" i="105"/>
  <c r="X83" i="104"/>
  <c r="Z83" i="104" s="1"/>
  <c r="N83" i="104"/>
  <c r="L83" i="104"/>
  <c r="T79" i="104"/>
  <c r="Z79" i="104" s="1"/>
  <c r="P79" i="104"/>
  <c r="X79" i="104" s="1"/>
  <c r="N79" i="104"/>
  <c r="H79" i="104"/>
  <c r="D79" i="104"/>
  <c r="L79" i="104" s="1"/>
  <c r="Z77" i="104"/>
  <c r="X77" i="104"/>
  <c r="L77" i="104"/>
  <c r="N77" i="104" s="1"/>
  <c r="B77" i="104"/>
  <c r="Z76" i="104"/>
  <c r="X76" i="104"/>
  <c r="N76" i="104"/>
  <c r="L76" i="104"/>
  <c r="B76" i="104"/>
  <c r="T75" i="104"/>
  <c r="P75" i="104"/>
  <c r="X75" i="104" s="1"/>
  <c r="Z75" i="104" s="1"/>
  <c r="H75" i="104"/>
  <c r="D75" i="104"/>
  <c r="L75" i="104" s="1"/>
  <c r="B75" i="104"/>
  <c r="X74" i="104"/>
  <c r="Z74" i="104" s="1"/>
  <c r="L74" i="104"/>
  <c r="N74" i="104" s="1"/>
  <c r="B74" i="104"/>
  <c r="X73" i="104"/>
  <c r="T73" i="104"/>
  <c r="Z73" i="104" s="1"/>
  <c r="P73" i="104"/>
  <c r="H73" i="104"/>
  <c r="D73" i="104"/>
  <c r="L73" i="104" s="1"/>
  <c r="B73" i="104"/>
  <c r="X72" i="104"/>
  <c r="Z72" i="104" s="1"/>
  <c r="N72" i="104"/>
  <c r="L72" i="104"/>
  <c r="B72" i="104"/>
  <c r="X71" i="104"/>
  <c r="T71" i="104"/>
  <c r="Z71" i="104" s="1"/>
  <c r="P71" i="104"/>
  <c r="H71" i="104"/>
  <c r="D71" i="104"/>
  <c r="L71" i="104" s="1"/>
  <c r="N71" i="104" s="1"/>
  <c r="B71" i="104"/>
  <c r="Z70" i="104"/>
  <c r="X70" i="104"/>
  <c r="N70" i="104"/>
  <c r="L70" i="104"/>
  <c r="B70" i="104"/>
  <c r="X69" i="104"/>
  <c r="Z69" i="104" s="1"/>
  <c r="L69" i="104"/>
  <c r="N69" i="104" s="1"/>
  <c r="B69" i="104"/>
  <c r="Z68" i="104"/>
  <c r="X68" i="104"/>
  <c r="N68" i="104"/>
  <c r="L68" i="104"/>
  <c r="B68" i="104"/>
  <c r="Z67" i="104"/>
  <c r="X67" i="104"/>
  <c r="L67" i="104"/>
  <c r="N67" i="104" s="1"/>
  <c r="B67" i="104"/>
  <c r="Z66" i="104"/>
  <c r="X66" i="104"/>
  <c r="L66" i="104"/>
  <c r="N66" i="104" s="1"/>
  <c r="B66" i="104"/>
  <c r="X65" i="104"/>
  <c r="Z65" i="104" s="1"/>
  <c r="L65" i="104"/>
  <c r="N65" i="104" s="1"/>
  <c r="B65" i="104"/>
  <c r="T64" i="104"/>
  <c r="P64" i="104"/>
  <c r="X64" i="104" s="1"/>
  <c r="H64" i="104"/>
  <c r="D64" i="104"/>
  <c r="L64" i="104" s="1"/>
  <c r="B64" i="104"/>
  <c r="X63" i="104"/>
  <c r="Z63" i="104" s="1"/>
  <c r="L63" i="104"/>
  <c r="N63" i="104" s="1"/>
  <c r="B63" i="104"/>
  <c r="X62" i="104"/>
  <c r="Z62" i="104" s="1"/>
  <c r="N62" i="104"/>
  <c r="L62" i="104"/>
  <c r="B62" i="104"/>
  <c r="X61" i="104"/>
  <c r="Z61" i="104" s="1"/>
  <c r="N61" i="104"/>
  <c r="L61" i="104"/>
  <c r="B61" i="104"/>
  <c r="T60" i="104"/>
  <c r="P60" i="104"/>
  <c r="X60" i="104" s="1"/>
  <c r="H60" i="104"/>
  <c r="N60" i="104" s="1"/>
  <c r="D60" i="104"/>
  <c r="L60" i="104" s="1"/>
  <c r="B60" i="104"/>
  <c r="X59" i="104"/>
  <c r="Z59" i="104" s="1"/>
  <c r="N59" i="104"/>
  <c r="L59" i="104"/>
  <c r="B59" i="104"/>
  <c r="X58" i="104"/>
  <c r="T58" i="104"/>
  <c r="Z58" i="104" s="1"/>
  <c r="P58" i="104"/>
  <c r="L58" i="104"/>
  <c r="H58" i="104"/>
  <c r="N58" i="104" s="1"/>
  <c r="D58" i="104"/>
  <c r="B58" i="104"/>
  <c r="Z57" i="104"/>
  <c r="X57" i="104"/>
  <c r="L57" i="104"/>
  <c r="N57" i="104" s="1"/>
  <c r="B57" i="104"/>
  <c r="T56" i="104"/>
  <c r="Z56" i="104" s="1"/>
  <c r="P56" i="104"/>
  <c r="X56" i="104" s="1"/>
  <c r="H56" i="104"/>
  <c r="D56" i="104"/>
  <c r="B56" i="104"/>
  <c r="X55" i="104"/>
  <c r="Z55" i="104" s="1"/>
  <c r="N55" i="104"/>
  <c r="L55" i="104"/>
  <c r="B55" i="104"/>
  <c r="T54" i="104"/>
  <c r="P54" i="104"/>
  <c r="X54" i="104" s="1"/>
  <c r="H54" i="104"/>
  <c r="N54" i="104" s="1"/>
  <c r="D54" i="104"/>
  <c r="L54" i="104" s="1"/>
  <c r="B54" i="104"/>
  <c r="Z53" i="104"/>
  <c r="X53" i="104"/>
  <c r="N53" i="104"/>
  <c r="L53" i="104"/>
  <c r="B53" i="104"/>
  <c r="X52" i="104"/>
  <c r="T52" i="104"/>
  <c r="Z52" i="104" s="1"/>
  <c r="P52" i="104"/>
  <c r="L52" i="104"/>
  <c r="H52" i="104"/>
  <c r="N52" i="104" s="1"/>
  <c r="D52" i="104"/>
  <c r="B52" i="104"/>
  <c r="Z51" i="104"/>
  <c r="X51" i="104"/>
  <c r="N51" i="104"/>
  <c r="L51" i="104"/>
  <c r="B51" i="104"/>
  <c r="T50" i="104"/>
  <c r="Z50" i="104" s="1"/>
  <c r="P50" i="104"/>
  <c r="X50" i="104" s="1"/>
  <c r="H50" i="104"/>
  <c r="N50" i="104" s="1"/>
  <c r="D50" i="104"/>
  <c r="L50" i="104" s="1"/>
  <c r="B50" i="104"/>
  <c r="Z49" i="104"/>
  <c r="X49" i="104"/>
  <c r="N49" i="104"/>
  <c r="L49" i="104"/>
  <c r="B49" i="104"/>
  <c r="T48" i="104"/>
  <c r="P48" i="104"/>
  <c r="X48" i="104" s="1"/>
  <c r="H48" i="104"/>
  <c r="N48" i="104" s="1"/>
  <c r="D48" i="104"/>
  <c r="L48" i="104" s="1"/>
  <c r="B48" i="104"/>
  <c r="Z47" i="104"/>
  <c r="X47" i="104"/>
  <c r="N47" i="104"/>
  <c r="L47" i="104"/>
  <c r="B47" i="104"/>
  <c r="X46" i="104"/>
  <c r="T46" i="104"/>
  <c r="Z46" i="104" s="1"/>
  <c r="P46" i="104"/>
  <c r="L46" i="104"/>
  <c r="H46" i="104"/>
  <c r="N46" i="104" s="1"/>
  <c r="D46" i="104"/>
  <c r="B46" i="104"/>
  <c r="Z45" i="104"/>
  <c r="X45" i="104"/>
  <c r="N45" i="104"/>
  <c r="L45" i="104"/>
  <c r="B45" i="104"/>
  <c r="T44" i="104"/>
  <c r="X44" i="104" s="1"/>
  <c r="P44" i="104"/>
  <c r="H44" i="104"/>
  <c r="D44" i="104"/>
  <c r="L44" i="104" s="1"/>
  <c r="B44" i="104"/>
  <c r="Z43" i="104"/>
  <c r="X43" i="104"/>
  <c r="N43" i="104"/>
  <c r="L43" i="104"/>
  <c r="B43" i="104"/>
  <c r="T42" i="104"/>
  <c r="P42" i="104"/>
  <c r="X42" i="104" s="1"/>
  <c r="H42" i="104"/>
  <c r="N42" i="104" s="1"/>
  <c r="D42" i="104"/>
  <c r="L42" i="104" s="1"/>
  <c r="B42" i="104"/>
  <c r="Z41" i="104"/>
  <c r="X41" i="104"/>
  <c r="N41" i="104"/>
  <c r="L41" i="104"/>
  <c r="B41" i="104"/>
  <c r="X40" i="104"/>
  <c r="Z40" i="104" s="1"/>
  <c r="L40" i="104"/>
  <c r="N40" i="104" s="1"/>
  <c r="B40" i="104"/>
  <c r="Z39" i="104"/>
  <c r="X39" i="104"/>
  <c r="N39" i="104"/>
  <c r="L39" i="104"/>
  <c r="B39" i="104"/>
  <c r="X38" i="104"/>
  <c r="Z38" i="104" s="1"/>
  <c r="L38" i="104"/>
  <c r="N38" i="104" s="1"/>
  <c r="F38" i="104"/>
  <c r="B38" i="104"/>
  <c r="Z37" i="104"/>
  <c r="X37" i="104"/>
  <c r="N37" i="104"/>
  <c r="L37" i="104"/>
  <c r="B37" i="104"/>
  <c r="X36" i="104"/>
  <c r="Z36" i="104" s="1"/>
  <c r="L36" i="104"/>
  <c r="N36" i="104" s="1"/>
  <c r="B36" i="104"/>
  <c r="T35" i="104"/>
  <c r="P35" i="104"/>
  <c r="X35" i="104" s="1"/>
  <c r="H35" i="104"/>
  <c r="D35" i="104"/>
  <c r="L35" i="104" s="1"/>
  <c r="N35" i="104" s="1"/>
  <c r="B35" i="104"/>
  <c r="X34" i="104"/>
  <c r="Z34" i="104" s="1"/>
  <c r="N34" i="104"/>
  <c r="L34" i="104"/>
  <c r="B34" i="104"/>
  <c r="Z33" i="104"/>
  <c r="X33" i="104"/>
  <c r="N33" i="104"/>
  <c r="L33" i="104"/>
  <c r="B33" i="104"/>
  <c r="X32" i="104"/>
  <c r="Z32" i="104" s="1"/>
  <c r="L32" i="104"/>
  <c r="N32" i="104" s="1"/>
  <c r="B32" i="104"/>
  <c r="Z31" i="104"/>
  <c r="X31" i="104"/>
  <c r="L31" i="104"/>
  <c r="N31" i="104" s="1"/>
  <c r="B31" i="104"/>
  <c r="X30" i="104"/>
  <c r="Z30" i="104" s="1"/>
  <c r="L30" i="104"/>
  <c r="N30" i="104" s="1"/>
  <c r="B30" i="104"/>
  <c r="Z29" i="104"/>
  <c r="X29" i="104"/>
  <c r="N29" i="104"/>
  <c r="L29" i="104"/>
  <c r="J29" i="104"/>
  <c r="B29" i="104"/>
  <c r="Z28" i="104"/>
  <c r="X28" i="104"/>
  <c r="L28" i="104"/>
  <c r="N28" i="104" s="1"/>
  <c r="B28" i="104"/>
  <c r="Z27" i="104"/>
  <c r="X27" i="104"/>
  <c r="N27" i="104"/>
  <c r="L27" i="104"/>
  <c r="B27" i="104"/>
  <c r="X26" i="104"/>
  <c r="Z26" i="104" s="1"/>
  <c r="R26" i="104"/>
  <c r="L26" i="104"/>
  <c r="N26" i="104" s="1"/>
  <c r="B26" i="104"/>
  <c r="T25" i="104"/>
  <c r="P25" i="104"/>
  <c r="X25" i="104" s="1"/>
  <c r="Z25" i="104" s="1"/>
  <c r="H25" i="104"/>
  <c r="D25" i="104"/>
  <c r="L25" i="104" s="1"/>
  <c r="N25" i="104" s="1"/>
  <c r="B25" i="104"/>
  <c r="T24" i="104"/>
  <c r="Z24" i="104" s="1"/>
  <c r="P24" i="104"/>
  <c r="X24" i="104" s="1"/>
  <c r="H24" i="104"/>
  <c r="D24" i="104"/>
  <c r="L24" i="104" s="1"/>
  <c r="X20" i="104"/>
  <c r="Z20" i="104" s="1"/>
  <c r="L20" i="104"/>
  <c r="N20" i="104" s="1"/>
  <c r="B20" i="104"/>
  <c r="Z19" i="104"/>
  <c r="X19" i="104"/>
  <c r="N19" i="104"/>
  <c r="L19" i="104"/>
  <c r="B19" i="104"/>
  <c r="T18" i="104"/>
  <c r="Z18" i="104" s="1"/>
  <c r="P18" i="104"/>
  <c r="X18" i="104" s="1"/>
  <c r="H18" i="104"/>
  <c r="D18" i="104"/>
  <c r="T16" i="104"/>
  <c r="P16" i="104"/>
  <c r="X16" i="104" s="1"/>
  <c r="N16" i="104"/>
  <c r="L16" i="104"/>
  <c r="H16" i="104"/>
  <c r="D16" i="104"/>
  <c r="B16" i="104"/>
  <c r="T15" i="104"/>
  <c r="P15" i="104"/>
  <c r="H15" i="104"/>
  <c r="D15" i="104"/>
  <c r="L15" i="104" s="1"/>
  <c r="B15" i="104"/>
  <c r="T14" i="104"/>
  <c r="P14" i="104"/>
  <c r="P12" i="104" s="1"/>
  <c r="R35" i="104" s="1"/>
  <c r="L14" i="104"/>
  <c r="H14" i="104"/>
  <c r="D14" i="104"/>
  <c r="B14" i="104"/>
  <c r="T13" i="104"/>
  <c r="P13" i="104"/>
  <c r="H13" i="104"/>
  <c r="H12" i="104" s="1"/>
  <c r="D13" i="104"/>
  <c r="B13" i="104"/>
  <c r="D12" i="104"/>
  <c r="D6" i="104"/>
  <c r="D4" i="104"/>
  <c r="Z50" i="103"/>
  <c r="X50" i="103"/>
  <c r="N50" i="103"/>
  <c r="L50" i="103"/>
  <c r="T46" i="103"/>
  <c r="Z46" i="103" s="1"/>
  <c r="P46" i="103"/>
  <c r="X46" i="103" s="1"/>
  <c r="H46" i="103"/>
  <c r="N46" i="103" s="1"/>
  <c r="D46" i="103"/>
  <c r="L46" i="103" s="1"/>
  <c r="X44" i="103"/>
  <c r="Z44" i="103" s="1"/>
  <c r="N44" i="103"/>
  <c r="L44" i="103"/>
  <c r="B44" i="103"/>
  <c r="T43" i="103"/>
  <c r="P43" i="103"/>
  <c r="X43" i="103" s="1"/>
  <c r="Z43" i="103" s="1"/>
  <c r="N43" i="103"/>
  <c r="J43" i="103"/>
  <c r="H43" i="103"/>
  <c r="D43" i="103"/>
  <c r="L43" i="103" s="1"/>
  <c r="B43" i="103"/>
  <c r="X42" i="103"/>
  <c r="Z42" i="103" s="1"/>
  <c r="N42" i="103"/>
  <c r="L42" i="103"/>
  <c r="F42" i="103"/>
  <c r="B42" i="103"/>
  <c r="X41" i="103"/>
  <c r="T41" i="103"/>
  <c r="Z41" i="103" s="1"/>
  <c r="P41" i="103"/>
  <c r="H41" i="103"/>
  <c r="N41" i="103" s="1"/>
  <c r="F41" i="103"/>
  <c r="D41" i="103"/>
  <c r="L41" i="103" s="1"/>
  <c r="B41" i="103"/>
  <c r="X40" i="103"/>
  <c r="Z40" i="103" s="1"/>
  <c r="L40" i="103"/>
  <c r="N40" i="103" s="1"/>
  <c r="B40" i="103"/>
  <c r="T39" i="103"/>
  <c r="X39" i="103" s="1"/>
  <c r="Z39" i="103" s="1"/>
  <c r="P39" i="103"/>
  <c r="H39" i="103"/>
  <c r="D39" i="103"/>
  <c r="L39" i="103" s="1"/>
  <c r="N39" i="103" s="1"/>
  <c r="B39" i="103"/>
  <c r="Z38" i="103"/>
  <c r="X38" i="103"/>
  <c r="N38" i="103"/>
  <c r="L38" i="103"/>
  <c r="B38" i="103"/>
  <c r="Z37" i="103"/>
  <c r="X37" i="103"/>
  <c r="V37" i="103"/>
  <c r="L37" i="103"/>
  <c r="N37" i="103" s="1"/>
  <c r="B37" i="103"/>
  <c r="T36" i="103"/>
  <c r="Z36" i="103" s="1"/>
  <c r="P36" i="103"/>
  <c r="X36" i="103" s="1"/>
  <c r="H36" i="103"/>
  <c r="D36" i="103"/>
  <c r="L36" i="103" s="1"/>
  <c r="B36" i="103"/>
  <c r="Z35" i="103"/>
  <c r="X35" i="103"/>
  <c r="N35" i="103"/>
  <c r="L35" i="103"/>
  <c r="B35" i="103"/>
  <c r="X34" i="103"/>
  <c r="T34" i="103"/>
  <c r="Z34" i="103" s="1"/>
  <c r="P34" i="103"/>
  <c r="L34" i="103"/>
  <c r="H34" i="103"/>
  <c r="N34" i="103" s="1"/>
  <c r="D34" i="103"/>
  <c r="B34" i="103"/>
  <c r="Z33" i="103"/>
  <c r="X33" i="103"/>
  <c r="N33" i="103"/>
  <c r="L33" i="103"/>
  <c r="J33" i="103"/>
  <c r="B33" i="103"/>
  <c r="T32" i="103"/>
  <c r="X32" i="103" s="1"/>
  <c r="P32" i="103"/>
  <c r="H32" i="103"/>
  <c r="D32" i="103"/>
  <c r="B32" i="103"/>
  <c r="Z31" i="103"/>
  <c r="X31" i="103"/>
  <c r="V31" i="103"/>
  <c r="N31" i="103"/>
  <c r="L31" i="103"/>
  <c r="B31" i="103"/>
  <c r="T30" i="103"/>
  <c r="Z30" i="103" s="1"/>
  <c r="P30" i="103"/>
  <c r="X30" i="103" s="1"/>
  <c r="H30" i="103"/>
  <c r="N30" i="103" s="1"/>
  <c r="D30" i="103"/>
  <c r="L30" i="103" s="1"/>
  <c r="B30" i="103"/>
  <c r="Z29" i="103"/>
  <c r="X29" i="103"/>
  <c r="N29" i="103"/>
  <c r="L29" i="103"/>
  <c r="B29" i="103"/>
  <c r="X28" i="103"/>
  <c r="T28" i="103"/>
  <c r="Z28" i="103" s="1"/>
  <c r="P28" i="103"/>
  <c r="H28" i="103"/>
  <c r="D28" i="103"/>
  <c r="L28" i="103" s="1"/>
  <c r="N28" i="103" s="1"/>
  <c r="B28" i="103"/>
  <c r="Z27" i="103"/>
  <c r="X27" i="103"/>
  <c r="N27" i="103"/>
  <c r="L27" i="103"/>
  <c r="J27" i="103"/>
  <c r="B27" i="103"/>
  <c r="X26" i="103"/>
  <c r="Z26" i="103" s="1"/>
  <c r="R26" i="103"/>
  <c r="L26" i="103"/>
  <c r="N26" i="103" s="1"/>
  <c r="F26" i="103"/>
  <c r="B26" i="103"/>
  <c r="Z25" i="103"/>
  <c r="X25" i="103"/>
  <c r="N25" i="103"/>
  <c r="L25" i="103"/>
  <c r="J25" i="103"/>
  <c r="B25" i="103"/>
  <c r="X24" i="103"/>
  <c r="Z24" i="103" s="1"/>
  <c r="L24" i="103"/>
  <c r="N24" i="103" s="1"/>
  <c r="F24" i="103"/>
  <c r="B24" i="103"/>
  <c r="Z23" i="103"/>
  <c r="X23" i="103"/>
  <c r="N23" i="103"/>
  <c r="L23" i="103"/>
  <c r="J23" i="103"/>
  <c r="B23" i="103"/>
  <c r="X22" i="103"/>
  <c r="Z22" i="103" s="1"/>
  <c r="R22" i="103"/>
  <c r="L22" i="103"/>
  <c r="N22" i="103" s="1"/>
  <c r="F22" i="103"/>
  <c r="B22" i="103"/>
  <c r="Z21" i="103"/>
  <c r="X21" i="103"/>
  <c r="N21" i="103"/>
  <c r="L21" i="103"/>
  <c r="J21" i="103"/>
  <c r="B21" i="103"/>
  <c r="X20" i="103"/>
  <c r="Z20" i="103" s="1"/>
  <c r="N20" i="103"/>
  <c r="L20" i="103"/>
  <c r="F20" i="103"/>
  <c r="B20" i="103"/>
  <c r="V19" i="103"/>
  <c r="T19" i="103"/>
  <c r="P19" i="103"/>
  <c r="X19" i="103" s="1"/>
  <c r="Z19" i="103" s="1"/>
  <c r="H19" i="103"/>
  <c r="F19" i="103"/>
  <c r="D19" i="103"/>
  <c r="L19" i="103" s="1"/>
  <c r="N19" i="103" s="1"/>
  <c r="B19" i="103"/>
  <c r="T18" i="103"/>
  <c r="P18" i="103"/>
  <c r="X18" i="103" s="1"/>
  <c r="H18" i="103"/>
  <c r="F18" i="103"/>
  <c r="D18" i="103"/>
  <c r="L18" i="103" s="1"/>
  <c r="H16" i="103"/>
  <c r="F16" i="103"/>
  <c r="T14" i="103"/>
  <c r="Z14" i="103" s="1"/>
  <c r="P14" i="103"/>
  <c r="H14" i="103"/>
  <c r="N14" i="103" s="1"/>
  <c r="F14" i="103"/>
  <c r="D14" i="103"/>
  <c r="L14" i="103" s="1"/>
  <c r="Z12" i="103"/>
  <c r="T12" i="103"/>
  <c r="V41" i="103" s="1"/>
  <c r="P12" i="103"/>
  <c r="P16" i="103" s="1"/>
  <c r="N12" i="103"/>
  <c r="L12" i="103"/>
  <c r="H12" i="103"/>
  <c r="J37" i="103" s="1"/>
  <c r="D12" i="103"/>
  <c r="F48" i="103" s="1"/>
  <c r="D6" i="103"/>
  <c r="D4" i="103"/>
  <c r="X81" i="102"/>
  <c r="Z81" i="102" s="1"/>
  <c r="R81" i="102"/>
  <c r="L81" i="102"/>
  <c r="N81" i="102" s="1"/>
  <c r="T77" i="102"/>
  <c r="P77" i="102"/>
  <c r="H77" i="102"/>
  <c r="D77" i="102"/>
  <c r="B77" i="102"/>
  <c r="Z74" i="102"/>
  <c r="X74" i="102"/>
  <c r="R74" i="102"/>
  <c r="N74" i="102"/>
  <c r="L74" i="102"/>
  <c r="B74" i="102"/>
  <c r="T73" i="102"/>
  <c r="P73" i="102"/>
  <c r="N73" i="102"/>
  <c r="L73" i="102"/>
  <c r="H73" i="102"/>
  <c r="D73" i="102"/>
  <c r="B73" i="102"/>
  <c r="Z72" i="102"/>
  <c r="X72" i="102"/>
  <c r="N72" i="102"/>
  <c r="L72" i="102"/>
  <c r="B72" i="102"/>
  <c r="T71" i="102"/>
  <c r="P71" i="102"/>
  <c r="X71" i="102" s="1"/>
  <c r="Z71" i="102" s="1"/>
  <c r="N71" i="102"/>
  <c r="H71" i="102"/>
  <c r="D71" i="102"/>
  <c r="L71" i="102" s="1"/>
  <c r="B71" i="102"/>
  <c r="X70" i="102"/>
  <c r="Z70" i="102" s="1"/>
  <c r="N70" i="102"/>
  <c r="L70" i="102"/>
  <c r="F70" i="102"/>
  <c r="B70" i="102"/>
  <c r="X69" i="102"/>
  <c r="T69" i="102"/>
  <c r="Z69" i="102" s="1"/>
  <c r="P69" i="102"/>
  <c r="L69" i="102"/>
  <c r="H69" i="102"/>
  <c r="N69" i="102" s="1"/>
  <c r="F69" i="102"/>
  <c r="D69" i="102"/>
  <c r="B69" i="102"/>
  <c r="Z68" i="102"/>
  <c r="X68" i="102"/>
  <c r="N68" i="102"/>
  <c r="L68" i="102"/>
  <c r="B68" i="102"/>
  <c r="Z67" i="102"/>
  <c r="X67" i="102"/>
  <c r="N67" i="102"/>
  <c r="L67" i="102"/>
  <c r="B67" i="102"/>
  <c r="Z66" i="102"/>
  <c r="X66" i="102"/>
  <c r="R66" i="102"/>
  <c r="N66" i="102"/>
  <c r="L66" i="102"/>
  <c r="B66" i="102"/>
  <c r="Z65" i="102"/>
  <c r="X65" i="102"/>
  <c r="R65" i="102"/>
  <c r="N65" i="102"/>
  <c r="L65" i="102"/>
  <c r="J65" i="102"/>
  <c r="B65" i="102"/>
  <c r="Z64" i="102"/>
  <c r="X64" i="102"/>
  <c r="N64" i="102"/>
  <c r="L64" i="102"/>
  <c r="B64" i="102"/>
  <c r="Z63" i="102"/>
  <c r="X63" i="102"/>
  <c r="N63" i="102"/>
  <c r="L63" i="102"/>
  <c r="B63" i="102"/>
  <c r="Z62" i="102"/>
  <c r="T62" i="102"/>
  <c r="X62" i="102" s="1"/>
  <c r="P62" i="102"/>
  <c r="H62" i="102"/>
  <c r="N62" i="102" s="1"/>
  <c r="D62" i="102"/>
  <c r="L62" i="102" s="1"/>
  <c r="B62" i="102"/>
  <c r="Z61" i="102"/>
  <c r="X61" i="102"/>
  <c r="N61" i="102"/>
  <c r="L61" i="102"/>
  <c r="B61" i="102"/>
  <c r="X60" i="102"/>
  <c r="Z60" i="102" s="1"/>
  <c r="L60" i="102"/>
  <c r="N60" i="102" s="1"/>
  <c r="B60" i="102"/>
  <c r="T59" i="102"/>
  <c r="P59" i="102"/>
  <c r="X59" i="102" s="1"/>
  <c r="H59" i="102"/>
  <c r="D59" i="102"/>
  <c r="L59" i="102" s="1"/>
  <c r="N59" i="102" s="1"/>
  <c r="B59" i="102"/>
  <c r="X58" i="102"/>
  <c r="Z58" i="102" s="1"/>
  <c r="N58" i="102"/>
  <c r="L58" i="102"/>
  <c r="F58" i="102"/>
  <c r="B58" i="102"/>
  <c r="X57" i="102"/>
  <c r="T57" i="102"/>
  <c r="Z57" i="102" s="1"/>
  <c r="P57" i="102"/>
  <c r="L57" i="102"/>
  <c r="H57" i="102"/>
  <c r="N57" i="102" s="1"/>
  <c r="F57" i="102"/>
  <c r="D57" i="102"/>
  <c r="B57" i="102"/>
  <c r="Z56" i="102"/>
  <c r="X56" i="102"/>
  <c r="N56" i="102"/>
  <c r="L56" i="102"/>
  <c r="J56" i="102"/>
  <c r="B56" i="102"/>
  <c r="Z55" i="102"/>
  <c r="X55" i="102"/>
  <c r="N55" i="102"/>
  <c r="L55" i="102"/>
  <c r="B55" i="102"/>
  <c r="T54" i="102"/>
  <c r="P54" i="102"/>
  <c r="X54" i="102" s="1"/>
  <c r="H54" i="102"/>
  <c r="N54" i="102" s="1"/>
  <c r="D54" i="102"/>
  <c r="L54" i="102" s="1"/>
  <c r="B54" i="102"/>
  <c r="Z53" i="102"/>
  <c r="X53" i="102"/>
  <c r="N53" i="102"/>
  <c r="L53" i="102"/>
  <c r="B53" i="102"/>
  <c r="T52" i="102"/>
  <c r="Z52" i="102" s="1"/>
  <c r="P52" i="102"/>
  <c r="X52" i="102" s="1"/>
  <c r="H52" i="102"/>
  <c r="D52" i="102"/>
  <c r="L52" i="102" s="1"/>
  <c r="N52" i="102" s="1"/>
  <c r="B52" i="102"/>
  <c r="Z51" i="102"/>
  <c r="X51" i="102"/>
  <c r="N51" i="102"/>
  <c r="L51" i="102"/>
  <c r="B51" i="102"/>
  <c r="X50" i="102"/>
  <c r="T50" i="102"/>
  <c r="Z50" i="102" s="1"/>
  <c r="R50" i="102"/>
  <c r="P50" i="102"/>
  <c r="L50" i="102"/>
  <c r="H50" i="102"/>
  <c r="N50" i="102" s="1"/>
  <c r="D50" i="102"/>
  <c r="B50" i="102"/>
  <c r="Z49" i="102"/>
  <c r="X49" i="102"/>
  <c r="R49" i="102"/>
  <c r="N49" i="102"/>
  <c r="L49" i="102"/>
  <c r="J49" i="102"/>
  <c r="B49" i="102"/>
  <c r="T48" i="102"/>
  <c r="Z48" i="102" s="1"/>
  <c r="P48" i="102"/>
  <c r="X48" i="102" s="1"/>
  <c r="H48" i="102"/>
  <c r="N48" i="102" s="1"/>
  <c r="D48" i="102"/>
  <c r="B48" i="102"/>
  <c r="Z47" i="102"/>
  <c r="X47" i="102"/>
  <c r="N47" i="102"/>
  <c r="L47" i="102"/>
  <c r="B47" i="102"/>
  <c r="X46" i="102"/>
  <c r="T46" i="102"/>
  <c r="Z46" i="102" s="1"/>
  <c r="P46" i="102"/>
  <c r="H46" i="102"/>
  <c r="N46" i="102" s="1"/>
  <c r="D46" i="102"/>
  <c r="L46" i="102" s="1"/>
  <c r="B46" i="102"/>
  <c r="Z45" i="102"/>
  <c r="X45" i="102"/>
  <c r="N45" i="102"/>
  <c r="L45" i="102"/>
  <c r="F45" i="102"/>
  <c r="B45" i="102"/>
  <c r="X44" i="102"/>
  <c r="T44" i="102"/>
  <c r="P44" i="102"/>
  <c r="L44" i="102"/>
  <c r="H44" i="102"/>
  <c r="N44" i="102" s="1"/>
  <c r="F44" i="102"/>
  <c r="D44" i="102"/>
  <c r="B44" i="102"/>
  <c r="Z43" i="102"/>
  <c r="X43" i="102"/>
  <c r="N43" i="102"/>
  <c r="L43" i="102"/>
  <c r="B43" i="102"/>
  <c r="T42" i="102"/>
  <c r="Z42" i="102" s="1"/>
  <c r="P42" i="102"/>
  <c r="X42" i="102" s="1"/>
  <c r="H42" i="102"/>
  <c r="D42" i="102"/>
  <c r="L42" i="102" s="1"/>
  <c r="B42" i="102"/>
  <c r="Z41" i="102"/>
  <c r="X41" i="102"/>
  <c r="N41" i="102"/>
  <c r="L41" i="102"/>
  <c r="B41" i="102"/>
  <c r="T40" i="102"/>
  <c r="P40" i="102"/>
  <c r="X40" i="102" s="1"/>
  <c r="H40" i="102"/>
  <c r="D40" i="102"/>
  <c r="L40" i="102" s="1"/>
  <c r="B40" i="102"/>
  <c r="Z39" i="102"/>
  <c r="X39" i="102"/>
  <c r="N39" i="102"/>
  <c r="L39" i="102"/>
  <c r="B39" i="102"/>
  <c r="X38" i="102"/>
  <c r="Z38" i="102" s="1"/>
  <c r="N38" i="102"/>
  <c r="L38" i="102"/>
  <c r="F38" i="102"/>
  <c r="B38" i="102"/>
  <c r="Z37" i="102"/>
  <c r="X37" i="102"/>
  <c r="N37" i="102"/>
  <c r="L37" i="102"/>
  <c r="F37" i="102"/>
  <c r="B37" i="102"/>
  <c r="X36" i="102"/>
  <c r="Z36" i="102" s="1"/>
  <c r="L36" i="102"/>
  <c r="N36" i="102" s="1"/>
  <c r="B36" i="102"/>
  <c r="X35" i="102"/>
  <c r="Z35" i="102" s="1"/>
  <c r="N35" i="102"/>
  <c r="L35" i="102"/>
  <c r="B35" i="102"/>
  <c r="X34" i="102"/>
  <c r="T34" i="102"/>
  <c r="Z34" i="102" s="1"/>
  <c r="R34" i="102"/>
  <c r="P34" i="102"/>
  <c r="L34" i="102"/>
  <c r="H34" i="102"/>
  <c r="N34" i="102" s="1"/>
  <c r="D34" i="102"/>
  <c r="B34" i="102"/>
  <c r="Z33" i="102"/>
  <c r="X33" i="102"/>
  <c r="R33" i="102"/>
  <c r="N33" i="102"/>
  <c r="L33" i="102"/>
  <c r="B33" i="102"/>
  <c r="X32" i="102"/>
  <c r="Z32" i="102" s="1"/>
  <c r="L32" i="102"/>
  <c r="N32" i="102" s="1"/>
  <c r="J32" i="102"/>
  <c r="B32" i="102"/>
  <c r="Z31" i="102"/>
  <c r="X31" i="102"/>
  <c r="N31" i="102"/>
  <c r="L31" i="102"/>
  <c r="B31" i="102"/>
  <c r="Z30" i="102"/>
  <c r="X30" i="102"/>
  <c r="R30" i="102"/>
  <c r="L30" i="102"/>
  <c r="N30" i="102" s="1"/>
  <c r="B30" i="102"/>
  <c r="Z29" i="102"/>
  <c r="X29" i="102"/>
  <c r="R29" i="102"/>
  <c r="N29" i="102"/>
  <c r="L29" i="102"/>
  <c r="B29" i="102"/>
  <c r="X28" i="102"/>
  <c r="Z28" i="102" s="1"/>
  <c r="L28" i="102"/>
  <c r="N28" i="102" s="1"/>
  <c r="J28" i="102"/>
  <c r="B28" i="102"/>
  <c r="Z27" i="102"/>
  <c r="X27" i="102"/>
  <c r="N27" i="102"/>
  <c r="L27" i="102"/>
  <c r="B27" i="102"/>
  <c r="Z26" i="102"/>
  <c r="X26" i="102"/>
  <c r="R26" i="102"/>
  <c r="L26" i="102"/>
  <c r="N26" i="102" s="1"/>
  <c r="B26" i="102"/>
  <c r="T25" i="102"/>
  <c r="P25" i="102"/>
  <c r="X25" i="102" s="1"/>
  <c r="H25" i="102"/>
  <c r="D25" i="102"/>
  <c r="L25" i="102" s="1"/>
  <c r="N25" i="102" s="1"/>
  <c r="B25" i="102"/>
  <c r="T24" i="102"/>
  <c r="Z24" i="102" s="1"/>
  <c r="P24" i="102"/>
  <c r="X24" i="102" s="1"/>
  <c r="H24" i="102"/>
  <c r="N24" i="102" s="1"/>
  <c r="D24" i="102"/>
  <c r="L24" i="102" s="1"/>
  <c r="P22" i="102"/>
  <c r="X20" i="102"/>
  <c r="Z20" i="102" s="1"/>
  <c r="L20" i="102"/>
  <c r="N20" i="102" s="1"/>
  <c r="B20" i="102"/>
  <c r="Z19" i="102"/>
  <c r="X19" i="102"/>
  <c r="L19" i="102"/>
  <c r="N19" i="102" s="1"/>
  <c r="B19" i="102"/>
  <c r="T18" i="102"/>
  <c r="Z18" i="102" s="1"/>
  <c r="P18" i="102"/>
  <c r="X18" i="102" s="1"/>
  <c r="H18" i="102"/>
  <c r="D18" i="102"/>
  <c r="T16" i="102"/>
  <c r="P16" i="102"/>
  <c r="X16" i="102" s="1"/>
  <c r="L16" i="102"/>
  <c r="N16" i="102" s="1"/>
  <c r="H16" i="102"/>
  <c r="D16" i="102"/>
  <c r="B16" i="102"/>
  <c r="T15" i="102"/>
  <c r="P15" i="102"/>
  <c r="H15" i="102"/>
  <c r="N15" i="102" s="1"/>
  <c r="D15" i="102"/>
  <c r="L15" i="102" s="1"/>
  <c r="B15" i="102"/>
  <c r="T14" i="102"/>
  <c r="P14" i="102"/>
  <c r="X14" i="102" s="1"/>
  <c r="L14" i="102"/>
  <c r="N14" i="102" s="1"/>
  <c r="H14" i="102"/>
  <c r="D14" i="102"/>
  <c r="B14" i="102"/>
  <c r="T13" i="102"/>
  <c r="T12" i="102" s="1"/>
  <c r="P13" i="102"/>
  <c r="L13" i="102"/>
  <c r="H13" i="102"/>
  <c r="H12" i="102" s="1"/>
  <c r="J33" i="102" s="1"/>
  <c r="D13" i="102"/>
  <c r="B13" i="102"/>
  <c r="P12" i="102"/>
  <c r="R46" i="102" s="1"/>
  <c r="D12" i="102"/>
  <c r="F68" i="102" s="1"/>
  <c r="D6" i="102"/>
  <c r="D4" i="102"/>
  <c r="F66" i="101"/>
  <c r="F63" i="101"/>
  <c r="X61" i="101"/>
  <c r="Z61" i="101" s="1"/>
  <c r="L61" i="101"/>
  <c r="N61" i="101" s="1"/>
  <c r="T57" i="101"/>
  <c r="Z57" i="101" s="1"/>
  <c r="P57" i="101"/>
  <c r="H57" i="101"/>
  <c r="N57" i="101" s="1"/>
  <c r="D57" i="101"/>
  <c r="L57" i="101" s="1"/>
  <c r="B57" i="101"/>
  <c r="X54" i="101"/>
  <c r="Z54" i="101" s="1"/>
  <c r="N54" i="101"/>
  <c r="L54" i="101"/>
  <c r="B54" i="101"/>
  <c r="X53" i="101"/>
  <c r="T53" i="101"/>
  <c r="Z53" i="101" s="1"/>
  <c r="R53" i="101"/>
  <c r="P53" i="101"/>
  <c r="L53" i="101"/>
  <c r="H53" i="101"/>
  <c r="N53" i="101" s="1"/>
  <c r="D53" i="101"/>
  <c r="B53" i="101"/>
  <c r="Z52" i="101"/>
  <c r="X52" i="101"/>
  <c r="N52" i="101"/>
  <c r="L52" i="101"/>
  <c r="B52" i="101"/>
  <c r="X51" i="101"/>
  <c r="Z51" i="101" s="1"/>
  <c r="L51" i="101"/>
  <c r="N51" i="101" s="1"/>
  <c r="B51" i="101"/>
  <c r="Z50" i="101"/>
  <c r="X50" i="101"/>
  <c r="N50" i="101"/>
  <c r="L50" i="101"/>
  <c r="B50" i="101"/>
  <c r="Z49" i="101"/>
  <c r="X49" i="101"/>
  <c r="R49" i="101"/>
  <c r="N49" i="101"/>
  <c r="L49" i="101"/>
  <c r="B49" i="101"/>
  <c r="Z48" i="101"/>
  <c r="X48" i="101"/>
  <c r="N48" i="101"/>
  <c r="L48" i="101"/>
  <c r="B48" i="101"/>
  <c r="T47" i="101"/>
  <c r="P47" i="101"/>
  <c r="N47" i="101"/>
  <c r="H47" i="101"/>
  <c r="D47" i="101"/>
  <c r="L47" i="101" s="1"/>
  <c r="B47" i="101"/>
  <c r="Z46" i="101"/>
  <c r="X46" i="101"/>
  <c r="N46" i="101"/>
  <c r="L46" i="101"/>
  <c r="B46" i="101"/>
  <c r="T45" i="101"/>
  <c r="P45" i="101"/>
  <c r="X45" i="101" s="1"/>
  <c r="J45" i="101"/>
  <c r="H45" i="101"/>
  <c r="N45" i="101" s="1"/>
  <c r="D45" i="101"/>
  <c r="L45" i="101" s="1"/>
  <c r="B45" i="101"/>
  <c r="Z44" i="101"/>
  <c r="X44" i="101"/>
  <c r="N44" i="101"/>
  <c r="L44" i="101"/>
  <c r="F44" i="101"/>
  <c r="B44" i="101"/>
  <c r="X43" i="101"/>
  <c r="Z43" i="101" s="1"/>
  <c r="N43" i="101"/>
  <c r="L43" i="101"/>
  <c r="B43" i="101"/>
  <c r="X42" i="101"/>
  <c r="T42" i="101"/>
  <c r="Z42" i="101" s="1"/>
  <c r="R42" i="101"/>
  <c r="P42" i="101"/>
  <c r="N42" i="101"/>
  <c r="H42" i="101"/>
  <c r="D42" i="101"/>
  <c r="L42" i="101" s="1"/>
  <c r="B42" i="101"/>
  <c r="Z41" i="101"/>
  <c r="X41" i="101"/>
  <c r="R41" i="101"/>
  <c r="N41" i="101"/>
  <c r="L41" i="101"/>
  <c r="B41" i="101"/>
  <c r="T40" i="101"/>
  <c r="P40" i="101"/>
  <c r="N40" i="101"/>
  <c r="H40" i="101"/>
  <c r="D40" i="101"/>
  <c r="L40" i="101" s="1"/>
  <c r="B40" i="101"/>
  <c r="Z39" i="101"/>
  <c r="X39" i="101"/>
  <c r="N39" i="101"/>
  <c r="L39" i="101"/>
  <c r="B39" i="101"/>
  <c r="T38" i="101"/>
  <c r="Z38" i="101" s="1"/>
  <c r="P38" i="101"/>
  <c r="X38" i="101" s="1"/>
  <c r="H38" i="101"/>
  <c r="N38" i="101" s="1"/>
  <c r="D38" i="101"/>
  <c r="L38" i="101" s="1"/>
  <c r="B38" i="101"/>
  <c r="X37" i="101"/>
  <c r="Z37" i="101" s="1"/>
  <c r="N37" i="101"/>
  <c r="L37" i="101"/>
  <c r="F37" i="101"/>
  <c r="B37" i="101"/>
  <c r="T36" i="101"/>
  <c r="P36" i="101"/>
  <c r="X36" i="101" s="1"/>
  <c r="L36" i="101"/>
  <c r="H36" i="101"/>
  <c r="N36" i="101" s="1"/>
  <c r="F36" i="101"/>
  <c r="D36" i="101"/>
  <c r="B36" i="101"/>
  <c r="Z35" i="101"/>
  <c r="X35" i="101"/>
  <c r="N35" i="101"/>
  <c r="L35" i="101"/>
  <c r="B35" i="101"/>
  <c r="Z34" i="101"/>
  <c r="X34" i="101"/>
  <c r="T34" i="101"/>
  <c r="P34" i="101"/>
  <c r="H34" i="101"/>
  <c r="N34" i="101" s="1"/>
  <c r="D34" i="101"/>
  <c r="L34" i="101" s="1"/>
  <c r="B34" i="101"/>
  <c r="Z33" i="101"/>
  <c r="X33" i="101"/>
  <c r="N33" i="101"/>
  <c r="L33" i="101"/>
  <c r="B33" i="101"/>
  <c r="T32" i="101"/>
  <c r="Z32" i="101" s="1"/>
  <c r="P32" i="101"/>
  <c r="X32" i="101" s="1"/>
  <c r="H32" i="101"/>
  <c r="N32" i="101" s="1"/>
  <c r="D32" i="101"/>
  <c r="L32" i="101" s="1"/>
  <c r="B32" i="101"/>
  <c r="Z31" i="101"/>
  <c r="X31" i="101"/>
  <c r="N31" i="101"/>
  <c r="L31" i="101"/>
  <c r="B31" i="101"/>
  <c r="X30" i="101"/>
  <c r="Z30" i="101" s="1"/>
  <c r="N30" i="101"/>
  <c r="L30" i="101"/>
  <c r="B30" i="101"/>
  <c r="Z29" i="101"/>
  <c r="X29" i="101"/>
  <c r="N29" i="101"/>
  <c r="L29" i="101"/>
  <c r="F29" i="101"/>
  <c r="B29" i="101"/>
  <c r="Z28" i="101"/>
  <c r="X28" i="101"/>
  <c r="N28" i="101"/>
  <c r="L28" i="101"/>
  <c r="F28" i="101"/>
  <c r="B28" i="101"/>
  <c r="X27" i="101"/>
  <c r="Z27" i="101" s="1"/>
  <c r="T27" i="101"/>
  <c r="P27" i="101"/>
  <c r="H27" i="101"/>
  <c r="F27" i="101"/>
  <c r="D27" i="101"/>
  <c r="L27" i="101" s="1"/>
  <c r="B27" i="101"/>
  <c r="Z26" i="101"/>
  <c r="X26" i="101"/>
  <c r="L26" i="101"/>
  <c r="N26" i="101" s="1"/>
  <c r="B26" i="101"/>
  <c r="Z25" i="101"/>
  <c r="X25" i="101"/>
  <c r="N25" i="101"/>
  <c r="L25" i="101"/>
  <c r="B25" i="101"/>
  <c r="X24" i="101"/>
  <c r="Z24" i="101" s="1"/>
  <c r="R24" i="101"/>
  <c r="N24" i="101"/>
  <c r="L24" i="101"/>
  <c r="J24" i="101"/>
  <c r="B24" i="101"/>
  <c r="T23" i="101"/>
  <c r="Z23" i="101" s="1"/>
  <c r="P23" i="101"/>
  <c r="X23" i="101" s="1"/>
  <c r="H23" i="101"/>
  <c r="L23" i="101" s="1"/>
  <c r="D23" i="101"/>
  <c r="B23" i="101"/>
  <c r="T22" i="101"/>
  <c r="P22" i="101"/>
  <c r="X22" i="101" s="1"/>
  <c r="H22" i="101"/>
  <c r="D22" i="101"/>
  <c r="L22" i="101" s="1"/>
  <c r="X18" i="101"/>
  <c r="Z18" i="101" s="1"/>
  <c r="L18" i="101"/>
  <c r="N18" i="101" s="1"/>
  <c r="B18" i="101"/>
  <c r="Z17" i="101"/>
  <c r="X17" i="101"/>
  <c r="N17" i="101"/>
  <c r="L17" i="101"/>
  <c r="B17" i="101"/>
  <c r="T16" i="101"/>
  <c r="Z16" i="101" s="1"/>
  <c r="P16" i="101"/>
  <c r="X16" i="101" s="1"/>
  <c r="H16" i="101"/>
  <c r="D16" i="101"/>
  <c r="T14" i="101"/>
  <c r="P14" i="101"/>
  <c r="P12" i="101" s="1"/>
  <c r="N14" i="101"/>
  <c r="L14" i="101"/>
  <c r="H14" i="101"/>
  <c r="D14" i="101"/>
  <c r="B14" i="101"/>
  <c r="T13" i="101"/>
  <c r="P13" i="101"/>
  <c r="X13" i="101" s="1"/>
  <c r="L13" i="101"/>
  <c r="H13" i="101"/>
  <c r="H12" i="101" s="1"/>
  <c r="J48" i="101" s="1"/>
  <c r="D13" i="101"/>
  <c r="B13" i="101"/>
  <c r="L12" i="101"/>
  <c r="D12" i="101"/>
  <c r="F52" i="101" s="1"/>
  <c r="D6" i="101"/>
  <c r="D4" i="101"/>
  <c r="F50" i="100"/>
  <c r="F47" i="100"/>
  <c r="Z45" i="100"/>
  <c r="X45" i="100"/>
  <c r="N45" i="100"/>
  <c r="L45" i="100"/>
  <c r="F45" i="100"/>
  <c r="V41" i="100"/>
  <c r="T41" i="100"/>
  <c r="T40" i="100" s="1"/>
  <c r="P41" i="100"/>
  <c r="P40" i="100" s="1"/>
  <c r="H41" i="100"/>
  <c r="D41" i="100"/>
  <c r="B41" i="100"/>
  <c r="F40" i="100"/>
  <c r="X38" i="100"/>
  <c r="Z38" i="100" s="1"/>
  <c r="N38" i="100"/>
  <c r="L38" i="100"/>
  <c r="B38" i="100"/>
  <c r="X37" i="100"/>
  <c r="T37" i="100"/>
  <c r="Z37" i="100" s="1"/>
  <c r="R37" i="100"/>
  <c r="P37" i="100"/>
  <c r="L37" i="100"/>
  <c r="H37" i="100"/>
  <c r="N37" i="100" s="1"/>
  <c r="D37" i="100"/>
  <c r="B37" i="100"/>
  <c r="Z36" i="100"/>
  <c r="X36" i="100"/>
  <c r="R36" i="100"/>
  <c r="N36" i="100"/>
  <c r="L36" i="100"/>
  <c r="B36" i="100"/>
  <c r="T35" i="100"/>
  <c r="P35" i="100"/>
  <c r="N35" i="100"/>
  <c r="H35" i="100"/>
  <c r="L35" i="100" s="1"/>
  <c r="D35" i="100"/>
  <c r="B35" i="100"/>
  <c r="Z34" i="100"/>
  <c r="X34" i="100"/>
  <c r="N34" i="100"/>
  <c r="L34" i="100"/>
  <c r="B34" i="100"/>
  <c r="T33" i="100"/>
  <c r="Z33" i="100" s="1"/>
  <c r="P33" i="100"/>
  <c r="X33" i="100" s="1"/>
  <c r="J33" i="100"/>
  <c r="H33" i="100"/>
  <c r="N33" i="100" s="1"/>
  <c r="D33" i="100"/>
  <c r="L33" i="100" s="1"/>
  <c r="B33" i="100"/>
  <c r="X32" i="100"/>
  <c r="Z32" i="100" s="1"/>
  <c r="N32" i="100"/>
  <c r="L32" i="100"/>
  <c r="F32" i="100"/>
  <c r="B32" i="100"/>
  <c r="X31" i="100"/>
  <c r="T31" i="100"/>
  <c r="Z31" i="100" s="1"/>
  <c r="P31" i="100"/>
  <c r="L31" i="100"/>
  <c r="H31" i="100"/>
  <c r="N31" i="100" s="1"/>
  <c r="F31" i="100"/>
  <c r="D31" i="100"/>
  <c r="B31" i="100"/>
  <c r="Z30" i="100"/>
  <c r="X30" i="100"/>
  <c r="L30" i="100"/>
  <c r="N30" i="100" s="1"/>
  <c r="J30" i="100"/>
  <c r="B30" i="100"/>
  <c r="Z29" i="100"/>
  <c r="T29" i="100"/>
  <c r="X29" i="100" s="1"/>
  <c r="P29" i="100"/>
  <c r="H29" i="100"/>
  <c r="D29" i="100"/>
  <c r="L29" i="100" s="1"/>
  <c r="B29" i="100"/>
  <c r="Z28" i="100"/>
  <c r="X28" i="100"/>
  <c r="L28" i="100"/>
  <c r="N28" i="100" s="1"/>
  <c r="B28" i="100"/>
  <c r="X27" i="100"/>
  <c r="Z27" i="100" s="1"/>
  <c r="V27" i="100"/>
  <c r="R27" i="100"/>
  <c r="L27" i="100"/>
  <c r="N27" i="100" s="1"/>
  <c r="B27" i="100"/>
  <c r="X26" i="100"/>
  <c r="Z26" i="100" s="1"/>
  <c r="L26" i="100"/>
  <c r="N26" i="100" s="1"/>
  <c r="B26" i="100"/>
  <c r="Z25" i="100"/>
  <c r="X25" i="100"/>
  <c r="L25" i="100"/>
  <c r="N25" i="100" s="1"/>
  <c r="B25" i="100"/>
  <c r="Z24" i="100"/>
  <c r="X24" i="100"/>
  <c r="L24" i="100"/>
  <c r="N24" i="100" s="1"/>
  <c r="B24" i="100"/>
  <c r="X23" i="100"/>
  <c r="Z23" i="100" s="1"/>
  <c r="R23" i="100"/>
  <c r="L23" i="100"/>
  <c r="N23" i="100" s="1"/>
  <c r="B23" i="100"/>
  <c r="Z22" i="100"/>
  <c r="X22" i="100"/>
  <c r="V22" i="100"/>
  <c r="N22" i="100"/>
  <c r="L22" i="100"/>
  <c r="B22" i="100"/>
  <c r="Z21" i="100"/>
  <c r="X21" i="100"/>
  <c r="L21" i="100"/>
  <c r="N21" i="100" s="1"/>
  <c r="B21" i="100"/>
  <c r="T20" i="100"/>
  <c r="P20" i="100"/>
  <c r="X20" i="100" s="1"/>
  <c r="Z20" i="100" s="1"/>
  <c r="J20" i="100"/>
  <c r="H20" i="100"/>
  <c r="N20" i="100" s="1"/>
  <c r="D20" i="100"/>
  <c r="L20" i="100" s="1"/>
  <c r="B20" i="100"/>
  <c r="X19" i="100"/>
  <c r="T19" i="100"/>
  <c r="R19" i="100"/>
  <c r="P19" i="100"/>
  <c r="H19" i="100"/>
  <c r="F19" i="100"/>
  <c r="D19" i="100"/>
  <c r="L19" i="100" s="1"/>
  <c r="R17" i="100"/>
  <c r="P17" i="100"/>
  <c r="P43" i="100" s="1"/>
  <c r="F17" i="100"/>
  <c r="D17" i="100"/>
  <c r="Z15" i="100"/>
  <c r="X15" i="100"/>
  <c r="R15" i="100"/>
  <c r="N15" i="100"/>
  <c r="L15" i="100"/>
  <c r="F15" i="100"/>
  <c r="B15" i="100"/>
  <c r="Z14" i="100"/>
  <c r="X14" i="100"/>
  <c r="T14" i="100"/>
  <c r="R14" i="100"/>
  <c r="P14" i="100"/>
  <c r="N14" i="100"/>
  <c r="L14" i="100"/>
  <c r="H14" i="100"/>
  <c r="F14" i="100"/>
  <c r="D14" i="100"/>
  <c r="X12" i="100"/>
  <c r="T12" i="100"/>
  <c r="P12" i="100"/>
  <c r="R43" i="100" s="1"/>
  <c r="N12" i="100"/>
  <c r="H12" i="100"/>
  <c r="J34" i="100" s="1"/>
  <c r="D12" i="100"/>
  <c r="F34" i="100" s="1"/>
  <c r="D6" i="100"/>
  <c r="D4" i="100"/>
  <c r="F34" i="99"/>
  <c r="R31" i="99"/>
  <c r="Z29" i="99"/>
  <c r="X29" i="99"/>
  <c r="R29" i="99"/>
  <c r="N29" i="99"/>
  <c r="L29" i="99"/>
  <c r="F27" i="99"/>
  <c r="Z25" i="99"/>
  <c r="X25" i="99"/>
  <c r="V25" i="99"/>
  <c r="T25" i="99"/>
  <c r="P25" i="99"/>
  <c r="H25" i="99"/>
  <c r="N25" i="99" s="1"/>
  <c r="F25" i="99"/>
  <c r="D25" i="99"/>
  <c r="L25" i="99" s="1"/>
  <c r="Z23" i="99"/>
  <c r="X23" i="99"/>
  <c r="V23" i="99"/>
  <c r="N23" i="99"/>
  <c r="L23" i="99"/>
  <c r="B23" i="99"/>
  <c r="Z22" i="99"/>
  <c r="X22" i="99"/>
  <c r="V22" i="99"/>
  <c r="T22" i="99"/>
  <c r="P22" i="99"/>
  <c r="N22" i="99"/>
  <c r="H22" i="99"/>
  <c r="D22" i="99"/>
  <c r="L22" i="99" s="1"/>
  <c r="B22" i="99"/>
  <c r="Z21" i="99"/>
  <c r="X21" i="99"/>
  <c r="V21" i="99"/>
  <c r="N21" i="99"/>
  <c r="L21" i="99"/>
  <c r="B21" i="99"/>
  <c r="Z20" i="99"/>
  <c r="X20" i="99"/>
  <c r="V20" i="99"/>
  <c r="R20" i="99"/>
  <c r="N20" i="99"/>
  <c r="L20" i="99"/>
  <c r="F20" i="99"/>
  <c r="B20" i="99"/>
  <c r="T19" i="99"/>
  <c r="Z19" i="99" s="1"/>
  <c r="P19" i="99"/>
  <c r="X19" i="99" s="1"/>
  <c r="N19" i="99"/>
  <c r="L19" i="99"/>
  <c r="H19" i="99"/>
  <c r="F19" i="99"/>
  <c r="D19" i="99"/>
  <c r="B19" i="99"/>
  <c r="T18" i="99"/>
  <c r="Z18" i="99" s="1"/>
  <c r="R18" i="99"/>
  <c r="P18" i="99"/>
  <c r="X18" i="99" s="1"/>
  <c r="N18" i="99"/>
  <c r="H18" i="99"/>
  <c r="D18" i="99"/>
  <c r="L18" i="99" s="1"/>
  <c r="R16" i="99"/>
  <c r="P16" i="99"/>
  <c r="T14" i="99"/>
  <c r="Z14" i="99" s="1"/>
  <c r="R14" i="99"/>
  <c r="P14" i="99"/>
  <c r="X14" i="99" s="1"/>
  <c r="N14" i="99"/>
  <c r="H14" i="99"/>
  <c r="D14" i="99"/>
  <c r="D16" i="99" s="1"/>
  <c r="T12" i="99"/>
  <c r="P12" i="99"/>
  <c r="R23" i="99" s="1"/>
  <c r="H12" i="99"/>
  <c r="J34" i="99" s="1"/>
  <c r="D12" i="99"/>
  <c r="F29" i="99" s="1"/>
  <c r="D6" i="99"/>
  <c r="D4" i="99"/>
  <c r="X83" i="98"/>
  <c r="Z83" i="98" s="1"/>
  <c r="L83" i="98"/>
  <c r="N83" i="98" s="1"/>
  <c r="T79" i="98"/>
  <c r="T78" i="98" s="1"/>
  <c r="P79" i="98"/>
  <c r="P78" i="98" s="1"/>
  <c r="X78" i="98" s="1"/>
  <c r="H79" i="98"/>
  <c r="D79" i="98"/>
  <c r="L79" i="98" s="1"/>
  <c r="B79" i="98"/>
  <c r="H78" i="98"/>
  <c r="D78" i="98"/>
  <c r="L78" i="98" s="1"/>
  <c r="X76" i="98"/>
  <c r="Z76" i="98" s="1"/>
  <c r="N76" i="98"/>
  <c r="L76" i="98"/>
  <c r="B76" i="98"/>
  <c r="X75" i="98"/>
  <c r="Z75" i="98" s="1"/>
  <c r="T75" i="98"/>
  <c r="P75" i="98"/>
  <c r="L75" i="98"/>
  <c r="H75" i="98"/>
  <c r="N75" i="98" s="1"/>
  <c r="D75" i="98"/>
  <c r="B75" i="98"/>
  <c r="X74" i="98"/>
  <c r="Z74" i="98" s="1"/>
  <c r="N74" i="98"/>
  <c r="L74" i="98"/>
  <c r="B74" i="98"/>
  <c r="T73" i="98"/>
  <c r="R73" i="98"/>
  <c r="P73" i="98"/>
  <c r="H73" i="98"/>
  <c r="D73" i="98"/>
  <c r="B73" i="98"/>
  <c r="X72" i="98"/>
  <c r="Z72" i="98" s="1"/>
  <c r="R72" i="98"/>
  <c r="N72" i="98"/>
  <c r="L72" i="98"/>
  <c r="B72" i="98"/>
  <c r="X71" i="98"/>
  <c r="Z71" i="98" s="1"/>
  <c r="N71" i="98"/>
  <c r="L71" i="98"/>
  <c r="B71" i="98"/>
  <c r="Z70" i="98"/>
  <c r="X70" i="98"/>
  <c r="N70" i="98"/>
  <c r="L70" i="98"/>
  <c r="B70" i="98"/>
  <c r="Z69" i="98"/>
  <c r="X69" i="98"/>
  <c r="L69" i="98"/>
  <c r="N69" i="98" s="1"/>
  <c r="B69" i="98"/>
  <c r="X68" i="98"/>
  <c r="Z68" i="98" s="1"/>
  <c r="R68" i="98"/>
  <c r="L68" i="98"/>
  <c r="N68" i="98" s="1"/>
  <c r="B68" i="98"/>
  <c r="X67" i="98"/>
  <c r="Z67" i="98" s="1"/>
  <c r="L67" i="98"/>
  <c r="N67" i="98" s="1"/>
  <c r="J67" i="98"/>
  <c r="B67" i="98"/>
  <c r="Z66" i="98"/>
  <c r="X66" i="98"/>
  <c r="L66" i="98"/>
  <c r="N66" i="98" s="1"/>
  <c r="B66" i="98"/>
  <c r="T65" i="98"/>
  <c r="P65" i="98"/>
  <c r="X65" i="98" s="1"/>
  <c r="Z65" i="98" s="1"/>
  <c r="H65" i="98"/>
  <c r="N65" i="98" s="1"/>
  <c r="D65" i="98"/>
  <c r="L65" i="98" s="1"/>
  <c r="B65" i="98"/>
  <c r="Z64" i="98"/>
  <c r="X64" i="98"/>
  <c r="N64" i="98"/>
  <c r="L64" i="98"/>
  <c r="B64" i="98"/>
  <c r="X63" i="98"/>
  <c r="Z63" i="98" s="1"/>
  <c r="T63" i="98"/>
  <c r="P63" i="98"/>
  <c r="L63" i="98"/>
  <c r="H63" i="98"/>
  <c r="N63" i="98" s="1"/>
  <c r="D63" i="98"/>
  <c r="B63" i="98"/>
  <c r="Z62" i="98"/>
  <c r="X62" i="98"/>
  <c r="N62" i="98"/>
  <c r="L62" i="98"/>
  <c r="B62" i="98"/>
  <c r="Z61" i="98"/>
  <c r="X61" i="98"/>
  <c r="R61" i="98"/>
  <c r="N61" i="98"/>
  <c r="L61" i="98"/>
  <c r="B61" i="98"/>
  <c r="Z60" i="98"/>
  <c r="X60" i="98"/>
  <c r="L60" i="98"/>
  <c r="N60" i="98" s="1"/>
  <c r="J60" i="98"/>
  <c r="B60" i="98"/>
  <c r="T59" i="98"/>
  <c r="P59" i="98"/>
  <c r="H59" i="98"/>
  <c r="D59" i="98"/>
  <c r="B59" i="98"/>
  <c r="Z58" i="98"/>
  <c r="X58" i="98"/>
  <c r="N58" i="98"/>
  <c r="L58" i="98"/>
  <c r="B58" i="98"/>
  <c r="Z57" i="98"/>
  <c r="X57" i="98"/>
  <c r="L57" i="98"/>
  <c r="N57" i="98" s="1"/>
  <c r="B57" i="98"/>
  <c r="Z56" i="98"/>
  <c r="X56" i="98"/>
  <c r="R56" i="98"/>
  <c r="N56" i="98"/>
  <c r="L56" i="98"/>
  <c r="B56" i="98"/>
  <c r="T55" i="98"/>
  <c r="P55" i="98"/>
  <c r="X55" i="98" s="1"/>
  <c r="H55" i="98"/>
  <c r="D55" i="98"/>
  <c r="L55" i="98" s="1"/>
  <c r="N55" i="98" s="1"/>
  <c r="B55" i="98"/>
  <c r="Z54" i="98"/>
  <c r="X54" i="98"/>
  <c r="N54" i="98"/>
  <c r="L54" i="98"/>
  <c r="B54" i="98"/>
  <c r="X53" i="98"/>
  <c r="Z53" i="98" s="1"/>
  <c r="L53" i="98"/>
  <c r="N53" i="98" s="1"/>
  <c r="B53" i="98"/>
  <c r="T52" i="98"/>
  <c r="P52" i="98"/>
  <c r="X52" i="98" s="1"/>
  <c r="Z52" i="98" s="1"/>
  <c r="H52" i="98"/>
  <c r="D52" i="98"/>
  <c r="L52" i="98" s="1"/>
  <c r="B52" i="98"/>
  <c r="Z51" i="98"/>
  <c r="X51" i="98"/>
  <c r="N51" i="98"/>
  <c r="L51" i="98"/>
  <c r="B51" i="98"/>
  <c r="Z50" i="98"/>
  <c r="X50" i="98"/>
  <c r="T50" i="98"/>
  <c r="P50" i="98"/>
  <c r="N50" i="98"/>
  <c r="H50" i="98"/>
  <c r="D50" i="98"/>
  <c r="L50" i="98" s="1"/>
  <c r="B50" i="98"/>
  <c r="Z49" i="98"/>
  <c r="X49" i="98"/>
  <c r="N49" i="98"/>
  <c r="L49" i="98"/>
  <c r="B49" i="98"/>
  <c r="T48" i="98"/>
  <c r="P48" i="98"/>
  <c r="N48" i="98"/>
  <c r="H48" i="98"/>
  <c r="D48" i="98"/>
  <c r="L48" i="98" s="1"/>
  <c r="B48" i="98"/>
  <c r="X47" i="98"/>
  <c r="Z47" i="98" s="1"/>
  <c r="L47" i="98"/>
  <c r="N47" i="98" s="1"/>
  <c r="B47" i="98"/>
  <c r="X46" i="98"/>
  <c r="Z46" i="98" s="1"/>
  <c r="L46" i="98"/>
  <c r="N46" i="98" s="1"/>
  <c r="B46" i="98"/>
  <c r="X45" i="98"/>
  <c r="T45" i="98"/>
  <c r="Z45" i="98" s="1"/>
  <c r="P45" i="98"/>
  <c r="L45" i="98"/>
  <c r="N45" i="98" s="1"/>
  <c r="H45" i="98"/>
  <c r="D45" i="98"/>
  <c r="B45" i="98"/>
  <c r="Z44" i="98"/>
  <c r="X44" i="98"/>
  <c r="L44" i="98"/>
  <c r="N44" i="98" s="1"/>
  <c r="B44" i="98"/>
  <c r="T43" i="98"/>
  <c r="P43" i="98"/>
  <c r="H43" i="98"/>
  <c r="D43" i="98"/>
  <c r="B43" i="98"/>
  <c r="Z42" i="98"/>
  <c r="X42" i="98"/>
  <c r="L42" i="98"/>
  <c r="N42" i="98" s="1"/>
  <c r="B42" i="98"/>
  <c r="T41" i="98"/>
  <c r="P41" i="98"/>
  <c r="X41" i="98" s="1"/>
  <c r="Z41" i="98" s="1"/>
  <c r="H41" i="98"/>
  <c r="D41" i="98"/>
  <c r="L41" i="98" s="1"/>
  <c r="B41" i="98"/>
  <c r="X40" i="98"/>
  <c r="Z40" i="98" s="1"/>
  <c r="N40" i="98"/>
  <c r="L40" i="98"/>
  <c r="B40" i="98"/>
  <c r="X39" i="98"/>
  <c r="T39" i="98"/>
  <c r="P39" i="98"/>
  <c r="L39" i="98"/>
  <c r="H39" i="98"/>
  <c r="N39" i="98" s="1"/>
  <c r="D39" i="98"/>
  <c r="B39" i="98"/>
  <c r="X38" i="98"/>
  <c r="Z38" i="98" s="1"/>
  <c r="N38" i="98"/>
  <c r="L38" i="98"/>
  <c r="B38" i="98"/>
  <c r="X37" i="98"/>
  <c r="Z37" i="98" s="1"/>
  <c r="R37" i="98"/>
  <c r="N37" i="98"/>
  <c r="L37" i="98"/>
  <c r="B37" i="98"/>
  <c r="Z36" i="98"/>
  <c r="X36" i="98"/>
  <c r="N36" i="98"/>
  <c r="L36" i="98"/>
  <c r="B36" i="98"/>
  <c r="X35" i="98"/>
  <c r="Z35" i="98" s="1"/>
  <c r="L35" i="98"/>
  <c r="N35" i="98" s="1"/>
  <c r="B35" i="98"/>
  <c r="Z34" i="98"/>
  <c r="X34" i="98"/>
  <c r="N34" i="98"/>
  <c r="L34" i="98"/>
  <c r="B34" i="98"/>
  <c r="X33" i="98"/>
  <c r="Z33" i="98" s="1"/>
  <c r="R33" i="98"/>
  <c r="N33" i="98"/>
  <c r="L33" i="98"/>
  <c r="B33" i="98"/>
  <c r="T32" i="98"/>
  <c r="P32" i="98"/>
  <c r="X32" i="98" s="1"/>
  <c r="Z32" i="98" s="1"/>
  <c r="N32" i="98"/>
  <c r="L32" i="98"/>
  <c r="H32" i="98"/>
  <c r="D32" i="98"/>
  <c r="B32" i="98"/>
  <c r="X31" i="98"/>
  <c r="Z31" i="98" s="1"/>
  <c r="L31" i="98"/>
  <c r="N31" i="98" s="1"/>
  <c r="B31" i="98"/>
  <c r="Z30" i="98"/>
  <c r="X30" i="98"/>
  <c r="N30" i="98"/>
  <c r="L30" i="98"/>
  <c r="B30" i="98"/>
  <c r="Z29" i="98"/>
  <c r="X29" i="98"/>
  <c r="L29" i="98"/>
  <c r="N29" i="98" s="1"/>
  <c r="B29" i="98"/>
  <c r="X28" i="98"/>
  <c r="Z28" i="98" s="1"/>
  <c r="R28" i="98"/>
  <c r="L28" i="98"/>
  <c r="N28" i="98" s="1"/>
  <c r="B28" i="98"/>
  <c r="X27" i="98"/>
  <c r="Z27" i="98" s="1"/>
  <c r="L27" i="98"/>
  <c r="N27" i="98" s="1"/>
  <c r="J27" i="98"/>
  <c r="B27" i="98"/>
  <c r="Z26" i="98"/>
  <c r="X26" i="98"/>
  <c r="L26" i="98"/>
  <c r="N26" i="98" s="1"/>
  <c r="B26" i="98"/>
  <c r="Z25" i="98"/>
  <c r="X25" i="98"/>
  <c r="N25" i="98"/>
  <c r="L25" i="98"/>
  <c r="B25" i="98"/>
  <c r="X24" i="98"/>
  <c r="Z24" i="98" s="1"/>
  <c r="R24" i="98"/>
  <c r="L24" i="98"/>
  <c r="N24" i="98" s="1"/>
  <c r="B24" i="98"/>
  <c r="T23" i="98"/>
  <c r="P23" i="98"/>
  <c r="X23" i="98" s="1"/>
  <c r="H23" i="98"/>
  <c r="D23" i="98"/>
  <c r="L23" i="98" s="1"/>
  <c r="N23" i="98" s="1"/>
  <c r="B23" i="98"/>
  <c r="T22" i="98"/>
  <c r="Z22" i="98" s="1"/>
  <c r="R22" i="98"/>
  <c r="P22" i="98"/>
  <c r="X22" i="98" s="1"/>
  <c r="H22" i="98"/>
  <c r="D22" i="98"/>
  <c r="L22" i="98" s="1"/>
  <c r="P20" i="98"/>
  <c r="X18" i="98"/>
  <c r="Z18" i="98" s="1"/>
  <c r="L18" i="98"/>
  <c r="N18" i="98" s="1"/>
  <c r="B18" i="98"/>
  <c r="X17" i="98"/>
  <c r="Z17" i="98" s="1"/>
  <c r="N17" i="98"/>
  <c r="L17" i="98"/>
  <c r="B17" i="98"/>
  <c r="T16" i="98"/>
  <c r="Z16" i="98" s="1"/>
  <c r="R16" i="98"/>
  <c r="P16" i="98"/>
  <c r="X16" i="98" s="1"/>
  <c r="H16" i="98"/>
  <c r="D16" i="98"/>
  <c r="L16" i="98" s="1"/>
  <c r="T14" i="98"/>
  <c r="Z14" i="98" s="1"/>
  <c r="P14" i="98"/>
  <c r="X14" i="98" s="1"/>
  <c r="N14" i="98"/>
  <c r="L14" i="98"/>
  <c r="H14" i="98"/>
  <c r="D14" i="98"/>
  <c r="B14" i="98"/>
  <c r="T13" i="98"/>
  <c r="P13" i="98"/>
  <c r="H13" i="98"/>
  <c r="H12" i="98" s="1"/>
  <c r="J44" i="98" s="1"/>
  <c r="D13" i="98"/>
  <c r="D12" i="98" s="1"/>
  <c r="F59" i="98" s="1"/>
  <c r="B13" i="98"/>
  <c r="P12" i="98"/>
  <c r="N12" i="98"/>
  <c r="L12" i="98"/>
  <c r="D6" i="98"/>
  <c r="D4" i="98"/>
  <c r="Z88" i="96"/>
  <c r="X88" i="96"/>
  <c r="N88" i="96"/>
  <c r="L88" i="96"/>
  <c r="T84" i="96"/>
  <c r="Z84" i="96" s="1"/>
  <c r="P84" i="96"/>
  <c r="X84" i="96" s="1"/>
  <c r="H84" i="96"/>
  <c r="N84" i="96" s="1"/>
  <c r="D84" i="96"/>
  <c r="L84" i="96" s="1"/>
  <c r="Z82" i="96"/>
  <c r="X82" i="96"/>
  <c r="L82" i="96"/>
  <c r="N82" i="96" s="1"/>
  <c r="B82" i="96"/>
  <c r="X81" i="96"/>
  <c r="Z81" i="96" s="1"/>
  <c r="T81" i="96"/>
  <c r="P81" i="96"/>
  <c r="L81" i="96"/>
  <c r="N81" i="96" s="1"/>
  <c r="H81" i="96"/>
  <c r="D81" i="96"/>
  <c r="B81" i="96"/>
  <c r="Z80" i="96"/>
  <c r="X80" i="96"/>
  <c r="N80" i="96"/>
  <c r="L80" i="96"/>
  <c r="B80" i="96"/>
  <c r="X79" i="96"/>
  <c r="T79" i="96"/>
  <c r="Z79" i="96" s="1"/>
  <c r="P79" i="96"/>
  <c r="H79" i="96"/>
  <c r="N79" i="96" s="1"/>
  <c r="D79" i="96"/>
  <c r="L79" i="96" s="1"/>
  <c r="B79" i="96"/>
  <c r="Z78" i="96"/>
  <c r="X78" i="96"/>
  <c r="N78" i="96"/>
  <c r="L78" i="96"/>
  <c r="B78" i="96"/>
  <c r="T77" i="96"/>
  <c r="P77" i="96"/>
  <c r="X77" i="96" s="1"/>
  <c r="Z77" i="96" s="1"/>
  <c r="H77" i="96"/>
  <c r="N77" i="96" s="1"/>
  <c r="D77" i="96"/>
  <c r="L77" i="96" s="1"/>
  <c r="B77" i="96"/>
  <c r="Z76" i="96"/>
  <c r="X76" i="96"/>
  <c r="N76" i="96"/>
  <c r="L76" i="96"/>
  <c r="B76" i="96"/>
  <c r="X75" i="96"/>
  <c r="Z75" i="96" s="1"/>
  <c r="N75" i="96"/>
  <c r="L75" i="96"/>
  <c r="B75" i="96"/>
  <c r="X74" i="96"/>
  <c r="Z74" i="96" s="1"/>
  <c r="N74" i="96"/>
  <c r="L74" i="96"/>
  <c r="B74" i="96"/>
  <c r="X73" i="96"/>
  <c r="Z73" i="96" s="1"/>
  <c r="L73" i="96"/>
  <c r="N73" i="96" s="1"/>
  <c r="B73" i="96"/>
  <c r="Z72" i="96"/>
  <c r="X72" i="96"/>
  <c r="N72" i="96"/>
  <c r="L72" i="96"/>
  <c r="B72" i="96"/>
  <c r="X71" i="96"/>
  <c r="Z71" i="96" s="1"/>
  <c r="L71" i="96"/>
  <c r="N71" i="96" s="1"/>
  <c r="B71" i="96"/>
  <c r="X70" i="96"/>
  <c r="Z70" i="96" s="1"/>
  <c r="N70" i="96"/>
  <c r="L70" i="96"/>
  <c r="B70" i="96"/>
  <c r="X69" i="96"/>
  <c r="T69" i="96"/>
  <c r="Z69" i="96" s="1"/>
  <c r="P69" i="96"/>
  <c r="L69" i="96"/>
  <c r="H69" i="96"/>
  <c r="D69" i="96"/>
  <c r="B69" i="96"/>
  <c r="Z68" i="96"/>
  <c r="X68" i="96"/>
  <c r="N68" i="96"/>
  <c r="L68" i="96"/>
  <c r="B68" i="96"/>
  <c r="X67" i="96"/>
  <c r="T67" i="96"/>
  <c r="Z67" i="96" s="1"/>
  <c r="P67" i="96"/>
  <c r="H67" i="96"/>
  <c r="D67" i="96"/>
  <c r="B67" i="96"/>
  <c r="Z66" i="96"/>
  <c r="X66" i="96"/>
  <c r="N66" i="96"/>
  <c r="L66" i="96"/>
  <c r="B66" i="96"/>
  <c r="Z65" i="96"/>
  <c r="X65" i="96"/>
  <c r="L65" i="96"/>
  <c r="N65" i="96" s="1"/>
  <c r="B65" i="96"/>
  <c r="Z64" i="96"/>
  <c r="X64" i="96"/>
  <c r="N64" i="96"/>
  <c r="L64" i="96"/>
  <c r="B64" i="96"/>
  <c r="Z63" i="96"/>
  <c r="X63" i="96"/>
  <c r="L63" i="96"/>
  <c r="N63" i="96" s="1"/>
  <c r="B63" i="96"/>
  <c r="Z62" i="96"/>
  <c r="X62" i="96"/>
  <c r="L62" i="96"/>
  <c r="N62" i="96" s="1"/>
  <c r="B62" i="96"/>
  <c r="T61" i="96"/>
  <c r="P61" i="96"/>
  <c r="X61" i="96" s="1"/>
  <c r="Z61" i="96" s="1"/>
  <c r="H61" i="96"/>
  <c r="N61" i="96" s="1"/>
  <c r="D61" i="96"/>
  <c r="L61" i="96" s="1"/>
  <c r="B61" i="96"/>
  <c r="X60" i="96"/>
  <c r="Z60" i="96" s="1"/>
  <c r="N60" i="96"/>
  <c r="L60" i="96"/>
  <c r="B60" i="96"/>
  <c r="X59" i="96"/>
  <c r="Z59" i="96" s="1"/>
  <c r="L59" i="96"/>
  <c r="N59" i="96" s="1"/>
  <c r="B59" i="96"/>
  <c r="Z58" i="96"/>
  <c r="X58" i="96"/>
  <c r="N58" i="96"/>
  <c r="L58" i="96"/>
  <c r="B58" i="96"/>
  <c r="X57" i="96"/>
  <c r="T57" i="96"/>
  <c r="Z57" i="96" s="1"/>
  <c r="P57" i="96"/>
  <c r="H57" i="96"/>
  <c r="D57" i="96"/>
  <c r="L57" i="96" s="1"/>
  <c r="B57" i="96"/>
  <c r="Z56" i="96"/>
  <c r="X56" i="96"/>
  <c r="N56" i="96"/>
  <c r="L56" i="96"/>
  <c r="B56" i="96"/>
  <c r="X55" i="96"/>
  <c r="T55" i="96"/>
  <c r="P55" i="96"/>
  <c r="H55" i="96"/>
  <c r="F55" i="96"/>
  <c r="D55" i="96"/>
  <c r="B55" i="96"/>
  <c r="Z54" i="96"/>
  <c r="X54" i="96"/>
  <c r="N54" i="96"/>
  <c r="L54" i="96"/>
  <c r="B54" i="96"/>
  <c r="T53" i="96"/>
  <c r="P53" i="96"/>
  <c r="H53" i="96"/>
  <c r="D53" i="96"/>
  <c r="L53" i="96" s="1"/>
  <c r="B53" i="96"/>
  <c r="Z52" i="96"/>
  <c r="X52" i="96"/>
  <c r="N52" i="96"/>
  <c r="L52" i="96"/>
  <c r="B52" i="96"/>
  <c r="T51" i="96"/>
  <c r="P51" i="96"/>
  <c r="X51" i="96" s="1"/>
  <c r="L51" i="96"/>
  <c r="N51" i="96" s="1"/>
  <c r="H51" i="96"/>
  <c r="D51" i="96"/>
  <c r="B51" i="96"/>
  <c r="X50" i="96"/>
  <c r="Z50" i="96" s="1"/>
  <c r="N50" i="96"/>
  <c r="L50" i="96"/>
  <c r="B50" i="96"/>
  <c r="T49" i="96"/>
  <c r="P49" i="96"/>
  <c r="L49" i="96"/>
  <c r="H49" i="96"/>
  <c r="D49" i="96"/>
  <c r="B49" i="96"/>
  <c r="Z48" i="96"/>
  <c r="X48" i="96"/>
  <c r="N48" i="96"/>
  <c r="L48" i="96"/>
  <c r="B48" i="96"/>
  <c r="T47" i="96"/>
  <c r="Z47" i="96" s="1"/>
  <c r="P47" i="96"/>
  <c r="X47" i="96" s="1"/>
  <c r="H47" i="96"/>
  <c r="N47" i="96" s="1"/>
  <c r="D47" i="96"/>
  <c r="B47" i="96"/>
  <c r="Z46" i="96"/>
  <c r="X46" i="96"/>
  <c r="N46" i="96"/>
  <c r="L46" i="96"/>
  <c r="B46" i="96"/>
  <c r="X45" i="96"/>
  <c r="Z45" i="96" s="1"/>
  <c r="L45" i="96"/>
  <c r="N45" i="96" s="1"/>
  <c r="B45" i="96"/>
  <c r="T44" i="96"/>
  <c r="Z44" i="96" s="1"/>
  <c r="P44" i="96"/>
  <c r="X44" i="96" s="1"/>
  <c r="H44" i="96"/>
  <c r="D44" i="96"/>
  <c r="L44" i="96" s="1"/>
  <c r="B44" i="96"/>
  <c r="X43" i="96"/>
  <c r="Z43" i="96" s="1"/>
  <c r="L43" i="96"/>
  <c r="N43" i="96" s="1"/>
  <c r="B43" i="96"/>
  <c r="V42" i="96"/>
  <c r="T42" i="96"/>
  <c r="P42" i="96"/>
  <c r="X42" i="96" s="1"/>
  <c r="Z42" i="96" s="1"/>
  <c r="H42" i="96"/>
  <c r="D42" i="96"/>
  <c r="L42" i="96" s="1"/>
  <c r="N42" i="96" s="1"/>
  <c r="B42" i="96"/>
  <c r="X41" i="96"/>
  <c r="Z41" i="96" s="1"/>
  <c r="L41" i="96"/>
  <c r="N41" i="96" s="1"/>
  <c r="B41" i="96"/>
  <c r="T40" i="96"/>
  <c r="P40" i="96"/>
  <c r="X40" i="96" s="1"/>
  <c r="N40" i="96"/>
  <c r="L40" i="96"/>
  <c r="H40" i="96"/>
  <c r="D40" i="96"/>
  <c r="B40" i="96"/>
  <c r="Z39" i="96"/>
  <c r="X39" i="96"/>
  <c r="N39" i="96"/>
  <c r="L39" i="96"/>
  <c r="B39" i="96"/>
  <c r="T38" i="96"/>
  <c r="P38" i="96"/>
  <c r="N38" i="96"/>
  <c r="L38" i="96"/>
  <c r="H38" i="96"/>
  <c r="D38" i="96"/>
  <c r="B38" i="96"/>
  <c r="Z37" i="96"/>
  <c r="X37" i="96"/>
  <c r="L37" i="96"/>
  <c r="N37" i="96" s="1"/>
  <c r="B37" i="96"/>
  <c r="Z36" i="96"/>
  <c r="X36" i="96"/>
  <c r="N36" i="96"/>
  <c r="L36" i="96"/>
  <c r="B36" i="96"/>
  <c r="Z35" i="96"/>
  <c r="X35" i="96"/>
  <c r="L35" i="96"/>
  <c r="N35" i="96" s="1"/>
  <c r="B35" i="96"/>
  <c r="Z34" i="96"/>
  <c r="X34" i="96"/>
  <c r="V34" i="96"/>
  <c r="N34" i="96"/>
  <c r="L34" i="96"/>
  <c r="B34" i="96"/>
  <c r="Z33" i="96"/>
  <c r="X33" i="96"/>
  <c r="L33" i="96"/>
  <c r="N33" i="96" s="1"/>
  <c r="B33" i="96"/>
  <c r="T32" i="96"/>
  <c r="P32" i="96"/>
  <c r="X32" i="96" s="1"/>
  <c r="Z32" i="96" s="1"/>
  <c r="H32" i="96"/>
  <c r="D32" i="96"/>
  <c r="B32" i="96"/>
  <c r="X31" i="96"/>
  <c r="Z31" i="96" s="1"/>
  <c r="N31" i="96"/>
  <c r="L31" i="96"/>
  <c r="B31" i="96"/>
  <c r="X30" i="96"/>
  <c r="Z30" i="96" s="1"/>
  <c r="N30" i="96"/>
  <c r="L30" i="96"/>
  <c r="B30" i="96"/>
  <c r="X29" i="96"/>
  <c r="Z29" i="96" s="1"/>
  <c r="V29" i="96"/>
  <c r="L29" i="96"/>
  <c r="N29" i="96" s="1"/>
  <c r="B29" i="96"/>
  <c r="X28" i="96"/>
  <c r="Z28" i="96" s="1"/>
  <c r="L28" i="96"/>
  <c r="N28" i="96" s="1"/>
  <c r="B28" i="96"/>
  <c r="X27" i="96"/>
  <c r="Z27" i="96" s="1"/>
  <c r="N27" i="96"/>
  <c r="L27" i="96"/>
  <c r="F27" i="96"/>
  <c r="B27" i="96"/>
  <c r="X26" i="96"/>
  <c r="Z26" i="96" s="1"/>
  <c r="N26" i="96"/>
  <c r="L26" i="96"/>
  <c r="B26" i="96"/>
  <c r="X25" i="96"/>
  <c r="Z25" i="96" s="1"/>
  <c r="V25" i="96"/>
  <c r="N25" i="96"/>
  <c r="L25" i="96"/>
  <c r="B25" i="96"/>
  <c r="X24" i="96"/>
  <c r="Z24" i="96" s="1"/>
  <c r="L24" i="96"/>
  <c r="N24" i="96" s="1"/>
  <c r="B24" i="96"/>
  <c r="T23" i="96"/>
  <c r="Z23" i="96" s="1"/>
  <c r="P23" i="96"/>
  <c r="X23" i="96" s="1"/>
  <c r="L23" i="96"/>
  <c r="H23" i="96"/>
  <c r="N23" i="96" s="1"/>
  <c r="D23" i="96"/>
  <c r="B23" i="96"/>
  <c r="T22" i="96"/>
  <c r="P22" i="96"/>
  <c r="X22" i="96" s="1"/>
  <c r="L22" i="96"/>
  <c r="N22" i="96" s="1"/>
  <c r="H22" i="96"/>
  <c r="D22" i="96"/>
  <c r="X18" i="96"/>
  <c r="Z18" i="96" s="1"/>
  <c r="L18" i="96"/>
  <c r="N18" i="96" s="1"/>
  <c r="B18" i="96"/>
  <c r="X17" i="96"/>
  <c r="Z17" i="96" s="1"/>
  <c r="N17" i="96"/>
  <c r="L17" i="96"/>
  <c r="B17" i="96"/>
  <c r="T16" i="96"/>
  <c r="P16" i="96"/>
  <c r="X16" i="96" s="1"/>
  <c r="H16" i="96"/>
  <c r="D16" i="96"/>
  <c r="L16" i="96" s="1"/>
  <c r="X14" i="96"/>
  <c r="Z14" i="96" s="1"/>
  <c r="T14" i="96"/>
  <c r="P14" i="96"/>
  <c r="N14" i="96"/>
  <c r="L14" i="96"/>
  <c r="H14" i="96"/>
  <c r="D14" i="96"/>
  <c r="B14" i="96"/>
  <c r="T13" i="96"/>
  <c r="T12" i="96" s="1"/>
  <c r="P13" i="96"/>
  <c r="H13" i="96"/>
  <c r="D13" i="96"/>
  <c r="L13" i="96" s="1"/>
  <c r="N13" i="96" s="1"/>
  <c r="B13" i="96"/>
  <c r="H12" i="96"/>
  <c r="D12" i="96"/>
  <c r="D6" i="96"/>
  <c r="D4" i="96"/>
  <c r="Z77" i="95"/>
  <c r="X77" i="95"/>
  <c r="L77" i="95"/>
  <c r="N77" i="95" s="1"/>
  <c r="Z73" i="95"/>
  <c r="X73" i="95"/>
  <c r="T73" i="95"/>
  <c r="P73" i="95"/>
  <c r="H73" i="95"/>
  <c r="N73" i="95" s="1"/>
  <c r="D73" i="95"/>
  <c r="L73" i="95" s="1"/>
  <c r="X71" i="95"/>
  <c r="Z71" i="95" s="1"/>
  <c r="N71" i="95"/>
  <c r="L71" i="95"/>
  <c r="B71" i="95"/>
  <c r="T70" i="95"/>
  <c r="P70" i="95"/>
  <c r="N70" i="95"/>
  <c r="L70" i="95"/>
  <c r="H70" i="95"/>
  <c r="D70" i="95"/>
  <c r="B70" i="95"/>
  <c r="X69" i="95"/>
  <c r="Z69" i="95" s="1"/>
  <c r="R69" i="95"/>
  <c r="L69" i="95"/>
  <c r="N69" i="95" s="1"/>
  <c r="B69" i="95"/>
  <c r="T68" i="95"/>
  <c r="Z68" i="95" s="1"/>
  <c r="P68" i="95"/>
  <c r="X68" i="95" s="1"/>
  <c r="H68" i="95"/>
  <c r="D68" i="95"/>
  <c r="L68" i="95" s="1"/>
  <c r="N68" i="95" s="1"/>
  <c r="B68" i="95"/>
  <c r="X67" i="95"/>
  <c r="Z67" i="95" s="1"/>
  <c r="L67" i="95"/>
  <c r="N67" i="95" s="1"/>
  <c r="B67" i="95"/>
  <c r="X66" i="95"/>
  <c r="Z66" i="95" s="1"/>
  <c r="N66" i="95"/>
  <c r="L66" i="95"/>
  <c r="F66" i="95"/>
  <c r="B66" i="95"/>
  <c r="Z65" i="95"/>
  <c r="X65" i="95"/>
  <c r="N65" i="95"/>
  <c r="L65" i="95"/>
  <c r="B65" i="95"/>
  <c r="X64" i="95"/>
  <c r="Z64" i="95" s="1"/>
  <c r="V64" i="95"/>
  <c r="N64" i="95"/>
  <c r="L64" i="95"/>
  <c r="B64" i="95"/>
  <c r="X63" i="95"/>
  <c r="Z63" i="95" s="1"/>
  <c r="N63" i="95"/>
  <c r="L63" i="95"/>
  <c r="B63" i="95"/>
  <c r="X62" i="95"/>
  <c r="Z62" i="95" s="1"/>
  <c r="N62" i="95"/>
  <c r="L62" i="95"/>
  <c r="F62" i="95"/>
  <c r="B62" i="95"/>
  <c r="Z61" i="95"/>
  <c r="X61" i="95"/>
  <c r="N61" i="95"/>
  <c r="L61" i="95"/>
  <c r="B61" i="95"/>
  <c r="X60" i="95"/>
  <c r="Z60" i="95" s="1"/>
  <c r="V60" i="95"/>
  <c r="T60" i="95"/>
  <c r="P60" i="95"/>
  <c r="L60" i="95"/>
  <c r="N60" i="95" s="1"/>
  <c r="H60" i="95"/>
  <c r="D60" i="95"/>
  <c r="B60" i="95"/>
  <c r="Z59" i="95"/>
  <c r="X59" i="95"/>
  <c r="N59" i="95"/>
  <c r="L59" i="95"/>
  <c r="B59" i="95"/>
  <c r="T58" i="95"/>
  <c r="P58" i="95"/>
  <c r="N58" i="95"/>
  <c r="L58" i="95"/>
  <c r="H58" i="95"/>
  <c r="D58" i="95"/>
  <c r="B58" i="95"/>
  <c r="X57" i="95"/>
  <c r="Z57" i="95" s="1"/>
  <c r="L57" i="95"/>
  <c r="N57" i="95" s="1"/>
  <c r="B57" i="95"/>
  <c r="T56" i="95"/>
  <c r="Z56" i="95" s="1"/>
  <c r="P56" i="95"/>
  <c r="X56" i="95" s="1"/>
  <c r="H56" i="95"/>
  <c r="D56" i="95"/>
  <c r="L56" i="95" s="1"/>
  <c r="N56" i="95" s="1"/>
  <c r="B56" i="95"/>
  <c r="Z55" i="95"/>
  <c r="X55" i="95"/>
  <c r="N55" i="95"/>
  <c r="L55" i="95"/>
  <c r="B55" i="95"/>
  <c r="X54" i="95"/>
  <c r="T54" i="95"/>
  <c r="Z54" i="95" s="1"/>
  <c r="P54" i="95"/>
  <c r="L54" i="95"/>
  <c r="H54" i="95"/>
  <c r="N54" i="95" s="1"/>
  <c r="D54" i="95"/>
  <c r="B54" i="95"/>
  <c r="Z53" i="95"/>
  <c r="X53" i="95"/>
  <c r="N53" i="95"/>
  <c r="L53" i="95"/>
  <c r="F53" i="95"/>
  <c r="B53" i="95"/>
  <c r="Z52" i="95"/>
  <c r="X52" i="95"/>
  <c r="L52" i="95"/>
  <c r="N52" i="95" s="1"/>
  <c r="B52" i="95"/>
  <c r="Z51" i="95"/>
  <c r="X51" i="95"/>
  <c r="T51" i="95"/>
  <c r="P51" i="95"/>
  <c r="H51" i="95"/>
  <c r="D51" i="95"/>
  <c r="L51" i="95" s="1"/>
  <c r="N51" i="95" s="1"/>
  <c r="B51" i="95"/>
  <c r="Z50" i="95"/>
  <c r="X50" i="95"/>
  <c r="L50" i="95"/>
  <c r="N50" i="95" s="1"/>
  <c r="B50" i="95"/>
  <c r="V49" i="95"/>
  <c r="T49" i="95"/>
  <c r="P49" i="95"/>
  <c r="H49" i="95"/>
  <c r="D49" i="95"/>
  <c r="L49" i="95" s="1"/>
  <c r="N49" i="95" s="1"/>
  <c r="B49" i="95"/>
  <c r="X48" i="95"/>
  <c r="Z48" i="95" s="1"/>
  <c r="N48" i="95"/>
  <c r="L48" i="95"/>
  <c r="B48" i="95"/>
  <c r="T47" i="95"/>
  <c r="Z47" i="95" s="1"/>
  <c r="R47" i="95"/>
  <c r="P47" i="95"/>
  <c r="X47" i="95" s="1"/>
  <c r="L47" i="95"/>
  <c r="H47" i="95"/>
  <c r="N47" i="95" s="1"/>
  <c r="D47" i="95"/>
  <c r="B47" i="95"/>
  <c r="Z46" i="95"/>
  <c r="X46" i="95"/>
  <c r="N46" i="95"/>
  <c r="L46" i="95"/>
  <c r="B46" i="95"/>
  <c r="T45" i="95"/>
  <c r="P45" i="95"/>
  <c r="N45" i="95"/>
  <c r="L45" i="95"/>
  <c r="H45" i="95"/>
  <c r="D45" i="95"/>
  <c r="B45" i="95"/>
  <c r="Z44" i="95"/>
  <c r="X44" i="95"/>
  <c r="L44" i="95"/>
  <c r="N44" i="95" s="1"/>
  <c r="B44" i="95"/>
  <c r="T43" i="95"/>
  <c r="P43" i="95"/>
  <c r="X43" i="95" s="1"/>
  <c r="Z43" i="95" s="1"/>
  <c r="H43" i="95"/>
  <c r="D43" i="95"/>
  <c r="B43" i="95"/>
  <c r="X42" i="95"/>
  <c r="Z42" i="95" s="1"/>
  <c r="N42" i="95"/>
  <c r="L42" i="95"/>
  <c r="F42" i="95"/>
  <c r="B42" i="95"/>
  <c r="X41" i="95"/>
  <c r="T41" i="95"/>
  <c r="Z41" i="95" s="1"/>
  <c r="P41" i="95"/>
  <c r="H41" i="95"/>
  <c r="N41" i="95" s="1"/>
  <c r="F41" i="95"/>
  <c r="D41" i="95"/>
  <c r="L41" i="95" s="1"/>
  <c r="B41" i="95"/>
  <c r="Z40" i="95"/>
  <c r="X40" i="95"/>
  <c r="N40" i="95"/>
  <c r="L40" i="95"/>
  <c r="B40" i="95"/>
  <c r="X39" i="95"/>
  <c r="Z39" i="95" s="1"/>
  <c r="T39" i="95"/>
  <c r="P39" i="95"/>
  <c r="H39" i="95"/>
  <c r="N39" i="95" s="1"/>
  <c r="D39" i="95"/>
  <c r="L39" i="95" s="1"/>
  <c r="B39" i="95"/>
  <c r="Z38" i="95"/>
  <c r="X38" i="95"/>
  <c r="N38" i="95"/>
  <c r="L38" i="95"/>
  <c r="B38" i="95"/>
  <c r="X37" i="95"/>
  <c r="Z37" i="95" s="1"/>
  <c r="V37" i="95"/>
  <c r="L37" i="95"/>
  <c r="N37" i="95" s="1"/>
  <c r="B37" i="95"/>
  <c r="Z36" i="95"/>
  <c r="X36" i="95"/>
  <c r="N36" i="95"/>
  <c r="L36" i="95"/>
  <c r="B36" i="95"/>
  <c r="X35" i="95"/>
  <c r="Z35" i="95" s="1"/>
  <c r="L35" i="95"/>
  <c r="N35" i="95" s="1"/>
  <c r="B35" i="95"/>
  <c r="Z34" i="95"/>
  <c r="X34" i="95"/>
  <c r="N34" i="95"/>
  <c r="L34" i="95"/>
  <c r="B34" i="95"/>
  <c r="X33" i="95"/>
  <c r="Z33" i="95" s="1"/>
  <c r="L33" i="95"/>
  <c r="N33" i="95" s="1"/>
  <c r="B33" i="95"/>
  <c r="T32" i="95"/>
  <c r="P32" i="95"/>
  <c r="X32" i="95" s="1"/>
  <c r="N32" i="95"/>
  <c r="H32" i="95"/>
  <c r="D32" i="95"/>
  <c r="L32" i="95" s="1"/>
  <c r="B32" i="95"/>
  <c r="X31" i="95"/>
  <c r="Z31" i="95" s="1"/>
  <c r="N31" i="95"/>
  <c r="L31" i="95"/>
  <c r="B31" i="95"/>
  <c r="X30" i="95"/>
  <c r="Z30" i="95" s="1"/>
  <c r="N30" i="95"/>
  <c r="L30" i="95"/>
  <c r="F30" i="95"/>
  <c r="B30" i="95"/>
  <c r="X29" i="95"/>
  <c r="Z29" i="95" s="1"/>
  <c r="N29" i="95"/>
  <c r="L29" i="95"/>
  <c r="B29" i="95"/>
  <c r="X28" i="95"/>
  <c r="Z28" i="95" s="1"/>
  <c r="N28" i="95"/>
  <c r="L28" i="95"/>
  <c r="B28" i="95"/>
  <c r="X27" i="95"/>
  <c r="Z27" i="95" s="1"/>
  <c r="N27" i="95"/>
  <c r="L27" i="95"/>
  <c r="B27" i="95"/>
  <c r="X26" i="95"/>
  <c r="Z26" i="95" s="1"/>
  <c r="N26" i="95"/>
  <c r="L26" i="95"/>
  <c r="F26" i="95"/>
  <c r="B26" i="95"/>
  <c r="X25" i="95"/>
  <c r="Z25" i="95" s="1"/>
  <c r="N25" i="95"/>
  <c r="L25" i="95"/>
  <c r="B25" i="95"/>
  <c r="X24" i="95"/>
  <c r="Z24" i="95" s="1"/>
  <c r="V24" i="95"/>
  <c r="N24" i="95"/>
  <c r="L24" i="95"/>
  <c r="B24" i="95"/>
  <c r="T23" i="95"/>
  <c r="Z23" i="95" s="1"/>
  <c r="R23" i="95"/>
  <c r="P23" i="95"/>
  <c r="X23" i="95" s="1"/>
  <c r="L23" i="95"/>
  <c r="H23" i="95"/>
  <c r="N23" i="95" s="1"/>
  <c r="D23" i="95"/>
  <c r="B23" i="95"/>
  <c r="T22" i="95"/>
  <c r="R22" i="95"/>
  <c r="P22" i="95"/>
  <c r="H22" i="95"/>
  <c r="N22" i="95" s="1"/>
  <c r="D22" i="95"/>
  <c r="L22" i="95" s="1"/>
  <c r="D20" i="95"/>
  <c r="D75" i="95" s="1"/>
  <c r="X18" i="95"/>
  <c r="Z18" i="95" s="1"/>
  <c r="N18" i="95"/>
  <c r="L18" i="95"/>
  <c r="B18" i="95"/>
  <c r="Z17" i="95"/>
  <c r="X17" i="95"/>
  <c r="N17" i="95"/>
  <c r="L17" i="95"/>
  <c r="F17" i="95"/>
  <c r="B17" i="95"/>
  <c r="T16" i="95"/>
  <c r="P16" i="95"/>
  <c r="X16" i="95" s="1"/>
  <c r="H16" i="95"/>
  <c r="F16" i="95"/>
  <c r="D16" i="95"/>
  <c r="L16" i="95" s="1"/>
  <c r="T14" i="95"/>
  <c r="P14" i="95"/>
  <c r="X14" i="95" s="1"/>
  <c r="Z14" i="95" s="1"/>
  <c r="L14" i="95"/>
  <c r="N14" i="95" s="1"/>
  <c r="H14" i="95"/>
  <c r="D14" i="95"/>
  <c r="B14" i="95"/>
  <c r="Z13" i="95"/>
  <c r="X13" i="95"/>
  <c r="T13" i="95"/>
  <c r="T12" i="95" s="1"/>
  <c r="V69" i="95" s="1"/>
  <c r="P13" i="95"/>
  <c r="H13" i="95"/>
  <c r="H12" i="95" s="1"/>
  <c r="J43" i="95" s="1"/>
  <c r="D13" i="95"/>
  <c r="L13" i="95" s="1"/>
  <c r="B13" i="95"/>
  <c r="P12" i="95"/>
  <c r="D12" i="95"/>
  <c r="F69" i="95" s="1"/>
  <c r="D6" i="95"/>
  <c r="D4" i="95"/>
  <c r="X67" i="94"/>
  <c r="Z67" i="94" s="1"/>
  <c r="L67" i="94"/>
  <c r="N67" i="94" s="1"/>
  <c r="T63" i="94"/>
  <c r="P63" i="94"/>
  <c r="P62" i="94" s="1"/>
  <c r="H63" i="94"/>
  <c r="D63" i="94"/>
  <c r="L63" i="94" s="1"/>
  <c r="B63" i="94"/>
  <c r="H62" i="94"/>
  <c r="D62" i="94"/>
  <c r="X60" i="94"/>
  <c r="Z60" i="94" s="1"/>
  <c r="N60" i="94"/>
  <c r="L60" i="94"/>
  <c r="B60" i="94"/>
  <c r="T59" i="94"/>
  <c r="P59" i="94"/>
  <c r="X59" i="94" s="1"/>
  <c r="Z59" i="94" s="1"/>
  <c r="H59" i="94"/>
  <c r="N59" i="94" s="1"/>
  <c r="D59" i="94"/>
  <c r="L59" i="94" s="1"/>
  <c r="B59" i="94"/>
  <c r="X58" i="94"/>
  <c r="Z58" i="94" s="1"/>
  <c r="N58" i="94"/>
  <c r="L58" i="94"/>
  <c r="B58" i="94"/>
  <c r="X57" i="94"/>
  <c r="Z57" i="94" s="1"/>
  <c r="L57" i="94"/>
  <c r="N57" i="94" s="1"/>
  <c r="B57" i="94"/>
  <c r="Z56" i="94"/>
  <c r="X56" i="94"/>
  <c r="N56" i="94"/>
  <c r="L56" i="94"/>
  <c r="B56" i="94"/>
  <c r="X55" i="94"/>
  <c r="Z55" i="94" s="1"/>
  <c r="N55" i="94"/>
  <c r="L55" i="94"/>
  <c r="B55" i="94"/>
  <c r="T54" i="94"/>
  <c r="Z54" i="94" s="1"/>
  <c r="R54" i="94"/>
  <c r="P54" i="94"/>
  <c r="X54" i="94" s="1"/>
  <c r="H54" i="94"/>
  <c r="D54" i="94"/>
  <c r="L54" i="94" s="1"/>
  <c r="N54" i="94" s="1"/>
  <c r="B54" i="94"/>
  <c r="X53" i="94"/>
  <c r="Z53" i="94" s="1"/>
  <c r="L53" i="94"/>
  <c r="N53" i="94" s="1"/>
  <c r="B53" i="94"/>
  <c r="X52" i="94"/>
  <c r="Z52" i="94" s="1"/>
  <c r="T52" i="94"/>
  <c r="P52" i="94"/>
  <c r="N52" i="94"/>
  <c r="H52" i="94"/>
  <c r="D52" i="94"/>
  <c r="L52" i="94" s="1"/>
  <c r="B52" i="94"/>
  <c r="Z51" i="94"/>
  <c r="X51" i="94"/>
  <c r="L51" i="94"/>
  <c r="N51" i="94" s="1"/>
  <c r="B51" i="94"/>
  <c r="X50" i="94"/>
  <c r="Z50" i="94" s="1"/>
  <c r="R50" i="94"/>
  <c r="L50" i="94"/>
  <c r="N50" i="94" s="1"/>
  <c r="B50" i="94"/>
  <c r="Z49" i="94"/>
  <c r="X49" i="94"/>
  <c r="N49" i="94"/>
  <c r="L49" i="94"/>
  <c r="B49" i="94"/>
  <c r="T48" i="94"/>
  <c r="P48" i="94"/>
  <c r="X48" i="94" s="1"/>
  <c r="H48" i="94"/>
  <c r="D48" i="94"/>
  <c r="L48" i="94" s="1"/>
  <c r="B48" i="94"/>
  <c r="X47" i="94"/>
  <c r="Z47" i="94" s="1"/>
  <c r="N47" i="94"/>
  <c r="L47" i="94"/>
  <c r="B47" i="94"/>
  <c r="X46" i="94"/>
  <c r="T46" i="94"/>
  <c r="Z46" i="94" s="1"/>
  <c r="P46" i="94"/>
  <c r="N46" i="94"/>
  <c r="L46" i="94"/>
  <c r="H46" i="94"/>
  <c r="D46" i="94"/>
  <c r="B46" i="94"/>
  <c r="X45" i="94"/>
  <c r="Z45" i="94" s="1"/>
  <c r="N45" i="94"/>
  <c r="L45" i="94"/>
  <c r="B45" i="94"/>
  <c r="T44" i="94"/>
  <c r="P44" i="94"/>
  <c r="X44" i="94" s="1"/>
  <c r="Z44" i="94" s="1"/>
  <c r="L44" i="94"/>
  <c r="N44" i="94" s="1"/>
  <c r="J44" i="94"/>
  <c r="H44" i="94"/>
  <c r="D44" i="94"/>
  <c r="B44" i="94"/>
  <c r="X43" i="94"/>
  <c r="Z43" i="94" s="1"/>
  <c r="L43" i="94"/>
  <c r="N43" i="94" s="1"/>
  <c r="B43" i="94"/>
  <c r="Z42" i="94"/>
  <c r="X42" i="94"/>
  <c r="T42" i="94"/>
  <c r="P42" i="94"/>
  <c r="H42" i="94"/>
  <c r="N42" i="94" s="1"/>
  <c r="D42" i="94"/>
  <c r="L42" i="94" s="1"/>
  <c r="B42" i="94"/>
  <c r="Z41" i="94"/>
  <c r="X41" i="94"/>
  <c r="N41" i="94"/>
  <c r="L41" i="94"/>
  <c r="B41" i="94"/>
  <c r="Z40" i="94"/>
  <c r="X40" i="94"/>
  <c r="T40" i="94"/>
  <c r="P40" i="94"/>
  <c r="H40" i="94"/>
  <c r="D40" i="94"/>
  <c r="L40" i="94" s="1"/>
  <c r="N40" i="94" s="1"/>
  <c r="B40" i="94"/>
  <c r="X39" i="94"/>
  <c r="Z39" i="94" s="1"/>
  <c r="L39" i="94"/>
  <c r="N39" i="94" s="1"/>
  <c r="B39" i="94"/>
  <c r="X38" i="94"/>
  <c r="Z38" i="94" s="1"/>
  <c r="T38" i="94"/>
  <c r="P38" i="94"/>
  <c r="H38" i="94"/>
  <c r="D38" i="94"/>
  <c r="L38" i="94" s="1"/>
  <c r="N38" i="94" s="1"/>
  <c r="B38" i="94"/>
  <c r="X37" i="94"/>
  <c r="Z37" i="94" s="1"/>
  <c r="N37" i="94"/>
  <c r="L37" i="94"/>
  <c r="B37" i="94"/>
  <c r="X36" i="94"/>
  <c r="Z36" i="94" s="1"/>
  <c r="N36" i="94"/>
  <c r="L36" i="94"/>
  <c r="B36" i="94"/>
  <c r="X35" i="94"/>
  <c r="Z35" i="94" s="1"/>
  <c r="L35" i="94"/>
  <c r="N35" i="94" s="1"/>
  <c r="F35" i="94"/>
  <c r="B35" i="94"/>
  <c r="Z34" i="94"/>
  <c r="X34" i="94"/>
  <c r="N34" i="94"/>
  <c r="L34" i="94"/>
  <c r="B34" i="94"/>
  <c r="X33" i="94"/>
  <c r="Z33" i="94" s="1"/>
  <c r="N33" i="94"/>
  <c r="L33" i="94"/>
  <c r="B33" i="94"/>
  <c r="T32" i="94"/>
  <c r="Z32" i="94" s="1"/>
  <c r="R32" i="94"/>
  <c r="P32" i="94"/>
  <c r="X32" i="94" s="1"/>
  <c r="N32" i="94"/>
  <c r="L32" i="94"/>
  <c r="H32" i="94"/>
  <c r="D32" i="94"/>
  <c r="B32" i="94"/>
  <c r="X31" i="94"/>
  <c r="Z31" i="94" s="1"/>
  <c r="R31" i="94"/>
  <c r="N31" i="94"/>
  <c r="L31" i="94"/>
  <c r="B31" i="94"/>
  <c r="Z30" i="94"/>
  <c r="X30" i="94"/>
  <c r="L30" i="94"/>
  <c r="N30" i="94" s="1"/>
  <c r="J30" i="94"/>
  <c r="B30" i="94"/>
  <c r="Z29" i="94"/>
  <c r="X29" i="94"/>
  <c r="N29" i="94"/>
  <c r="L29" i="94"/>
  <c r="B29" i="94"/>
  <c r="Z28" i="94"/>
  <c r="X28" i="94"/>
  <c r="L28" i="94"/>
  <c r="N28" i="94" s="1"/>
  <c r="B28" i="94"/>
  <c r="X27" i="94"/>
  <c r="Z27" i="94" s="1"/>
  <c r="R27" i="94"/>
  <c r="N27" i="94"/>
  <c r="L27" i="94"/>
  <c r="B27" i="94"/>
  <c r="Z26" i="94"/>
  <c r="X26" i="94"/>
  <c r="L26" i="94"/>
  <c r="N26" i="94" s="1"/>
  <c r="J26" i="94"/>
  <c r="B26" i="94"/>
  <c r="Z25" i="94"/>
  <c r="X25" i="94"/>
  <c r="N25" i="94"/>
  <c r="L25" i="94"/>
  <c r="B25" i="94"/>
  <c r="Z24" i="94"/>
  <c r="X24" i="94"/>
  <c r="L24" i="94"/>
  <c r="N24" i="94" s="1"/>
  <c r="B24" i="94"/>
  <c r="T23" i="94"/>
  <c r="P23" i="94"/>
  <c r="H23" i="94"/>
  <c r="L23" i="94" s="1"/>
  <c r="D23" i="94"/>
  <c r="B23" i="94"/>
  <c r="X22" i="94"/>
  <c r="T22" i="94"/>
  <c r="Z22" i="94" s="1"/>
  <c r="P22" i="94"/>
  <c r="H22" i="94"/>
  <c r="D22" i="94"/>
  <c r="L22" i="94" s="1"/>
  <c r="X18" i="94"/>
  <c r="Z18" i="94" s="1"/>
  <c r="L18" i="94"/>
  <c r="N18" i="94" s="1"/>
  <c r="B18" i="94"/>
  <c r="X17" i="94"/>
  <c r="Z17" i="94" s="1"/>
  <c r="L17" i="94"/>
  <c r="N17" i="94" s="1"/>
  <c r="B17" i="94"/>
  <c r="T16" i="94"/>
  <c r="P16" i="94"/>
  <c r="X16" i="94" s="1"/>
  <c r="J16" i="94"/>
  <c r="H16" i="94"/>
  <c r="D16" i="94"/>
  <c r="T14" i="94"/>
  <c r="P14" i="94"/>
  <c r="X14" i="94" s="1"/>
  <c r="H14" i="94"/>
  <c r="D14" i="94"/>
  <c r="D12" i="94" s="1"/>
  <c r="B14" i="94"/>
  <c r="T13" i="94"/>
  <c r="X13" i="94" s="1"/>
  <c r="Z13" i="94" s="1"/>
  <c r="P13" i="94"/>
  <c r="L13" i="94"/>
  <c r="H13" i="94"/>
  <c r="H12" i="94" s="1"/>
  <c r="J48" i="94" s="1"/>
  <c r="D13" i="94"/>
  <c r="B13" i="94"/>
  <c r="T12" i="94"/>
  <c r="V18" i="94" s="1"/>
  <c r="P12" i="94"/>
  <c r="R38" i="94" s="1"/>
  <c r="D6" i="94"/>
  <c r="D4" i="94"/>
  <c r="X76" i="93"/>
  <c r="Z76" i="93" s="1"/>
  <c r="N76" i="93"/>
  <c r="L76" i="93"/>
  <c r="T72" i="93"/>
  <c r="Z72" i="93" s="1"/>
  <c r="P72" i="93"/>
  <c r="X72" i="93" s="1"/>
  <c r="H72" i="93"/>
  <c r="N72" i="93" s="1"/>
  <c r="D72" i="93"/>
  <c r="X70" i="93"/>
  <c r="Z70" i="93" s="1"/>
  <c r="N70" i="93"/>
  <c r="L70" i="93"/>
  <c r="B70" i="93"/>
  <c r="T69" i="93"/>
  <c r="P69" i="93"/>
  <c r="X69" i="93" s="1"/>
  <c r="Z69" i="93" s="1"/>
  <c r="H69" i="93"/>
  <c r="N69" i="93" s="1"/>
  <c r="D69" i="93"/>
  <c r="L69" i="93" s="1"/>
  <c r="B69" i="93"/>
  <c r="X68" i="93"/>
  <c r="Z68" i="93" s="1"/>
  <c r="N68" i="93"/>
  <c r="L68" i="93"/>
  <c r="B68" i="93"/>
  <c r="X67" i="93"/>
  <c r="Z67" i="93" s="1"/>
  <c r="T67" i="93"/>
  <c r="P67" i="93"/>
  <c r="H67" i="93"/>
  <c r="D67" i="93"/>
  <c r="L67" i="93" s="1"/>
  <c r="N67" i="93" s="1"/>
  <c r="B67" i="93"/>
  <c r="Z66" i="93"/>
  <c r="X66" i="93"/>
  <c r="L66" i="93"/>
  <c r="N66" i="93" s="1"/>
  <c r="B66" i="93"/>
  <c r="X65" i="93"/>
  <c r="Z65" i="93" s="1"/>
  <c r="N65" i="93"/>
  <c r="L65" i="93"/>
  <c r="B65" i="93"/>
  <c r="Z64" i="93"/>
  <c r="X64" i="93"/>
  <c r="L64" i="93"/>
  <c r="N64" i="93" s="1"/>
  <c r="B64" i="93"/>
  <c r="Z63" i="93"/>
  <c r="X63" i="93"/>
  <c r="N63" i="93"/>
  <c r="L63" i="93"/>
  <c r="B63" i="93"/>
  <c r="Z62" i="93"/>
  <c r="X62" i="93"/>
  <c r="N62" i="93"/>
  <c r="L62" i="93"/>
  <c r="B62" i="93"/>
  <c r="X61" i="93"/>
  <c r="Z61" i="93" s="1"/>
  <c r="N61" i="93"/>
  <c r="L61" i="93"/>
  <c r="B61" i="93"/>
  <c r="Z60" i="93"/>
  <c r="X60" i="93"/>
  <c r="L60" i="93"/>
  <c r="N60" i="93" s="1"/>
  <c r="B60" i="93"/>
  <c r="T59" i="93"/>
  <c r="Z59" i="93" s="1"/>
  <c r="P59" i="93"/>
  <c r="X59" i="93" s="1"/>
  <c r="H59" i="93"/>
  <c r="D59" i="93"/>
  <c r="B59" i="93"/>
  <c r="X58" i="93"/>
  <c r="Z58" i="93" s="1"/>
  <c r="L58" i="93"/>
  <c r="N58" i="93" s="1"/>
  <c r="B58" i="93"/>
  <c r="X57" i="93"/>
  <c r="Z57" i="93" s="1"/>
  <c r="L57" i="93"/>
  <c r="N57" i="93" s="1"/>
  <c r="B57" i="93"/>
  <c r="X56" i="93"/>
  <c r="Z56" i="93" s="1"/>
  <c r="V56" i="93"/>
  <c r="N56" i="93"/>
  <c r="L56" i="93"/>
  <c r="B56" i="93"/>
  <c r="T55" i="93"/>
  <c r="P55" i="93"/>
  <c r="X55" i="93" s="1"/>
  <c r="L55" i="93"/>
  <c r="N55" i="93" s="1"/>
  <c r="H55" i="93"/>
  <c r="D55" i="93"/>
  <c r="B55" i="93"/>
  <c r="X54" i="93"/>
  <c r="Z54" i="93" s="1"/>
  <c r="N54" i="93"/>
  <c r="L54" i="93"/>
  <c r="B54" i="93"/>
  <c r="X53" i="93"/>
  <c r="T53" i="93"/>
  <c r="Z53" i="93" s="1"/>
  <c r="P53" i="93"/>
  <c r="L53" i="93"/>
  <c r="H53" i="93"/>
  <c r="N53" i="93" s="1"/>
  <c r="D53" i="93"/>
  <c r="B53" i="93"/>
  <c r="Z52" i="93"/>
  <c r="X52" i="93"/>
  <c r="L52" i="93"/>
  <c r="N52" i="93" s="1"/>
  <c r="B52" i="93"/>
  <c r="X51" i="93"/>
  <c r="Z51" i="93" s="1"/>
  <c r="N51" i="93"/>
  <c r="L51" i="93"/>
  <c r="B51" i="93"/>
  <c r="Z50" i="93"/>
  <c r="X50" i="93"/>
  <c r="T50" i="93"/>
  <c r="P50" i="93"/>
  <c r="H50" i="93"/>
  <c r="D50" i="93"/>
  <c r="L50" i="93" s="1"/>
  <c r="N50" i="93" s="1"/>
  <c r="B50" i="93"/>
  <c r="X49" i="93"/>
  <c r="Z49" i="93" s="1"/>
  <c r="L49" i="93"/>
  <c r="N49" i="93" s="1"/>
  <c r="B49" i="93"/>
  <c r="X48" i="93"/>
  <c r="V48" i="93"/>
  <c r="T48" i="93"/>
  <c r="Z48" i="93" s="1"/>
  <c r="P48" i="93"/>
  <c r="H48" i="93"/>
  <c r="D48" i="93"/>
  <c r="L48" i="93" s="1"/>
  <c r="B48" i="93"/>
  <c r="X47" i="93"/>
  <c r="Z47" i="93" s="1"/>
  <c r="N47" i="93"/>
  <c r="L47" i="93"/>
  <c r="B47" i="93"/>
  <c r="T46" i="93"/>
  <c r="P46" i="93"/>
  <c r="X46" i="93" s="1"/>
  <c r="N46" i="93"/>
  <c r="H46" i="93"/>
  <c r="D46" i="93"/>
  <c r="L46" i="93" s="1"/>
  <c r="B46" i="93"/>
  <c r="X45" i="93"/>
  <c r="Z45" i="93" s="1"/>
  <c r="L45" i="93"/>
  <c r="N45" i="93" s="1"/>
  <c r="B45" i="93"/>
  <c r="T44" i="93"/>
  <c r="P44" i="93"/>
  <c r="X44" i="93" s="1"/>
  <c r="Z44" i="93" s="1"/>
  <c r="H44" i="93"/>
  <c r="D44" i="93"/>
  <c r="L44" i="93" s="1"/>
  <c r="N44" i="93" s="1"/>
  <c r="B44" i="93"/>
  <c r="Z43" i="93"/>
  <c r="X43" i="93"/>
  <c r="L43" i="93"/>
  <c r="N43" i="93" s="1"/>
  <c r="B43" i="93"/>
  <c r="X42" i="93"/>
  <c r="T42" i="93"/>
  <c r="Z42" i="93" s="1"/>
  <c r="P42" i="93"/>
  <c r="L42" i="93"/>
  <c r="H42" i="93"/>
  <c r="N42" i="93" s="1"/>
  <c r="D42" i="93"/>
  <c r="B42" i="93"/>
  <c r="Z41" i="93"/>
  <c r="X41" i="93"/>
  <c r="N41" i="93"/>
  <c r="L41" i="93"/>
  <c r="F41" i="93"/>
  <c r="B41" i="93"/>
  <c r="T40" i="93"/>
  <c r="P40" i="93"/>
  <c r="H40" i="93"/>
  <c r="F40" i="93"/>
  <c r="D40" i="93"/>
  <c r="L40" i="93" s="1"/>
  <c r="B40" i="93"/>
  <c r="Z39" i="93"/>
  <c r="X39" i="93"/>
  <c r="N39" i="93"/>
  <c r="L39" i="93"/>
  <c r="B39" i="93"/>
  <c r="T38" i="93"/>
  <c r="P38" i="93"/>
  <c r="X38" i="93" s="1"/>
  <c r="Z38" i="93" s="1"/>
  <c r="H38" i="93"/>
  <c r="D38" i="93"/>
  <c r="L38" i="93" s="1"/>
  <c r="N38" i="93" s="1"/>
  <c r="B38" i="93"/>
  <c r="X37" i="93"/>
  <c r="Z37" i="93" s="1"/>
  <c r="N37" i="93"/>
  <c r="L37" i="93"/>
  <c r="B37" i="93"/>
  <c r="X36" i="93"/>
  <c r="Z36" i="93" s="1"/>
  <c r="V36" i="93"/>
  <c r="N36" i="93"/>
  <c r="L36" i="93"/>
  <c r="B36" i="93"/>
  <c r="Z35" i="93"/>
  <c r="X35" i="93"/>
  <c r="N35" i="93"/>
  <c r="L35" i="93"/>
  <c r="B35" i="93"/>
  <c r="X34" i="93"/>
  <c r="Z34" i="93" s="1"/>
  <c r="L34" i="93"/>
  <c r="N34" i="93" s="1"/>
  <c r="B34" i="93"/>
  <c r="X33" i="93"/>
  <c r="Z33" i="93" s="1"/>
  <c r="N33" i="93"/>
  <c r="L33" i="93"/>
  <c r="B33" i="93"/>
  <c r="X32" i="93"/>
  <c r="Z32" i="93" s="1"/>
  <c r="V32" i="93"/>
  <c r="L32" i="93"/>
  <c r="N32" i="93" s="1"/>
  <c r="B32" i="93"/>
  <c r="T31" i="93"/>
  <c r="P31" i="93"/>
  <c r="X31" i="93" s="1"/>
  <c r="H31" i="93"/>
  <c r="D31" i="93"/>
  <c r="L31" i="93" s="1"/>
  <c r="N31" i="93" s="1"/>
  <c r="B31" i="93"/>
  <c r="X30" i="93"/>
  <c r="Z30" i="93" s="1"/>
  <c r="N30" i="93"/>
  <c r="L30" i="93"/>
  <c r="B30" i="93"/>
  <c r="X29" i="93"/>
  <c r="Z29" i="93" s="1"/>
  <c r="N29" i="93"/>
  <c r="L29" i="93"/>
  <c r="F29" i="93"/>
  <c r="B29" i="93"/>
  <c r="X28" i="93"/>
  <c r="Z28" i="93" s="1"/>
  <c r="N28" i="93"/>
  <c r="L28" i="93"/>
  <c r="B28" i="93"/>
  <c r="X27" i="93"/>
  <c r="Z27" i="93" s="1"/>
  <c r="N27" i="93"/>
  <c r="L27" i="93"/>
  <c r="B27" i="93"/>
  <c r="X26" i="93"/>
  <c r="Z26" i="93" s="1"/>
  <c r="N26" i="93"/>
  <c r="L26" i="93"/>
  <c r="B26" i="93"/>
  <c r="X25" i="93"/>
  <c r="Z25" i="93" s="1"/>
  <c r="N25" i="93"/>
  <c r="L25" i="93"/>
  <c r="F25" i="93"/>
  <c r="B25" i="93"/>
  <c r="X24" i="93"/>
  <c r="Z24" i="93" s="1"/>
  <c r="N24" i="93"/>
  <c r="L24" i="93"/>
  <c r="B24" i="93"/>
  <c r="X23" i="93"/>
  <c r="Z23" i="93" s="1"/>
  <c r="N23" i="93"/>
  <c r="L23" i="93"/>
  <c r="B23" i="93"/>
  <c r="T22" i="93"/>
  <c r="Z22" i="93" s="1"/>
  <c r="P22" i="93"/>
  <c r="X22" i="93" s="1"/>
  <c r="H22" i="93"/>
  <c r="N22" i="93" s="1"/>
  <c r="D22" i="93"/>
  <c r="L22" i="93" s="1"/>
  <c r="B22" i="93"/>
  <c r="T21" i="93"/>
  <c r="P21" i="93"/>
  <c r="X21" i="93" s="1"/>
  <c r="H21" i="93"/>
  <c r="N21" i="93" s="1"/>
  <c r="D21" i="93"/>
  <c r="L21" i="93" s="1"/>
  <c r="T19" i="93"/>
  <c r="X17" i="93"/>
  <c r="Z17" i="93" s="1"/>
  <c r="L17" i="93"/>
  <c r="N17" i="93" s="1"/>
  <c r="B17" i="93"/>
  <c r="Z16" i="93"/>
  <c r="X16" i="93"/>
  <c r="T16" i="93"/>
  <c r="P16" i="93"/>
  <c r="N16" i="93"/>
  <c r="H16" i="93"/>
  <c r="D16" i="93"/>
  <c r="L16" i="93" s="1"/>
  <c r="T14" i="93"/>
  <c r="X14" i="93" s="1"/>
  <c r="Z14" i="93" s="1"/>
  <c r="P14" i="93"/>
  <c r="H14" i="93"/>
  <c r="D14" i="93"/>
  <c r="L14" i="93" s="1"/>
  <c r="B14" i="93"/>
  <c r="T13" i="93"/>
  <c r="Z13" i="93" s="1"/>
  <c r="P13" i="93"/>
  <c r="X13" i="93" s="1"/>
  <c r="L13" i="93"/>
  <c r="N13" i="93" s="1"/>
  <c r="H13" i="93"/>
  <c r="D13" i="93"/>
  <c r="B13" i="93"/>
  <c r="T12" i="93"/>
  <c r="V68" i="93" s="1"/>
  <c r="D12" i="93"/>
  <c r="F65" i="93" s="1"/>
  <c r="D6" i="93"/>
  <c r="D4" i="93"/>
  <c r="Z87" i="92"/>
  <c r="X87" i="92"/>
  <c r="N87" i="92"/>
  <c r="L87" i="92"/>
  <c r="Z83" i="92"/>
  <c r="T83" i="92"/>
  <c r="X83" i="92" s="1"/>
  <c r="P83" i="92"/>
  <c r="N83" i="92"/>
  <c r="L83" i="92"/>
  <c r="H83" i="92"/>
  <c r="D83" i="92"/>
  <c r="B83" i="92"/>
  <c r="T82" i="92"/>
  <c r="P82" i="92"/>
  <c r="H82" i="92"/>
  <c r="D82" i="92"/>
  <c r="B82" i="92"/>
  <c r="T81" i="92"/>
  <c r="H81" i="92"/>
  <c r="X79" i="92"/>
  <c r="Z79" i="92" s="1"/>
  <c r="N79" i="92"/>
  <c r="L79" i="92"/>
  <c r="B79" i="92"/>
  <c r="X78" i="92"/>
  <c r="T78" i="92"/>
  <c r="P78" i="92"/>
  <c r="L78" i="92"/>
  <c r="H78" i="92"/>
  <c r="D78" i="92"/>
  <c r="B78" i="92"/>
  <c r="Z77" i="92"/>
  <c r="X77" i="92"/>
  <c r="L77" i="92"/>
  <c r="N77" i="92" s="1"/>
  <c r="B77" i="92"/>
  <c r="Z76" i="92"/>
  <c r="X76" i="92"/>
  <c r="N76" i="92"/>
  <c r="L76" i="92"/>
  <c r="B76" i="92"/>
  <c r="Z75" i="92"/>
  <c r="X75" i="92"/>
  <c r="N75" i="92"/>
  <c r="L75" i="92"/>
  <c r="B75" i="92"/>
  <c r="T74" i="92"/>
  <c r="P74" i="92"/>
  <c r="H74" i="92"/>
  <c r="D74" i="92"/>
  <c r="L74" i="92" s="1"/>
  <c r="B74" i="92"/>
  <c r="Z73" i="92"/>
  <c r="X73" i="92"/>
  <c r="N73" i="92"/>
  <c r="L73" i="92"/>
  <c r="B73" i="92"/>
  <c r="Z72" i="92"/>
  <c r="T72" i="92"/>
  <c r="P72" i="92"/>
  <c r="X72" i="92" s="1"/>
  <c r="H72" i="92"/>
  <c r="N72" i="92" s="1"/>
  <c r="D72" i="92"/>
  <c r="L72" i="92" s="1"/>
  <c r="B72" i="92"/>
  <c r="Z71" i="92"/>
  <c r="X71" i="92"/>
  <c r="N71" i="92"/>
  <c r="L71" i="92"/>
  <c r="B71" i="92"/>
  <c r="X70" i="92"/>
  <c r="T70" i="92"/>
  <c r="Z70" i="92" s="1"/>
  <c r="P70" i="92"/>
  <c r="L70" i="92"/>
  <c r="H70" i="92"/>
  <c r="N70" i="92" s="1"/>
  <c r="D70" i="92"/>
  <c r="B70" i="92"/>
  <c r="Z69" i="92"/>
  <c r="X69" i="92"/>
  <c r="N69" i="92"/>
  <c r="L69" i="92"/>
  <c r="B69" i="92"/>
  <c r="Z68" i="92"/>
  <c r="X68" i="92"/>
  <c r="N68" i="92"/>
  <c r="L68" i="92"/>
  <c r="B68" i="92"/>
  <c r="Z67" i="92"/>
  <c r="X67" i="92"/>
  <c r="L67" i="92"/>
  <c r="N67" i="92" s="1"/>
  <c r="B67" i="92"/>
  <c r="X66" i="92"/>
  <c r="Z66" i="92" s="1"/>
  <c r="R66" i="92"/>
  <c r="L66" i="92"/>
  <c r="N66" i="92" s="1"/>
  <c r="B66" i="92"/>
  <c r="Z65" i="92"/>
  <c r="X65" i="92"/>
  <c r="L65" i="92"/>
  <c r="N65" i="92" s="1"/>
  <c r="B65" i="92"/>
  <c r="X64" i="92"/>
  <c r="Z64" i="92" s="1"/>
  <c r="L64" i="92"/>
  <c r="N64" i="92" s="1"/>
  <c r="B64" i="92"/>
  <c r="Z63" i="92"/>
  <c r="X63" i="92"/>
  <c r="L63" i="92"/>
  <c r="N63" i="92" s="1"/>
  <c r="B63" i="92"/>
  <c r="T62" i="92"/>
  <c r="P62" i="92"/>
  <c r="X62" i="92" s="1"/>
  <c r="H62" i="92"/>
  <c r="D62" i="92"/>
  <c r="L62" i="92" s="1"/>
  <c r="B62" i="92"/>
  <c r="X61" i="92"/>
  <c r="Z61" i="92" s="1"/>
  <c r="V61" i="92"/>
  <c r="N61" i="92"/>
  <c r="L61" i="92"/>
  <c r="B61" i="92"/>
  <c r="X60" i="92"/>
  <c r="Z60" i="92" s="1"/>
  <c r="L60" i="92"/>
  <c r="N60" i="92" s="1"/>
  <c r="B60" i="92"/>
  <c r="X59" i="92"/>
  <c r="Z59" i="92" s="1"/>
  <c r="N59" i="92"/>
  <c r="L59" i="92"/>
  <c r="F59" i="92"/>
  <c r="B59" i="92"/>
  <c r="X58" i="92"/>
  <c r="Z58" i="92" s="1"/>
  <c r="L58" i="92"/>
  <c r="N58" i="92" s="1"/>
  <c r="B58" i="92"/>
  <c r="X57" i="92"/>
  <c r="Z57" i="92" s="1"/>
  <c r="L57" i="92"/>
  <c r="N57" i="92" s="1"/>
  <c r="B57" i="92"/>
  <c r="X56" i="92"/>
  <c r="T56" i="92"/>
  <c r="P56" i="92"/>
  <c r="L56" i="92"/>
  <c r="H56" i="92"/>
  <c r="D56" i="92"/>
  <c r="B56" i="92"/>
  <c r="X55" i="92"/>
  <c r="Z55" i="92" s="1"/>
  <c r="V55" i="92"/>
  <c r="N55" i="92"/>
  <c r="L55" i="92"/>
  <c r="B55" i="92"/>
  <c r="Z54" i="92"/>
  <c r="X54" i="92"/>
  <c r="L54" i="92"/>
  <c r="N54" i="92" s="1"/>
  <c r="B54" i="92"/>
  <c r="X53" i="92"/>
  <c r="Z53" i="92" s="1"/>
  <c r="N53" i="92"/>
  <c r="L53" i="92"/>
  <c r="F53" i="92"/>
  <c r="B53" i="92"/>
  <c r="X52" i="92"/>
  <c r="T52" i="92"/>
  <c r="Z52" i="92" s="1"/>
  <c r="P52" i="92"/>
  <c r="H52" i="92"/>
  <c r="F52" i="92"/>
  <c r="D52" i="92"/>
  <c r="L52" i="92" s="1"/>
  <c r="B52" i="92"/>
  <c r="Z51" i="92"/>
  <c r="X51" i="92"/>
  <c r="N51" i="92"/>
  <c r="L51" i="92"/>
  <c r="B51" i="92"/>
  <c r="Z50" i="92"/>
  <c r="X50" i="92"/>
  <c r="T50" i="92"/>
  <c r="P50" i="92"/>
  <c r="N50" i="92"/>
  <c r="H50" i="92"/>
  <c r="D50" i="92"/>
  <c r="L50" i="92" s="1"/>
  <c r="B50" i="92"/>
  <c r="Z49" i="92"/>
  <c r="X49" i="92"/>
  <c r="L49" i="92"/>
  <c r="N49" i="92" s="1"/>
  <c r="B49" i="92"/>
  <c r="V48" i="92"/>
  <c r="T48" i="92"/>
  <c r="P48" i="92"/>
  <c r="H48" i="92"/>
  <c r="D48" i="92"/>
  <c r="L48" i="92" s="1"/>
  <c r="N48" i="92" s="1"/>
  <c r="B48" i="92"/>
  <c r="X47" i="92"/>
  <c r="Z47" i="92" s="1"/>
  <c r="V47" i="92"/>
  <c r="L47" i="92"/>
  <c r="N47" i="92" s="1"/>
  <c r="B47" i="92"/>
  <c r="T46" i="92"/>
  <c r="R46" i="92"/>
  <c r="P46" i="92"/>
  <c r="X46" i="92" s="1"/>
  <c r="L46" i="92"/>
  <c r="N46" i="92" s="1"/>
  <c r="H46" i="92"/>
  <c r="D46" i="92"/>
  <c r="B46" i="92"/>
  <c r="X45" i="92"/>
  <c r="Z45" i="92" s="1"/>
  <c r="R45" i="92"/>
  <c r="N45" i="92"/>
  <c r="L45" i="92"/>
  <c r="B45" i="92"/>
  <c r="T44" i="92"/>
  <c r="P44" i="92"/>
  <c r="X44" i="92" s="1"/>
  <c r="Z44" i="92" s="1"/>
  <c r="N44" i="92"/>
  <c r="L44" i="92"/>
  <c r="H44" i="92"/>
  <c r="D44" i="92"/>
  <c r="B44" i="92"/>
  <c r="X43" i="92"/>
  <c r="Z43" i="92" s="1"/>
  <c r="L43" i="92"/>
  <c r="N43" i="92" s="1"/>
  <c r="J43" i="92"/>
  <c r="B43" i="92"/>
  <c r="T42" i="92"/>
  <c r="P42" i="92"/>
  <c r="X42" i="92" s="1"/>
  <c r="Z42" i="92" s="1"/>
  <c r="J42" i="92"/>
  <c r="H42" i="92"/>
  <c r="D42" i="92"/>
  <c r="B42" i="92"/>
  <c r="X41" i="92"/>
  <c r="Z41" i="92" s="1"/>
  <c r="L41" i="92"/>
  <c r="N41" i="92" s="1"/>
  <c r="F41" i="92"/>
  <c r="B41" i="92"/>
  <c r="X40" i="92"/>
  <c r="Z40" i="92" s="1"/>
  <c r="N40" i="92"/>
  <c r="L40" i="92"/>
  <c r="B40" i="92"/>
  <c r="X39" i="92"/>
  <c r="Z39" i="92" s="1"/>
  <c r="V39" i="92"/>
  <c r="N39" i="92"/>
  <c r="L39" i="92"/>
  <c r="B39" i="92"/>
  <c r="T38" i="92"/>
  <c r="Z38" i="92" s="1"/>
  <c r="R38" i="92"/>
  <c r="P38" i="92"/>
  <c r="X38" i="92" s="1"/>
  <c r="L38" i="92"/>
  <c r="H38" i="92"/>
  <c r="N38" i="92" s="1"/>
  <c r="D38" i="92"/>
  <c r="B38" i="92"/>
  <c r="X37" i="92"/>
  <c r="Z37" i="92" s="1"/>
  <c r="V37" i="92"/>
  <c r="R37" i="92"/>
  <c r="N37" i="92"/>
  <c r="L37" i="92"/>
  <c r="B37" i="92"/>
  <c r="T36" i="92"/>
  <c r="P36" i="92"/>
  <c r="X36" i="92" s="1"/>
  <c r="Z36" i="92" s="1"/>
  <c r="N36" i="92"/>
  <c r="L36" i="92"/>
  <c r="H36" i="92"/>
  <c r="D36" i="92"/>
  <c r="B36" i="92"/>
  <c r="Z35" i="92"/>
  <c r="X35" i="92"/>
  <c r="L35" i="92"/>
  <c r="N35" i="92" s="1"/>
  <c r="J35" i="92"/>
  <c r="B35" i="92"/>
  <c r="Z34" i="92"/>
  <c r="X34" i="92"/>
  <c r="N34" i="92"/>
  <c r="L34" i="92"/>
  <c r="F34" i="92"/>
  <c r="B34" i="92"/>
  <c r="Z33" i="92"/>
  <c r="X33" i="92"/>
  <c r="L33" i="92"/>
  <c r="N33" i="92" s="1"/>
  <c r="B33" i="92"/>
  <c r="X32" i="92"/>
  <c r="Z32" i="92" s="1"/>
  <c r="V32" i="92"/>
  <c r="R32" i="92"/>
  <c r="L32" i="92"/>
  <c r="N32" i="92" s="1"/>
  <c r="B32" i="92"/>
  <c r="Z31" i="92"/>
  <c r="X31" i="92"/>
  <c r="L31" i="92"/>
  <c r="N31" i="92" s="1"/>
  <c r="J31" i="92"/>
  <c r="B31" i="92"/>
  <c r="Z30" i="92"/>
  <c r="X30" i="92"/>
  <c r="V30" i="92"/>
  <c r="L30" i="92"/>
  <c r="N30" i="92" s="1"/>
  <c r="F30" i="92"/>
  <c r="B30" i="92"/>
  <c r="V29" i="92"/>
  <c r="T29" i="92"/>
  <c r="P29" i="92"/>
  <c r="X29" i="92" s="1"/>
  <c r="Z29" i="92" s="1"/>
  <c r="H29" i="92"/>
  <c r="N29" i="92" s="1"/>
  <c r="F29" i="92"/>
  <c r="D29" i="92"/>
  <c r="L29" i="92" s="1"/>
  <c r="B29" i="92"/>
  <c r="X28" i="92"/>
  <c r="Z28" i="92" s="1"/>
  <c r="N28" i="92"/>
  <c r="L28" i="92"/>
  <c r="B28" i="92"/>
  <c r="X27" i="92"/>
  <c r="Z27" i="92" s="1"/>
  <c r="V27" i="92"/>
  <c r="N27" i="92"/>
  <c r="L27" i="92"/>
  <c r="F27" i="92"/>
  <c r="B27" i="92"/>
  <c r="X26" i="92"/>
  <c r="Z26" i="92" s="1"/>
  <c r="N26" i="92"/>
  <c r="L26" i="92"/>
  <c r="B26" i="92"/>
  <c r="X25" i="92"/>
  <c r="Z25" i="92" s="1"/>
  <c r="L25" i="92"/>
  <c r="N25" i="92" s="1"/>
  <c r="F25" i="92"/>
  <c r="B25" i="92"/>
  <c r="X24" i="92"/>
  <c r="Z24" i="92" s="1"/>
  <c r="N24" i="92"/>
  <c r="L24" i="92"/>
  <c r="B24" i="92"/>
  <c r="X23" i="92"/>
  <c r="Z23" i="92" s="1"/>
  <c r="V23" i="92"/>
  <c r="N23" i="92"/>
  <c r="L23" i="92"/>
  <c r="F23" i="92"/>
  <c r="B23" i="92"/>
  <c r="Z22" i="92"/>
  <c r="X22" i="92"/>
  <c r="V22" i="92"/>
  <c r="L22" i="92"/>
  <c r="N22" i="92" s="1"/>
  <c r="B22" i="92"/>
  <c r="X21" i="92"/>
  <c r="Z21" i="92" s="1"/>
  <c r="V21" i="92"/>
  <c r="N21" i="92"/>
  <c r="L21" i="92"/>
  <c r="F21" i="92"/>
  <c r="B21" i="92"/>
  <c r="X20" i="92"/>
  <c r="Z20" i="92" s="1"/>
  <c r="V20" i="92"/>
  <c r="N20" i="92"/>
  <c r="L20" i="92"/>
  <c r="B20" i="92"/>
  <c r="X19" i="92"/>
  <c r="Z19" i="92" s="1"/>
  <c r="V19" i="92"/>
  <c r="T19" i="92"/>
  <c r="P19" i="92"/>
  <c r="H19" i="92"/>
  <c r="D19" i="92"/>
  <c r="L19" i="92" s="1"/>
  <c r="B19" i="92"/>
  <c r="X18" i="92"/>
  <c r="Z18" i="92" s="1"/>
  <c r="T18" i="92"/>
  <c r="P18" i="92"/>
  <c r="H18" i="92"/>
  <c r="F18" i="92"/>
  <c r="D18" i="92"/>
  <c r="L18" i="92" s="1"/>
  <c r="N18" i="92" s="1"/>
  <c r="F16" i="92"/>
  <c r="Z14" i="92"/>
  <c r="X14" i="92"/>
  <c r="T14" i="92"/>
  <c r="T16" i="92" s="1"/>
  <c r="T85" i="92" s="1"/>
  <c r="P14" i="92"/>
  <c r="N14" i="92"/>
  <c r="H14" i="92"/>
  <c r="F14" i="92"/>
  <c r="D14" i="92"/>
  <c r="L14" i="92" s="1"/>
  <c r="Z12" i="92"/>
  <c r="X12" i="92"/>
  <c r="T12" i="92"/>
  <c r="V63" i="92" s="1"/>
  <c r="P12" i="92"/>
  <c r="R56" i="92" s="1"/>
  <c r="H12" i="92"/>
  <c r="J65" i="92" s="1"/>
  <c r="D12" i="92"/>
  <c r="F81" i="92" s="1"/>
  <c r="D6" i="92"/>
  <c r="D4" i="92"/>
  <c r="X72" i="89"/>
  <c r="Z72" i="89" s="1"/>
  <c r="L72" i="89"/>
  <c r="N72" i="89" s="1"/>
  <c r="T68" i="89"/>
  <c r="Z68" i="89" s="1"/>
  <c r="P68" i="89"/>
  <c r="X68" i="89" s="1"/>
  <c r="N68" i="89"/>
  <c r="L68" i="89"/>
  <c r="H68" i="89"/>
  <c r="D68" i="89"/>
  <c r="Z66" i="89"/>
  <c r="X66" i="89"/>
  <c r="N66" i="89"/>
  <c r="L66" i="89"/>
  <c r="F66" i="89"/>
  <c r="B66" i="89"/>
  <c r="Z65" i="89"/>
  <c r="T65" i="89"/>
  <c r="P65" i="89"/>
  <c r="X65" i="89" s="1"/>
  <c r="H65" i="89"/>
  <c r="N65" i="89" s="1"/>
  <c r="F65" i="89"/>
  <c r="D65" i="89"/>
  <c r="L65" i="89" s="1"/>
  <c r="B65" i="89"/>
  <c r="X64" i="89"/>
  <c r="Z64" i="89" s="1"/>
  <c r="L64" i="89"/>
  <c r="N64" i="89" s="1"/>
  <c r="B64" i="89"/>
  <c r="Z63" i="89"/>
  <c r="T63" i="89"/>
  <c r="P63" i="89"/>
  <c r="X63" i="89" s="1"/>
  <c r="H63" i="89"/>
  <c r="N63" i="89" s="1"/>
  <c r="D63" i="89"/>
  <c r="L63" i="89" s="1"/>
  <c r="B63" i="89"/>
  <c r="X62" i="89"/>
  <c r="Z62" i="89" s="1"/>
  <c r="N62" i="89"/>
  <c r="L62" i="89"/>
  <c r="B62" i="89"/>
  <c r="X61" i="89"/>
  <c r="Z61" i="89" s="1"/>
  <c r="N61" i="89"/>
  <c r="L61" i="89"/>
  <c r="B61" i="89"/>
  <c r="X60" i="89"/>
  <c r="Z60" i="89" s="1"/>
  <c r="N60" i="89"/>
  <c r="L60" i="89"/>
  <c r="B60" i="89"/>
  <c r="X59" i="89"/>
  <c r="Z59" i="89" s="1"/>
  <c r="L59" i="89"/>
  <c r="N59" i="89" s="1"/>
  <c r="F59" i="89"/>
  <c r="B59" i="89"/>
  <c r="X58" i="89"/>
  <c r="Z58" i="89" s="1"/>
  <c r="L58" i="89"/>
  <c r="N58" i="89" s="1"/>
  <c r="B58" i="89"/>
  <c r="X57" i="89"/>
  <c r="Z57" i="89" s="1"/>
  <c r="N57" i="89"/>
  <c r="L57" i="89"/>
  <c r="B57" i="89"/>
  <c r="T56" i="89"/>
  <c r="Z56" i="89" s="1"/>
  <c r="R56" i="89"/>
  <c r="P56" i="89"/>
  <c r="X56" i="89" s="1"/>
  <c r="L56" i="89"/>
  <c r="H56" i="89"/>
  <c r="N56" i="89" s="1"/>
  <c r="D56" i="89"/>
  <c r="B56" i="89"/>
  <c r="X55" i="89"/>
  <c r="Z55" i="89" s="1"/>
  <c r="N55" i="89"/>
  <c r="L55" i="89"/>
  <c r="B55" i="89"/>
  <c r="T54" i="89"/>
  <c r="P54" i="89"/>
  <c r="X54" i="89" s="1"/>
  <c r="Z54" i="89" s="1"/>
  <c r="L54" i="89"/>
  <c r="N54" i="89" s="1"/>
  <c r="H54" i="89"/>
  <c r="D54" i="89"/>
  <c r="B54" i="89"/>
  <c r="Z53" i="89"/>
  <c r="X53" i="89"/>
  <c r="L53" i="89"/>
  <c r="N53" i="89" s="1"/>
  <c r="B53" i="89"/>
  <c r="X52" i="89"/>
  <c r="Z52" i="89" s="1"/>
  <c r="N52" i="89"/>
  <c r="L52" i="89"/>
  <c r="B52" i="89"/>
  <c r="Z51" i="89"/>
  <c r="X51" i="89"/>
  <c r="N51" i="89"/>
  <c r="L51" i="89"/>
  <c r="B51" i="89"/>
  <c r="T50" i="89"/>
  <c r="P50" i="89"/>
  <c r="X50" i="89" s="1"/>
  <c r="H50" i="89"/>
  <c r="N50" i="89" s="1"/>
  <c r="D50" i="89"/>
  <c r="L50" i="89" s="1"/>
  <c r="B50" i="89"/>
  <c r="X49" i="89"/>
  <c r="Z49" i="89" s="1"/>
  <c r="N49" i="89"/>
  <c r="L49" i="89"/>
  <c r="B49" i="89"/>
  <c r="T48" i="89"/>
  <c r="Z48" i="89" s="1"/>
  <c r="P48" i="89"/>
  <c r="X48" i="89" s="1"/>
  <c r="H48" i="89"/>
  <c r="N48" i="89" s="1"/>
  <c r="D48" i="89"/>
  <c r="L48" i="89" s="1"/>
  <c r="B48" i="89"/>
  <c r="Z47" i="89"/>
  <c r="X47" i="89"/>
  <c r="N47" i="89"/>
  <c r="L47" i="89"/>
  <c r="B47" i="89"/>
  <c r="Z46" i="89"/>
  <c r="X46" i="89"/>
  <c r="T46" i="89"/>
  <c r="P46" i="89"/>
  <c r="N46" i="89"/>
  <c r="L46" i="89"/>
  <c r="H46" i="89"/>
  <c r="D46" i="89"/>
  <c r="B46" i="89"/>
  <c r="Z45" i="89"/>
  <c r="X45" i="89"/>
  <c r="L45" i="89"/>
  <c r="N45" i="89" s="1"/>
  <c r="B45" i="89"/>
  <c r="T44" i="89"/>
  <c r="P44" i="89"/>
  <c r="X44" i="89" s="1"/>
  <c r="H44" i="89"/>
  <c r="D44" i="89"/>
  <c r="B44" i="89"/>
  <c r="X43" i="89"/>
  <c r="Z43" i="89" s="1"/>
  <c r="L43" i="89"/>
  <c r="N43" i="89" s="1"/>
  <c r="F43" i="89"/>
  <c r="B43" i="89"/>
  <c r="T42" i="89"/>
  <c r="Z42" i="89" s="1"/>
  <c r="P42" i="89"/>
  <c r="X42" i="89" s="1"/>
  <c r="H42" i="89"/>
  <c r="D42" i="89"/>
  <c r="B42" i="89"/>
  <c r="Z41" i="89"/>
  <c r="X41" i="89"/>
  <c r="N41" i="89"/>
  <c r="L41" i="89"/>
  <c r="B41" i="89"/>
  <c r="Z40" i="89"/>
  <c r="X40" i="89"/>
  <c r="T40" i="89"/>
  <c r="P40" i="89"/>
  <c r="H40" i="89"/>
  <c r="D40" i="89"/>
  <c r="L40" i="89" s="1"/>
  <c r="N40" i="89" s="1"/>
  <c r="B40" i="89"/>
  <c r="Z39" i="89"/>
  <c r="X39" i="89"/>
  <c r="L39" i="89"/>
  <c r="N39" i="89" s="1"/>
  <c r="B39" i="89"/>
  <c r="T38" i="89"/>
  <c r="P38" i="89"/>
  <c r="H38" i="89"/>
  <c r="D38" i="89"/>
  <c r="L38" i="89" s="1"/>
  <c r="B38" i="89"/>
  <c r="X37" i="89"/>
  <c r="Z37" i="89" s="1"/>
  <c r="N37" i="89"/>
  <c r="L37" i="89"/>
  <c r="B37" i="89"/>
  <c r="X36" i="89"/>
  <c r="Z36" i="89" s="1"/>
  <c r="N36" i="89"/>
  <c r="L36" i="89"/>
  <c r="B36" i="89"/>
  <c r="Z35" i="89"/>
  <c r="X35" i="89"/>
  <c r="N35" i="89"/>
  <c r="L35" i="89"/>
  <c r="F35" i="89"/>
  <c r="B35" i="89"/>
  <c r="X34" i="89"/>
  <c r="Z34" i="89" s="1"/>
  <c r="L34" i="89"/>
  <c r="N34" i="89" s="1"/>
  <c r="B34" i="89"/>
  <c r="X33" i="89"/>
  <c r="Z33" i="89" s="1"/>
  <c r="N33" i="89"/>
  <c r="L33" i="89"/>
  <c r="B33" i="89"/>
  <c r="T32" i="89"/>
  <c r="Z32" i="89" s="1"/>
  <c r="R32" i="89"/>
  <c r="P32" i="89"/>
  <c r="X32" i="89" s="1"/>
  <c r="H32" i="89"/>
  <c r="D32" i="89"/>
  <c r="L32" i="89" s="1"/>
  <c r="B32" i="89"/>
  <c r="Z31" i="89"/>
  <c r="X31" i="89"/>
  <c r="R31" i="89"/>
  <c r="N31" i="89"/>
  <c r="L31" i="89"/>
  <c r="B31" i="89"/>
  <c r="X30" i="89"/>
  <c r="Z30" i="89" s="1"/>
  <c r="L30" i="89"/>
  <c r="N30" i="89" s="1"/>
  <c r="F30" i="89"/>
  <c r="B30" i="89"/>
  <c r="Z29" i="89"/>
  <c r="X29" i="89"/>
  <c r="N29" i="89"/>
  <c r="L29" i="89"/>
  <c r="B29" i="89"/>
  <c r="X28" i="89"/>
  <c r="Z28" i="89" s="1"/>
  <c r="L28" i="89"/>
  <c r="N28" i="89" s="1"/>
  <c r="B28" i="89"/>
  <c r="Z27" i="89"/>
  <c r="X27" i="89"/>
  <c r="N27" i="89"/>
  <c r="L27" i="89"/>
  <c r="B27" i="89"/>
  <c r="X26" i="89"/>
  <c r="Z26" i="89" s="1"/>
  <c r="L26" i="89"/>
  <c r="N26" i="89" s="1"/>
  <c r="F26" i="89"/>
  <c r="B26" i="89"/>
  <c r="Z25" i="89"/>
  <c r="X25" i="89"/>
  <c r="N25" i="89"/>
  <c r="L25" i="89"/>
  <c r="B25" i="89"/>
  <c r="X24" i="89"/>
  <c r="Z24" i="89" s="1"/>
  <c r="L24" i="89"/>
  <c r="N24" i="89" s="1"/>
  <c r="B24" i="89"/>
  <c r="T23" i="89"/>
  <c r="P23" i="89"/>
  <c r="X23" i="89" s="1"/>
  <c r="H23" i="89"/>
  <c r="N23" i="89" s="1"/>
  <c r="D23" i="89"/>
  <c r="L23" i="89" s="1"/>
  <c r="B23" i="89"/>
  <c r="T22" i="89"/>
  <c r="P22" i="89"/>
  <c r="X22" i="89" s="1"/>
  <c r="H22" i="89"/>
  <c r="N22" i="89" s="1"/>
  <c r="D22" i="89"/>
  <c r="L22" i="89" s="1"/>
  <c r="X18" i="89"/>
  <c r="Z18" i="89" s="1"/>
  <c r="V18" i="89"/>
  <c r="R18" i="89"/>
  <c r="L18" i="89"/>
  <c r="N18" i="89" s="1"/>
  <c r="B18" i="89"/>
  <c r="X17" i="89"/>
  <c r="Z17" i="89" s="1"/>
  <c r="L17" i="89"/>
  <c r="N17" i="89" s="1"/>
  <c r="B17" i="89"/>
  <c r="T16" i="89"/>
  <c r="P16" i="89"/>
  <c r="X16" i="89" s="1"/>
  <c r="H16" i="89"/>
  <c r="D16" i="89"/>
  <c r="D20" i="89" s="1"/>
  <c r="T14" i="89"/>
  <c r="Z14" i="89" s="1"/>
  <c r="P14" i="89"/>
  <c r="X14" i="89" s="1"/>
  <c r="L14" i="89"/>
  <c r="N14" i="89" s="1"/>
  <c r="H14" i="89"/>
  <c r="D14" i="89"/>
  <c r="B14" i="89"/>
  <c r="Z13" i="89"/>
  <c r="T13" i="89"/>
  <c r="X13" i="89" s="1"/>
  <c r="P13" i="89"/>
  <c r="H13" i="89"/>
  <c r="D13" i="89"/>
  <c r="L13" i="89" s="1"/>
  <c r="B13" i="89"/>
  <c r="T12" i="89"/>
  <c r="V22" i="89" s="1"/>
  <c r="P12" i="89"/>
  <c r="R27" i="89" s="1"/>
  <c r="D12" i="89"/>
  <c r="F72" i="89" s="1"/>
  <c r="D6" i="89"/>
  <c r="D4" i="89"/>
  <c r="X84" i="88"/>
  <c r="Z84" i="88" s="1"/>
  <c r="N84" i="88"/>
  <c r="L84" i="88"/>
  <c r="T80" i="88"/>
  <c r="Z80" i="88" s="1"/>
  <c r="P80" i="88"/>
  <c r="X80" i="88" s="1"/>
  <c r="H80" i="88"/>
  <c r="N80" i="88" s="1"/>
  <c r="D80" i="88"/>
  <c r="X78" i="88"/>
  <c r="Z78" i="88" s="1"/>
  <c r="L78" i="88"/>
  <c r="N78" i="88" s="1"/>
  <c r="B78" i="88"/>
  <c r="Z77" i="88"/>
  <c r="T77" i="88"/>
  <c r="P77" i="88"/>
  <c r="X77" i="88" s="1"/>
  <c r="H77" i="88"/>
  <c r="D77" i="88"/>
  <c r="L77" i="88" s="1"/>
  <c r="N77" i="88" s="1"/>
  <c r="B77" i="88"/>
  <c r="X76" i="88"/>
  <c r="Z76" i="88" s="1"/>
  <c r="L76" i="88"/>
  <c r="N76" i="88" s="1"/>
  <c r="B76" i="88"/>
  <c r="X75" i="88"/>
  <c r="T75" i="88"/>
  <c r="P75" i="88"/>
  <c r="J75" i="88"/>
  <c r="H75" i="88"/>
  <c r="N75" i="88" s="1"/>
  <c r="D75" i="88"/>
  <c r="L75" i="88" s="1"/>
  <c r="B75" i="88"/>
  <c r="X74" i="88"/>
  <c r="Z74" i="88" s="1"/>
  <c r="N74" i="88"/>
  <c r="L74" i="88"/>
  <c r="B74" i="88"/>
  <c r="Z73" i="88"/>
  <c r="T73" i="88"/>
  <c r="X73" i="88" s="1"/>
  <c r="P73" i="88"/>
  <c r="H73" i="88"/>
  <c r="D73" i="88"/>
  <c r="L73" i="88" s="1"/>
  <c r="N73" i="88" s="1"/>
  <c r="B73" i="88"/>
  <c r="Z72" i="88"/>
  <c r="X72" i="88"/>
  <c r="R72" i="88"/>
  <c r="N72" i="88"/>
  <c r="L72" i="88"/>
  <c r="B72" i="88"/>
  <c r="X71" i="88"/>
  <c r="Z71" i="88" s="1"/>
  <c r="N71" i="88"/>
  <c r="L71" i="88"/>
  <c r="B71" i="88"/>
  <c r="Z70" i="88"/>
  <c r="X70" i="88"/>
  <c r="N70" i="88"/>
  <c r="L70" i="88"/>
  <c r="B70" i="88"/>
  <c r="X69" i="88"/>
  <c r="Z69" i="88" s="1"/>
  <c r="L69" i="88"/>
  <c r="N69" i="88" s="1"/>
  <c r="B69" i="88"/>
  <c r="Z68" i="88"/>
  <c r="X68" i="88"/>
  <c r="L68" i="88"/>
  <c r="N68" i="88" s="1"/>
  <c r="B68" i="88"/>
  <c r="X67" i="88"/>
  <c r="Z67" i="88" s="1"/>
  <c r="N67" i="88"/>
  <c r="L67" i="88"/>
  <c r="B67" i="88"/>
  <c r="Z66" i="88"/>
  <c r="X66" i="88"/>
  <c r="N66" i="88"/>
  <c r="L66" i="88"/>
  <c r="B66" i="88"/>
  <c r="X65" i="88"/>
  <c r="T65" i="88"/>
  <c r="Z65" i="88" s="1"/>
  <c r="P65" i="88"/>
  <c r="L65" i="88"/>
  <c r="H65" i="88"/>
  <c r="N65" i="88" s="1"/>
  <c r="D65" i="88"/>
  <c r="B65" i="88"/>
  <c r="X64" i="88"/>
  <c r="Z64" i="88" s="1"/>
  <c r="N64" i="88"/>
  <c r="L64" i="88"/>
  <c r="B64" i="88"/>
  <c r="T63" i="88"/>
  <c r="R63" i="88"/>
  <c r="P63" i="88"/>
  <c r="X63" i="88" s="1"/>
  <c r="H63" i="88"/>
  <c r="D63" i="88"/>
  <c r="L63" i="88" s="1"/>
  <c r="B63" i="88"/>
  <c r="Z62" i="88"/>
  <c r="X62" i="88"/>
  <c r="R62" i="88"/>
  <c r="N62" i="88"/>
  <c r="L62" i="88"/>
  <c r="B62" i="88"/>
  <c r="Z61" i="88"/>
  <c r="X61" i="88"/>
  <c r="L61" i="88"/>
  <c r="N61" i="88" s="1"/>
  <c r="B61" i="88"/>
  <c r="Z60" i="88"/>
  <c r="X60" i="88"/>
  <c r="N60" i="88"/>
  <c r="L60" i="88"/>
  <c r="B60" i="88"/>
  <c r="Z59" i="88"/>
  <c r="X59" i="88"/>
  <c r="T59" i="88"/>
  <c r="P59" i="88"/>
  <c r="H59" i="88"/>
  <c r="D59" i="88"/>
  <c r="L59" i="88" s="1"/>
  <c r="N59" i="88" s="1"/>
  <c r="B59" i="88"/>
  <c r="Z58" i="88"/>
  <c r="X58" i="88"/>
  <c r="L58" i="88"/>
  <c r="N58" i="88" s="1"/>
  <c r="B58" i="88"/>
  <c r="X57" i="88"/>
  <c r="T57" i="88"/>
  <c r="Z57" i="88" s="1"/>
  <c r="P57" i="88"/>
  <c r="L57" i="88"/>
  <c r="H57" i="88"/>
  <c r="N57" i="88" s="1"/>
  <c r="D57" i="88"/>
  <c r="B57" i="88"/>
  <c r="X56" i="88"/>
  <c r="Z56" i="88" s="1"/>
  <c r="N56" i="88"/>
  <c r="L56" i="88"/>
  <c r="B56" i="88"/>
  <c r="X55" i="88"/>
  <c r="Z55" i="88" s="1"/>
  <c r="N55" i="88"/>
  <c r="L55" i="88"/>
  <c r="B55" i="88"/>
  <c r="X54" i="88"/>
  <c r="Z54" i="88" s="1"/>
  <c r="T54" i="88"/>
  <c r="P54" i="88"/>
  <c r="L54" i="88"/>
  <c r="N54" i="88" s="1"/>
  <c r="H54" i="88"/>
  <c r="D54" i="88"/>
  <c r="B54" i="88"/>
  <c r="Z53" i="88"/>
  <c r="X53" i="88"/>
  <c r="L53" i="88"/>
  <c r="N53" i="88" s="1"/>
  <c r="J53" i="88"/>
  <c r="B53" i="88"/>
  <c r="T52" i="88"/>
  <c r="P52" i="88"/>
  <c r="X52" i="88" s="1"/>
  <c r="H52" i="88"/>
  <c r="D52" i="88"/>
  <c r="L52" i="88" s="1"/>
  <c r="B52" i="88"/>
  <c r="X51" i="88"/>
  <c r="Z51" i="88" s="1"/>
  <c r="N51" i="88"/>
  <c r="L51" i="88"/>
  <c r="B51" i="88"/>
  <c r="T50" i="88"/>
  <c r="P50" i="88"/>
  <c r="X50" i="88" s="1"/>
  <c r="Z50" i="88" s="1"/>
  <c r="H50" i="88"/>
  <c r="D50" i="88"/>
  <c r="L50" i="88" s="1"/>
  <c r="N50" i="88" s="1"/>
  <c r="B50" i="88"/>
  <c r="Z49" i="88"/>
  <c r="X49" i="88"/>
  <c r="N49" i="88"/>
  <c r="L49" i="88"/>
  <c r="B49" i="88"/>
  <c r="X48" i="88"/>
  <c r="Z48" i="88" s="1"/>
  <c r="T48" i="88"/>
  <c r="P48" i="88"/>
  <c r="L48" i="88"/>
  <c r="N48" i="88" s="1"/>
  <c r="H48" i="88"/>
  <c r="D48" i="88"/>
  <c r="B48" i="88"/>
  <c r="Z47" i="88"/>
  <c r="X47" i="88"/>
  <c r="L47" i="88"/>
  <c r="N47" i="88" s="1"/>
  <c r="B47" i="88"/>
  <c r="T46" i="88"/>
  <c r="P46" i="88"/>
  <c r="X46" i="88" s="1"/>
  <c r="H46" i="88"/>
  <c r="D46" i="88"/>
  <c r="L46" i="88" s="1"/>
  <c r="B46" i="88"/>
  <c r="X45" i="88"/>
  <c r="Z45" i="88" s="1"/>
  <c r="N45" i="88"/>
  <c r="L45" i="88"/>
  <c r="B45" i="88"/>
  <c r="Z44" i="88"/>
  <c r="X44" i="88"/>
  <c r="L44" i="88"/>
  <c r="N44" i="88" s="1"/>
  <c r="B44" i="88"/>
  <c r="X43" i="88"/>
  <c r="T43" i="88"/>
  <c r="Z43" i="88" s="1"/>
  <c r="P43" i="88"/>
  <c r="L43" i="88"/>
  <c r="J43" i="88"/>
  <c r="H43" i="88"/>
  <c r="N43" i="88" s="1"/>
  <c r="D43" i="88"/>
  <c r="B43" i="88"/>
  <c r="X42" i="88"/>
  <c r="Z42" i="88" s="1"/>
  <c r="N42" i="88"/>
  <c r="L42" i="88"/>
  <c r="F42" i="88"/>
  <c r="B42" i="88"/>
  <c r="T41" i="88"/>
  <c r="Z41" i="88" s="1"/>
  <c r="R41" i="88"/>
  <c r="P41" i="88"/>
  <c r="X41" i="88" s="1"/>
  <c r="H41" i="88"/>
  <c r="N41" i="88" s="1"/>
  <c r="F41" i="88"/>
  <c r="D41" i="88"/>
  <c r="L41" i="88" s="1"/>
  <c r="B41" i="88"/>
  <c r="Z40" i="88"/>
  <c r="X40" i="88"/>
  <c r="R40" i="88"/>
  <c r="N40" i="88"/>
  <c r="L40" i="88"/>
  <c r="B40" i="88"/>
  <c r="Z39" i="88"/>
  <c r="X39" i="88"/>
  <c r="T39" i="88"/>
  <c r="P39" i="88"/>
  <c r="N39" i="88"/>
  <c r="H39" i="88"/>
  <c r="D39" i="88"/>
  <c r="L39" i="88" s="1"/>
  <c r="B39" i="88"/>
  <c r="Z38" i="88"/>
  <c r="X38" i="88"/>
  <c r="L38" i="88"/>
  <c r="N38" i="88" s="1"/>
  <c r="B38" i="88"/>
  <c r="X37" i="88"/>
  <c r="T37" i="88"/>
  <c r="Z37" i="88" s="1"/>
  <c r="P37" i="88"/>
  <c r="L37" i="88"/>
  <c r="H37" i="88"/>
  <c r="N37" i="88" s="1"/>
  <c r="D37" i="88"/>
  <c r="B37" i="88"/>
  <c r="X36" i="88"/>
  <c r="Z36" i="88" s="1"/>
  <c r="N36" i="88"/>
  <c r="L36" i="88"/>
  <c r="F36" i="88"/>
  <c r="B36" i="88"/>
  <c r="X35" i="88"/>
  <c r="Z35" i="88" s="1"/>
  <c r="N35" i="88"/>
  <c r="L35" i="88"/>
  <c r="B35" i="88"/>
  <c r="Z34" i="88"/>
  <c r="X34" i="88"/>
  <c r="N34" i="88"/>
  <c r="L34" i="88"/>
  <c r="F34" i="88"/>
  <c r="B34" i="88"/>
  <c r="Z33" i="88"/>
  <c r="X33" i="88"/>
  <c r="N33" i="88"/>
  <c r="L33" i="88"/>
  <c r="B33" i="88"/>
  <c r="X32" i="88"/>
  <c r="Z32" i="88" s="1"/>
  <c r="T32" i="88"/>
  <c r="P32" i="88"/>
  <c r="L32" i="88"/>
  <c r="N32" i="88" s="1"/>
  <c r="H32" i="88"/>
  <c r="D32" i="88"/>
  <c r="B32" i="88"/>
  <c r="Z31" i="88"/>
  <c r="X31" i="88"/>
  <c r="L31" i="88"/>
  <c r="N31" i="88" s="1"/>
  <c r="B31" i="88"/>
  <c r="Z30" i="88"/>
  <c r="X30" i="88"/>
  <c r="R30" i="88"/>
  <c r="N30" i="88"/>
  <c r="L30" i="88"/>
  <c r="B30" i="88"/>
  <c r="Z29" i="88"/>
  <c r="X29" i="88"/>
  <c r="L29" i="88"/>
  <c r="N29" i="88" s="1"/>
  <c r="J29" i="88"/>
  <c r="B29" i="88"/>
  <c r="X28" i="88"/>
  <c r="Z28" i="88" s="1"/>
  <c r="R28" i="88"/>
  <c r="N28" i="88"/>
  <c r="L28" i="88"/>
  <c r="B28" i="88"/>
  <c r="Z27" i="88"/>
  <c r="X27" i="88"/>
  <c r="L27" i="88"/>
  <c r="N27" i="88" s="1"/>
  <c r="J27" i="88"/>
  <c r="B27" i="88"/>
  <c r="Z26" i="88"/>
  <c r="X26" i="88"/>
  <c r="R26" i="88"/>
  <c r="N26" i="88"/>
  <c r="L26" i="88"/>
  <c r="B26" i="88"/>
  <c r="Z25" i="88"/>
  <c r="X25" i="88"/>
  <c r="N25" i="88"/>
  <c r="L25" i="88"/>
  <c r="J25" i="88"/>
  <c r="B25" i="88"/>
  <c r="X24" i="88"/>
  <c r="Z24" i="88" s="1"/>
  <c r="R24" i="88"/>
  <c r="N24" i="88"/>
  <c r="L24" i="88"/>
  <c r="B24" i="88"/>
  <c r="Z23" i="88"/>
  <c r="X23" i="88"/>
  <c r="T23" i="88"/>
  <c r="P23" i="88"/>
  <c r="N23" i="88"/>
  <c r="H23" i="88"/>
  <c r="D23" i="88"/>
  <c r="L23" i="88" s="1"/>
  <c r="B23" i="88"/>
  <c r="T22" i="88"/>
  <c r="P22" i="88"/>
  <c r="X22" i="88" s="1"/>
  <c r="H22" i="88"/>
  <c r="D22" i="88"/>
  <c r="L22" i="88" s="1"/>
  <c r="Z18" i="88"/>
  <c r="X18" i="88"/>
  <c r="L18" i="88"/>
  <c r="N18" i="88" s="1"/>
  <c r="B18" i="88"/>
  <c r="X17" i="88"/>
  <c r="Z17" i="88" s="1"/>
  <c r="N17" i="88"/>
  <c r="L17" i="88"/>
  <c r="B17" i="88"/>
  <c r="T16" i="88"/>
  <c r="P16" i="88"/>
  <c r="H16" i="88"/>
  <c r="D16" i="88"/>
  <c r="L16" i="88" s="1"/>
  <c r="T14" i="88"/>
  <c r="P14" i="88"/>
  <c r="X14" i="88" s="1"/>
  <c r="Z14" i="88" s="1"/>
  <c r="L14" i="88"/>
  <c r="N14" i="88" s="1"/>
  <c r="H14" i="88"/>
  <c r="D14" i="88"/>
  <c r="B14" i="88"/>
  <c r="T13" i="88"/>
  <c r="P13" i="88"/>
  <c r="H13" i="88"/>
  <c r="H12" i="88" s="1"/>
  <c r="L12" i="88" s="1"/>
  <c r="D13" i="88"/>
  <c r="D12" i="88" s="1"/>
  <c r="B13" i="88"/>
  <c r="P12" i="88"/>
  <c r="R50" i="88" s="1"/>
  <c r="D6" i="88"/>
  <c r="D4" i="88"/>
  <c r="X30" i="86"/>
  <c r="Z30" i="86" s="1"/>
  <c r="L30" i="86"/>
  <c r="N30" i="86" s="1"/>
  <c r="F30" i="86"/>
  <c r="T26" i="86"/>
  <c r="Z26" i="86" s="1"/>
  <c r="P26" i="86"/>
  <c r="X26" i="86" s="1"/>
  <c r="H26" i="86"/>
  <c r="N26" i="86" s="1"/>
  <c r="D26" i="86"/>
  <c r="Z24" i="86"/>
  <c r="X24" i="86"/>
  <c r="L24" i="86"/>
  <c r="N24" i="86" s="1"/>
  <c r="B24" i="86"/>
  <c r="X23" i="86"/>
  <c r="Z23" i="86" s="1"/>
  <c r="T23" i="86"/>
  <c r="P23" i="86"/>
  <c r="H23" i="86"/>
  <c r="D23" i="86"/>
  <c r="L23" i="86" s="1"/>
  <c r="N23" i="86" s="1"/>
  <c r="B23" i="86"/>
  <c r="X22" i="86"/>
  <c r="Z22" i="86" s="1"/>
  <c r="L22" i="86"/>
  <c r="N22" i="86" s="1"/>
  <c r="F22" i="86"/>
  <c r="B22" i="86"/>
  <c r="T21" i="86"/>
  <c r="Z21" i="86" s="1"/>
  <c r="R21" i="86"/>
  <c r="P21" i="86"/>
  <c r="X21" i="86" s="1"/>
  <c r="H21" i="86"/>
  <c r="N21" i="86" s="1"/>
  <c r="F21" i="86"/>
  <c r="D21" i="86"/>
  <c r="L21" i="86" s="1"/>
  <c r="B21" i="86"/>
  <c r="T20" i="86"/>
  <c r="P20" i="86"/>
  <c r="H20" i="86"/>
  <c r="D20" i="86"/>
  <c r="X16" i="86"/>
  <c r="Z16" i="86" s="1"/>
  <c r="R16" i="86"/>
  <c r="L16" i="86"/>
  <c r="N16" i="86" s="1"/>
  <c r="B16" i="86"/>
  <c r="T15" i="86"/>
  <c r="P15" i="86"/>
  <c r="X15" i="86" s="1"/>
  <c r="Z15" i="86" s="1"/>
  <c r="H15" i="86"/>
  <c r="D15" i="86"/>
  <c r="L15" i="86" s="1"/>
  <c r="N15" i="86" s="1"/>
  <c r="T13" i="86"/>
  <c r="T12" i="86" s="1"/>
  <c r="P13" i="86"/>
  <c r="X13" i="86" s="1"/>
  <c r="Z13" i="86" s="1"/>
  <c r="H13" i="86"/>
  <c r="D13" i="86"/>
  <c r="B13" i="86"/>
  <c r="P12" i="86"/>
  <c r="D12" i="86"/>
  <c r="F16" i="86" s="1"/>
  <c r="D6" i="86"/>
  <c r="D4" i="86"/>
  <c r="X117" i="85"/>
  <c r="Z117" i="85" s="1"/>
  <c r="L117" i="85"/>
  <c r="N117" i="85" s="1"/>
  <c r="T113" i="85"/>
  <c r="Z113" i="85" s="1"/>
  <c r="P113" i="85"/>
  <c r="X113" i="85" s="1"/>
  <c r="H113" i="85"/>
  <c r="N113" i="85" s="1"/>
  <c r="D113" i="85"/>
  <c r="L113" i="85" s="1"/>
  <c r="X111" i="85"/>
  <c r="Z111" i="85" s="1"/>
  <c r="L111" i="85"/>
  <c r="N111" i="85" s="1"/>
  <c r="B111" i="85"/>
  <c r="T110" i="85"/>
  <c r="P110" i="85"/>
  <c r="X110" i="85" s="1"/>
  <c r="Z110" i="85" s="1"/>
  <c r="N110" i="85"/>
  <c r="H110" i="85"/>
  <c r="D110" i="85"/>
  <c r="L110" i="85" s="1"/>
  <c r="B110" i="85"/>
  <c r="X109" i="85"/>
  <c r="Z109" i="85" s="1"/>
  <c r="L109" i="85"/>
  <c r="N109" i="85" s="1"/>
  <c r="B109" i="85"/>
  <c r="X108" i="85"/>
  <c r="T108" i="85"/>
  <c r="Z108" i="85" s="1"/>
  <c r="P108" i="85"/>
  <c r="L108" i="85"/>
  <c r="H108" i="85"/>
  <c r="N108" i="85" s="1"/>
  <c r="D108" i="85"/>
  <c r="B108" i="85"/>
  <c r="X107" i="85"/>
  <c r="Z107" i="85" s="1"/>
  <c r="L107" i="85"/>
  <c r="N107" i="85" s="1"/>
  <c r="B107" i="85"/>
  <c r="X106" i="85"/>
  <c r="T106" i="85"/>
  <c r="Z106" i="85" s="1"/>
  <c r="P106" i="85"/>
  <c r="H106" i="85"/>
  <c r="N106" i="85" s="1"/>
  <c r="D106" i="85"/>
  <c r="L106" i="85" s="1"/>
  <c r="B106" i="85"/>
  <c r="Z105" i="85"/>
  <c r="X105" i="85"/>
  <c r="N105" i="85"/>
  <c r="L105" i="85"/>
  <c r="B105" i="85"/>
  <c r="Z104" i="85"/>
  <c r="X104" i="85"/>
  <c r="N104" i="85"/>
  <c r="L104" i="85"/>
  <c r="B104" i="85"/>
  <c r="X103" i="85"/>
  <c r="Z103" i="85" s="1"/>
  <c r="N103" i="85"/>
  <c r="L103" i="85"/>
  <c r="B103" i="85"/>
  <c r="Z102" i="85"/>
  <c r="X102" i="85"/>
  <c r="N102" i="85"/>
  <c r="L102" i="85"/>
  <c r="B102" i="85"/>
  <c r="T101" i="85"/>
  <c r="P101" i="85"/>
  <c r="X101" i="85" s="1"/>
  <c r="H101" i="85"/>
  <c r="D101" i="85"/>
  <c r="B101" i="85"/>
  <c r="X100" i="85"/>
  <c r="Z100" i="85" s="1"/>
  <c r="N100" i="85"/>
  <c r="L100" i="85"/>
  <c r="B100" i="85"/>
  <c r="T99" i="85"/>
  <c r="P99" i="85"/>
  <c r="X99" i="85" s="1"/>
  <c r="H99" i="85"/>
  <c r="D99" i="85"/>
  <c r="L99" i="85" s="1"/>
  <c r="B99" i="85"/>
  <c r="Z98" i="85"/>
  <c r="X98" i="85"/>
  <c r="N98" i="85"/>
  <c r="L98" i="85"/>
  <c r="B98" i="85"/>
  <c r="X97" i="85"/>
  <c r="Z97" i="85" s="1"/>
  <c r="N97" i="85"/>
  <c r="L97" i="85"/>
  <c r="B97" i="85"/>
  <c r="Z96" i="85"/>
  <c r="X96" i="85"/>
  <c r="N96" i="85"/>
  <c r="L96" i="85"/>
  <c r="B96" i="85"/>
  <c r="X95" i="85"/>
  <c r="T95" i="85"/>
  <c r="Z95" i="85" s="1"/>
  <c r="P95" i="85"/>
  <c r="L95" i="85"/>
  <c r="N95" i="85" s="1"/>
  <c r="H95" i="85"/>
  <c r="D95" i="85"/>
  <c r="B95" i="85"/>
  <c r="Z94" i="85"/>
  <c r="X94" i="85"/>
  <c r="L94" i="85"/>
  <c r="N94" i="85" s="1"/>
  <c r="B94" i="85"/>
  <c r="X93" i="85"/>
  <c r="Z93" i="85" s="1"/>
  <c r="L93" i="85"/>
  <c r="N93" i="85" s="1"/>
  <c r="B93" i="85"/>
  <c r="T92" i="85"/>
  <c r="P92" i="85"/>
  <c r="X92" i="85" s="1"/>
  <c r="Z92" i="85" s="1"/>
  <c r="H92" i="85"/>
  <c r="D92" i="85"/>
  <c r="L92" i="85" s="1"/>
  <c r="N92" i="85" s="1"/>
  <c r="B92" i="85"/>
  <c r="X91" i="85"/>
  <c r="Z91" i="85" s="1"/>
  <c r="L91" i="85"/>
  <c r="N91" i="85" s="1"/>
  <c r="B91" i="85"/>
  <c r="X90" i="85"/>
  <c r="T90" i="85"/>
  <c r="Z90" i="85" s="1"/>
  <c r="P90" i="85"/>
  <c r="H90" i="85"/>
  <c r="D90" i="85"/>
  <c r="L90" i="85" s="1"/>
  <c r="N90" i="85" s="1"/>
  <c r="B90" i="85"/>
  <c r="X89" i="85"/>
  <c r="Z89" i="85" s="1"/>
  <c r="N89" i="85"/>
  <c r="L89" i="85"/>
  <c r="B89" i="85"/>
  <c r="T88" i="85"/>
  <c r="P88" i="85"/>
  <c r="N88" i="85"/>
  <c r="H88" i="85"/>
  <c r="L88" i="85" s="1"/>
  <c r="D88" i="85"/>
  <c r="B88" i="85"/>
  <c r="Z87" i="85"/>
  <c r="X87" i="85"/>
  <c r="L87" i="85"/>
  <c r="N87" i="85" s="1"/>
  <c r="B87" i="85"/>
  <c r="T86" i="85"/>
  <c r="P86" i="85"/>
  <c r="X86" i="85" s="1"/>
  <c r="Z86" i="85" s="1"/>
  <c r="H86" i="85"/>
  <c r="D86" i="85"/>
  <c r="L86" i="85" s="1"/>
  <c r="N86" i="85" s="1"/>
  <c r="B86" i="85"/>
  <c r="X85" i="85"/>
  <c r="Z85" i="85" s="1"/>
  <c r="L85" i="85"/>
  <c r="N85" i="85" s="1"/>
  <c r="B85" i="85"/>
  <c r="X84" i="85"/>
  <c r="T84" i="85"/>
  <c r="Z84" i="85" s="1"/>
  <c r="P84" i="85"/>
  <c r="L84" i="85"/>
  <c r="H84" i="85"/>
  <c r="N84" i="85" s="1"/>
  <c r="D84" i="85"/>
  <c r="B84" i="85"/>
  <c r="X83" i="85"/>
  <c r="Z83" i="85" s="1"/>
  <c r="N83" i="85"/>
  <c r="L83" i="85"/>
  <c r="B83" i="85"/>
  <c r="T82" i="85"/>
  <c r="P82" i="85"/>
  <c r="H82" i="85"/>
  <c r="D82" i="85"/>
  <c r="L82" i="85" s="1"/>
  <c r="B82" i="85"/>
  <c r="Z81" i="85"/>
  <c r="X81" i="85"/>
  <c r="N81" i="85"/>
  <c r="L81" i="85"/>
  <c r="B81" i="85"/>
  <c r="T80" i="85"/>
  <c r="P80" i="85"/>
  <c r="X80" i="85" s="1"/>
  <c r="Z80" i="85" s="1"/>
  <c r="N80" i="85"/>
  <c r="H80" i="85"/>
  <c r="D80" i="85"/>
  <c r="L80" i="85" s="1"/>
  <c r="B80" i="85"/>
  <c r="Z79" i="85"/>
  <c r="X79" i="85"/>
  <c r="N79" i="85"/>
  <c r="L79" i="85"/>
  <c r="B79" i="85"/>
  <c r="X78" i="85"/>
  <c r="T78" i="85"/>
  <c r="Z78" i="85" s="1"/>
  <c r="P78" i="85"/>
  <c r="L78" i="85"/>
  <c r="H78" i="85"/>
  <c r="N78" i="85" s="1"/>
  <c r="D78" i="85"/>
  <c r="B78" i="85"/>
  <c r="X77" i="85"/>
  <c r="Z77" i="85" s="1"/>
  <c r="N77" i="85"/>
  <c r="L77" i="85"/>
  <c r="B77" i="85"/>
  <c r="T76" i="85"/>
  <c r="P76" i="85"/>
  <c r="X76" i="85" s="1"/>
  <c r="H76" i="85"/>
  <c r="D76" i="85"/>
  <c r="B76" i="85"/>
  <c r="Z75" i="85"/>
  <c r="X75" i="85"/>
  <c r="N75" i="85"/>
  <c r="L75" i="85"/>
  <c r="B75" i="85"/>
  <c r="Z74" i="85"/>
  <c r="T74" i="85"/>
  <c r="P74" i="85"/>
  <c r="X74" i="85" s="1"/>
  <c r="N74" i="85"/>
  <c r="H74" i="85"/>
  <c r="D74" i="85"/>
  <c r="L74" i="85" s="1"/>
  <c r="B74" i="85"/>
  <c r="Z73" i="85"/>
  <c r="X73" i="85"/>
  <c r="L73" i="85"/>
  <c r="N73" i="85" s="1"/>
  <c r="B73" i="85"/>
  <c r="X72" i="85"/>
  <c r="T72" i="85"/>
  <c r="Z72" i="85" s="1"/>
  <c r="P72" i="85"/>
  <c r="H72" i="85"/>
  <c r="D72" i="85"/>
  <c r="L72" i="85" s="1"/>
  <c r="B72" i="85"/>
  <c r="X71" i="85"/>
  <c r="Z71" i="85" s="1"/>
  <c r="N71" i="85"/>
  <c r="L71" i="85"/>
  <c r="B71" i="85"/>
  <c r="X70" i="85"/>
  <c r="T70" i="85"/>
  <c r="Z70" i="85" s="1"/>
  <c r="P70" i="85"/>
  <c r="L70" i="85"/>
  <c r="H70" i="85"/>
  <c r="N70" i="85" s="1"/>
  <c r="D70" i="85"/>
  <c r="B70" i="85"/>
  <c r="Z69" i="85"/>
  <c r="X69" i="85"/>
  <c r="N69" i="85"/>
  <c r="L69" i="85"/>
  <c r="B69" i="85"/>
  <c r="Z68" i="85"/>
  <c r="X68" i="85"/>
  <c r="L68" i="85"/>
  <c r="N68" i="85" s="1"/>
  <c r="B68" i="85"/>
  <c r="Z67" i="85"/>
  <c r="X67" i="85"/>
  <c r="N67" i="85"/>
  <c r="L67" i="85"/>
  <c r="B67" i="85"/>
  <c r="Z66" i="85"/>
  <c r="X66" i="85"/>
  <c r="L66" i="85"/>
  <c r="N66" i="85" s="1"/>
  <c r="B66" i="85"/>
  <c r="T65" i="85"/>
  <c r="P65" i="85"/>
  <c r="H65" i="85"/>
  <c r="D65" i="85"/>
  <c r="L65" i="85" s="1"/>
  <c r="B65" i="85"/>
  <c r="X64" i="85"/>
  <c r="Z64" i="85" s="1"/>
  <c r="L64" i="85"/>
  <c r="N64" i="85" s="1"/>
  <c r="B64" i="85"/>
  <c r="X63" i="85"/>
  <c r="Z63" i="85" s="1"/>
  <c r="L63" i="85"/>
  <c r="N63" i="85" s="1"/>
  <c r="B63" i="85"/>
  <c r="X62" i="85"/>
  <c r="Z62" i="85" s="1"/>
  <c r="L62" i="85"/>
  <c r="N62" i="85" s="1"/>
  <c r="B62" i="85"/>
  <c r="Z61" i="85"/>
  <c r="X61" i="85"/>
  <c r="L61" i="85"/>
  <c r="N61" i="85" s="1"/>
  <c r="B61" i="85"/>
  <c r="X60" i="85"/>
  <c r="Z60" i="85" s="1"/>
  <c r="L60" i="85"/>
  <c r="N60" i="85" s="1"/>
  <c r="B60" i="85"/>
  <c r="X59" i="85"/>
  <c r="Z59" i="85" s="1"/>
  <c r="L59" i="85"/>
  <c r="N59" i="85" s="1"/>
  <c r="B59" i="85"/>
  <c r="X58" i="85"/>
  <c r="Z58" i="85" s="1"/>
  <c r="N58" i="85"/>
  <c r="L58" i="85"/>
  <c r="B58" i="85"/>
  <c r="X57" i="85"/>
  <c r="Z57" i="85" s="1"/>
  <c r="L57" i="85"/>
  <c r="N57" i="85" s="1"/>
  <c r="B57" i="85"/>
  <c r="T56" i="85"/>
  <c r="P56" i="85"/>
  <c r="X56" i="85" s="1"/>
  <c r="H56" i="85"/>
  <c r="N56" i="85" s="1"/>
  <c r="D56" i="85"/>
  <c r="L56" i="85" s="1"/>
  <c r="B56" i="85"/>
  <c r="X55" i="85"/>
  <c r="T55" i="85"/>
  <c r="P55" i="85"/>
  <c r="L55" i="85"/>
  <c r="H55" i="85"/>
  <c r="D55" i="85"/>
  <c r="X51" i="85"/>
  <c r="Z51" i="85" s="1"/>
  <c r="N51" i="85"/>
  <c r="L51" i="85"/>
  <c r="B51" i="85"/>
  <c r="Z50" i="85"/>
  <c r="X50" i="85"/>
  <c r="N50" i="85"/>
  <c r="L50" i="85"/>
  <c r="B50" i="85"/>
  <c r="X49" i="85"/>
  <c r="Z49" i="85" s="1"/>
  <c r="L49" i="85"/>
  <c r="N49" i="85" s="1"/>
  <c r="B49" i="85"/>
  <c r="Z48" i="85"/>
  <c r="X48" i="85"/>
  <c r="N48" i="85"/>
  <c r="L48" i="85"/>
  <c r="B48" i="85"/>
  <c r="Z47" i="85"/>
  <c r="X47" i="85"/>
  <c r="N47" i="85"/>
  <c r="L47" i="85"/>
  <c r="B47" i="85"/>
  <c r="X46" i="85"/>
  <c r="Z46" i="85" s="1"/>
  <c r="N46" i="85"/>
  <c r="L46" i="85"/>
  <c r="B46" i="85"/>
  <c r="X45" i="85"/>
  <c r="Z45" i="85" s="1"/>
  <c r="N45" i="85"/>
  <c r="L45" i="85"/>
  <c r="B45" i="85"/>
  <c r="X44" i="85"/>
  <c r="Z44" i="85" s="1"/>
  <c r="N44" i="85"/>
  <c r="L44" i="85"/>
  <c r="B44" i="85"/>
  <c r="X43" i="85"/>
  <c r="Z43" i="85" s="1"/>
  <c r="L43" i="85"/>
  <c r="N43" i="85" s="1"/>
  <c r="B43" i="85"/>
  <c r="Z42" i="85"/>
  <c r="X42" i="85"/>
  <c r="N42" i="85"/>
  <c r="L42" i="85"/>
  <c r="B42" i="85"/>
  <c r="Z41" i="85"/>
  <c r="X41" i="85"/>
  <c r="L41" i="85"/>
  <c r="N41" i="85" s="1"/>
  <c r="B41" i="85"/>
  <c r="X40" i="85"/>
  <c r="Z40" i="85" s="1"/>
  <c r="N40" i="85"/>
  <c r="L40" i="85"/>
  <c r="B40" i="85"/>
  <c r="X39" i="85"/>
  <c r="Z39" i="85" s="1"/>
  <c r="L39" i="85"/>
  <c r="N39" i="85" s="1"/>
  <c r="B39" i="85"/>
  <c r="Z38" i="85"/>
  <c r="X38" i="85"/>
  <c r="N38" i="85"/>
  <c r="L38" i="85"/>
  <c r="B38" i="85"/>
  <c r="Z37" i="85"/>
  <c r="X37" i="85"/>
  <c r="L37" i="85"/>
  <c r="N37" i="85" s="1"/>
  <c r="B37" i="85"/>
  <c r="X36" i="85"/>
  <c r="Z36" i="85" s="1"/>
  <c r="N36" i="85"/>
  <c r="L36" i="85"/>
  <c r="B36" i="85"/>
  <c r="T35" i="85"/>
  <c r="Z35" i="85" s="1"/>
  <c r="P35" i="85"/>
  <c r="X35" i="85" s="1"/>
  <c r="H35" i="85"/>
  <c r="D35" i="85"/>
  <c r="Z33" i="85"/>
  <c r="X33" i="85"/>
  <c r="T33" i="85"/>
  <c r="P33" i="85"/>
  <c r="H33" i="85"/>
  <c r="N33" i="85" s="1"/>
  <c r="D33" i="85"/>
  <c r="L33" i="85" s="1"/>
  <c r="B33" i="85"/>
  <c r="T32" i="85"/>
  <c r="X32" i="85" s="1"/>
  <c r="Z32" i="85" s="1"/>
  <c r="P32" i="85"/>
  <c r="N32" i="85"/>
  <c r="H32" i="85"/>
  <c r="D32" i="85"/>
  <c r="L32" i="85" s="1"/>
  <c r="B32" i="85"/>
  <c r="T31" i="85"/>
  <c r="P31" i="85"/>
  <c r="X31" i="85" s="1"/>
  <c r="Z31" i="85" s="1"/>
  <c r="N31" i="85"/>
  <c r="L31" i="85"/>
  <c r="H31" i="85"/>
  <c r="D31" i="85"/>
  <c r="B31" i="85"/>
  <c r="T30" i="85"/>
  <c r="Z30" i="85" s="1"/>
  <c r="P30" i="85"/>
  <c r="X30" i="85" s="1"/>
  <c r="H30" i="85"/>
  <c r="N30" i="85" s="1"/>
  <c r="D30" i="85"/>
  <c r="B30" i="85"/>
  <c r="X29" i="85"/>
  <c r="Z29" i="85" s="1"/>
  <c r="T29" i="85"/>
  <c r="P29" i="85"/>
  <c r="H29" i="85"/>
  <c r="N29" i="85" s="1"/>
  <c r="D29" i="85"/>
  <c r="L29" i="85" s="1"/>
  <c r="B29" i="85"/>
  <c r="Z28" i="85"/>
  <c r="T28" i="85"/>
  <c r="X28" i="85" s="1"/>
  <c r="P28" i="85"/>
  <c r="H28" i="85"/>
  <c r="D28" i="85"/>
  <c r="L28" i="85" s="1"/>
  <c r="N28" i="85" s="1"/>
  <c r="B28" i="85"/>
  <c r="T27" i="85"/>
  <c r="P27" i="85"/>
  <c r="X27" i="85" s="1"/>
  <c r="Z27" i="85" s="1"/>
  <c r="N27" i="85"/>
  <c r="L27" i="85"/>
  <c r="H27" i="85"/>
  <c r="D27" i="85"/>
  <c r="B27" i="85"/>
  <c r="T26" i="85"/>
  <c r="Z26" i="85" s="1"/>
  <c r="P26" i="85"/>
  <c r="X26" i="85" s="1"/>
  <c r="H26" i="85"/>
  <c r="N26" i="85" s="1"/>
  <c r="D26" i="85"/>
  <c r="B26" i="85"/>
  <c r="X25" i="85"/>
  <c r="Z25" i="85" s="1"/>
  <c r="T25" i="85"/>
  <c r="P25" i="85"/>
  <c r="H25" i="85"/>
  <c r="N25" i="85" s="1"/>
  <c r="D25" i="85"/>
  <c r="L25" i="85" s="1"/>
  <c r="B25" i="85"/>
  <c r="Z24" i="85"/>
  <c r="T24" i="85"/>
  <c r="X24" i="85" s="1"/>
  <c r="P24" i="85"/>
  <c r="N24" i="85"/>
  <c r="H24" i="85"/>
  <c r="D24" i="85"/>
  <c r="L24" i="85" s="1"/>
  <c r="B24" i="85"/>
  <c r="Z23" i="85"/>
  <c r="T23" i="85"/>
  <c r="P23" i="85"/>
  <c r="X23" i="85" s="1"/>
  <c r="N23" i="85"/>
  <c r="L23" i="85"/>
  <c r="H23" i="85"/>
  <c r="D23" i="85"/>
  <c r="B23" i="85"/>
  <c r="T22" i="85"/>
  <c r="Z22" i="85" s="1"/>
  <c r="P22" i="85"/>
  <c r="X22" i="85" s="1"/>
  <c r="H22" i="85"/>
  <c r="D22" i="85"/>
  <c r="B22" i="85"/>
  <c r="X21" i="85"/>
  <c r="Z21" i="85" s="1"/>
  <c r="T21" i="85"/>
  <c r="P21" i="85"/>
  <c r="H21" i="85"/>
  <c r="D21" i="85"/>
  <c r="L21" i="85" s="1"/>
  <c r="B21" i="85"/>
  <c r="T20" i="85"/>
  <c r="X20" i="85" s="1"/>
  <c r="Z20" i="85" s="1"/>
  <c r="P20" i="85"/>
  <c r="H20" i="85"/>
  <c r="D20" i="85"/>
  <c r="L20" i="85" s="1"/>
  <c r="N20" i="85" s="1"/>
  <c r="B20" i="85"/>
  <c r="T19" i="85"/>
  <c r="P19" i="85"/>
  <c r="X19" i="85" s="1"/>
  <c r="Z19" i="85" s="1"/>
  <c r="L19" i="85"/>
  <c r="N19" i="85" s="1"/>
  <c r="H19" i="85"/>
  <c r="D19" i="85"/>
  <c r="B19" i="85"/>
  <c r="T18" i="85"/>
  <c r="P18" i="85"/>
  <c r="X18" i="85" s="1"/>
  <c r="H18" i="85"/>
  <c r="D18" i="85"/>
  <c r="B18" i="85"/>
  <c r="X17" i="85"/>
  <c r="Z17" i="85" s="1"/>
  <c r="T17" i="85"/>
  <c r="P17" i="85"/>
  <c r="H17" i="85"/>
  <c r="D17" i="85"/>
  <c r="B17" i="85"/>
  <c r="Z16" i="85"/>
  <c r="T16" i="85"/>
  <c r="X16" i="85" s="1"/>
  <c r="P16" i="85"/>
  <c r="H16" i="85"/>
  <c r="D16" i="85"/>
  <c r="L16" i="85" s="1"/>
  <c r="N16" i="85" s="1"/>
  <c r="B16" i="85"/>
  <c r="T15" i="85"/>
  <c r="P15" i="85"/>
  <c r="X15" i="85" s="1"/>
  <c r="Z15" i="85" s="1"/>
  <c r="L15" i="85"/>
  <c r="N15" i="85" s="1"/>
  <c r="H15" i="85"/>
  <c r="D15" i="85"/>
  <c r="B15" i="85"/>
  <c r="T14" i="85"/>
  <c r="Z14" i="85" s="1"/>
  <c r="P14" i="85"/>
  <c r="X14" i="85" s="1"/>
  <c r="H14" i="85"/>
  <c r="D14" i="85"/>
  <c r="B14" i="85"/>
  <c r="X13" i="85"/>
  <c r="Z13" i="85" s="1"/>
  <c r="T13" i="85"/>
  <c r="P13" i="85"/>
  <c r="H13" i="85"/>
  <c r="H12" i="85" s="1"/>
  <c r="J44" i="85" s="1"/>
  <c r="D13" i="85"/>
  <c r="D12" i="85" s="1"/>
  <c r="B13" i="85"/>
  <c r="D6" i="85"/>
  <c r="D4" i="85"/>
  <c r="Z82" i="84"/>
  <c r="X82" i="84"/>
  <c r="N82" i="84"/>
  <c r="L82" i="84"/>
  <c r="T78" i="84"/>
  <c r="Z78" i="84" s="1"/>
  <c r="P78" i="84"/>
  <c r="X78" i="84" s="1"/>
  <c r="N78" i="84"/>
  <c r="L78" i="84"/>
  <c r="H78" i="84"/>
  <c r="D78" i="84"/>
  <c r="X76" i="84"/>
  <c r="Z76" i="84" s="1"/>
  <c r="N76" i="84"/>
  <c r="L76" i="84"/>
  <c r="J76" i="84"/>
  <c r="B76" i="84"/>
  <c r="T75" i="84"/>
  <c r="P75" i="84"/>
  <c r="X75" i="84" s="1"/>
  <c r="Z75" i="84" s="1"/>
  <c r="H75" i="84"/>
  <c r="D75" i="84"/>
  <c r="B75" i="84"/>
  <c r="Z74" i="84"/>
  <c r="X74" i="84"/>
  <c r="L74" i="84"/>
  <c r="N74" i="84" s="1"/>
  <c r="B74" i="84"/>
  <c r="X73" i="84"/>
  <c r="T73" i="84"/>
  <c r="Z73" i="84" s="1"/>
  <c r="P73" i="84"/>
  <c r="H73" i="84"/>
  <c r="D73" i="84"/>
  <c r="L73" i="84" s="1"/>
  <c r="B73" i="84"/>
  <c r="Z72" i="84"/>
  <c r="X72" i="84"/>
  <c r="N72" i="84"/>
  <c r="L72" i="84"/>
  <c r="B72" i="84"/>
  <c r="X71" i="84"/>
  <c r="Z71" i="84" s="1"/>
  <c r="N71" i="84"/>
  <c r="L71" i="84"/>
  <c r="B71" i="84"/>
  <c r="X70" i="84"/>
  <c r="Z70" i="84" s="1"/>
  <c r="N70" i="84"/>
  <c r="L70" i="84"/>
  <c r="B70" i="84"/>
  <c r="X69" i="84"/>
  <c r="Z69" i="84" s="1"/>
  <c r="N69" i="84"/>
  <c r="L69" i="84"/>
  <c r="B69" i="84"/>
  <c r="Z68" i="84"/>
  <c r="X68" i="84"/>
  <c r="L68" i="84"/>
  <c r="N68" i="84" s="1"/>
  <c r="B68" i="84"/>
  <c r="X67" i="84"/>
  <c r="Z67" i="84" s="1"/>
  <c r="N67" i="84"/>
  <c r="L67" i="84"/>
  <c r="B67" i="84"/>
  <c r="X66" i="84"/>
  <c r="Z66" i="84" s="1"/>
  <c r="T66" i="84"/>
  <c r="P66" i="84"/>
  <c r="H66" i="84"/>
  <c r="D66" i="84"/>
  <c r="L66" i="84" s="1"/>
  <c r="N66" i="84" s="1"/>
  <c r="B66" i="84"/>
  <c r="Z65" i="84"/>
  <c r="X65" i="84"/>
  <c r="R65" i="84"/>
  <c r="N65" i="84"/>
  <c r="L65" i="84"/>
  <c r="B65" i="84"/>
  <c r="T64" i="84"/>
  <c r="Z64" i="84" s="1"/>
  <c r="P64" i="84"/>
  <c r="X64" i="84" s="1"/>
  <c r="N64" i="84"/>
  <c r="H64" i="84"/>
  <c r="D64" i="84"/>
  <c r="L64" i="84" s="1"/>
  <c r="B64" i="84"/>
  <c r="X63" i="84"/>
  <c r="Z63" i="84" s="1"/>
  <c r="L63" i="84"/>
  <c r="N63" i="84" s="1"/>
  <c r="B63" i="84"/>
  <c r="X62" i="84"/>
  <c r="Z62" i="84" s="1"/>
  <c r="L62" i="84"/>
  <c r="N62" i="84" s="1"/>
  <c r="B62" i="84"/>
  <c r="X61" i="84"/>
  <c r="Z61" i="84" s="1"/>
  <c r="N61" i="84"/>
  <c r="L61" i="84"/>
  <c r="B61" i="84"/>
  <c r="Z60" i="84"/>
  <c r="X60" i="84"/>
  <c r="T60" i="84"/>
  <c r="P60" i="84"/>
  <c r="L60" i="84"/>
  <c r="H60" i="84"/>
  <c r="N60" i="84" s="1"/>
  <c r="D60" i="84"/>
  <c r="B60" i="84"/>
  <c r="X59" i="84"/>
  <c r="Z59" i="84" s="1"/>
  <c r="N59" i="84"/>
  <c r="L59" i="84"/>
  <c r="J59" i="84"/>
  <c r="B59" i="84"/>
  <c r="X58" i="84"/>
  <c r="Z58" i="84" s="1"/>
  <c r="N58" i="84"/>
  <c r="L58" i="84"/>
  <c r="B58" i="84"/>
  <c r="Z57" i="84"/>
  <c r="X57" i="84"/>
  <c r="N57" i="84"/>
  <c r="L57" i="84"/>
  <c r="B57" i="84"/>
  <c r="T56" i="84"/>
  <c r="P56" i="84"/>
  <c r="L56" i="84"/>
  <c r="N56" i="84" s="1"/>
  <c r="H56" i="84"/>
  <c r="F56" i="84"/>
  <c r="D56" i="84"/>
  <c r="B56" i="84"/>
  <c r="Z55" i="84"/>
  <c r="X55" i="84"/>
  <c r="L55" i="84"/>
  <c r="N55" i="84" s="1"/>
  <c r="B55" i="84"/>
  <c r="Z54" i="84"/>
  <c r="T54" i="84"/>
  <c r="P54" i="84"/>
  <c r="X54" i="84" s="1"/>
  <c r="H54" i="84"/>
  <c r="D54" i="84"/>
  <c r="L54" i="84" s="1"/>
  <c r="B54" i="84"/>
  <c r="X53" i="84"/>
  <c r="Z53" i="84" s="1"/>
  <c r="N53" i="84"/>
  <c r="L53" i="84"/>
  <c r="B53" i="84"/>
  <c r="Z52" i="84"/>
  <c r="X52" i="84"/>
  <c r="V52" i="84"/>
  <c r="T52" i="84"/>
  <c r="P52" i="84"/>
  <c r="L52" i="84"/>
  <c r="H52" i="84"/>
  <c r="N52" i="84" s="1"/>
  <c r="D52" i="84"/>
  <c r="B52" i="84"/>
  <c r="X51" i="84"/>
  <c r="Z51" i="84" s="1"/>
  <c r="N51" i="84"/>
  <c r="L51" i="84"/>
  <c r="J51" i="84"/>
  <c r="B51" i="84"/>
  <c r="X50" i="84"/>
  <c r="Z50" i="84" s="1"/>
  <c r="T50" i="84"/>
  <c r="R50" i="84"/>
  <c r="P50" i="84"/>
  <c r="H50" i="84"/>
  <c r="D50" i="84"/>
  <c r="L50" i="84" s="1"/>
  <c r="B50" i="84"/>
  <c r="Z49" i="84"/>
  <c r="X49" i="84"/>
  <c r="L49" i="84"/>
  <c r="N49" i="84" s="1"/>
  <c r="B49" i="84"/>
  <c r="T48" i="84"/>
  <c r="Z48" i="84" s="1"/>
  <c r="P48" i="84"/>
  <c r="X48" i="84" s="1"/>
  <c r="N48" i="84"/>
  <c r="H48" i="84"/>
  <c r="D48" i="84"/>
  <c r="L48" i="84" s="1"/>
  <c r="B48" i="84"/>
  <c r="X47" i="84"/>
  <c r="Z47" i="84" s="1"/>
  <c r="L47" i="84"/>
  <c r="N47" i="84" s="1"/>
  <c r="B47" i="84"/>
  <c r="X46" i="84"/>
  <c r="Z46" i="84" s="1"/>
  <c r="L46" i="84"/>
  <c r="N46" i="84" s="1"/>
  <c r="B46" i="84"/>
  <c r="X45" i="84"/>
  <c r="Z45" i="84" s="1"/>
  <c r="T45" i="84"/>
  <c r="P45" i="84"/>
  <c r="J45" i="84"/>
  <c r="H45" i="84"/>
  <c r="D45" i="84"/>
  <c r="L45" i="84" s="1"/>
  <c r="B45" i="84"/>
  <c r="Z44" i="84"/>
  <c r="X44" i="84"/>
  <c r="L44" i="84"/>
  <c r="N44" i="84" s="1"/>
  <c r="B44" i="84"/>
  <c r="X43" i="84"/>
  <c r="T43" i="84"/>
  <c r="Z43" i="84" s="1"/>
  <c r="P43" i="84"/>
  <c r="H43" i="84"/>
  <c r="D43" i="84"/>
  <c r="L43" i="84" s="1"/>
  <c r="N43" i="84" s="1"/>
  <c r="B43" i="84"/>
  <c r="Z42" i="84"/>
  <c r="X42" i="84"/>
  <c r="L42" i="84"/>
  <c r="N42" i="84" s="1"/>
  <c r="B42" i="84"/>
  <c r="T41" i="84"/>
  <c r="P41" i="84"/>
  <c r="J41" i="84"/>
  <c r="H41" i="84"/>
  <c r="D41" i="84"/>
  <c r="L41" i="84" s="1"/>
  <c r="N41" i="84" s="1"/>
  <c r="B41" i="84"/>
  <c r="Z40" i="84"/>
  <c r="X40" i="84"/>
  <c r="V40" i="84"/>
  <c r="N40" i="84"/>
  <c r="L40" i="84"/>
  <c r="B40" i="84"/>
  <c r="T39" i="84"/>
  <c r="Z39" i="84" s="1"/>
  <c r="P39" i="84"/>
  <c r="X39" i="84" s="1"/>
  <c r="L39" i="84"/>
  <c r="N39" i="84" s="1"/>
  <c r="H39" i="84"/>
  <c r="D39" i="84"/>
  <c r="B39" i="84"/>
  <c r="X38" i="84"/>
  <c r="Z38" i="84" s="1"/>
  <c r="N38" i="84"/>
  <c r="L38" i="84"/>
  <c r="B38" i="84"/>
  <c r="Z37" i="84"/>
  <c r="X37" i="84"/>
  <c r="N37" i="84"/>
  <c r="L37" i="84"/>
  <c r="B37" i="84"/>
  <c r="Z36" i="84"/>
  <c r="X36" i="84"/>
  <c r="N36" i="84"/>
  <c r="L36" i="84"/>
  <c r="B36" i="84"/>
  <c r="X35" i="84"/>
  <c r="Z35" i="84" s="1"/>
  <c r="L35" i="84"/>
  <c r="N35" i="84" s="1"/>
  <c r="J35" i="84"/>
  <c r="B35" i="84"/>
  <c r="Z34" i="84"/>
  <c r="X34" i="84"/>
  <c r="N34" i="84"/>
  <c r="L34" i="84"/>
  <c r="B34" i="84"/>
  <c r="Z33" i="84"/>
  <c r="X33" i="84"/>
  <c r="N33" i="84"/>
  <c r="L33" i="84"/>
  <c r="B33" i="84"/>
  <c r="T32" i="84"/>
  <c r="Z32" i="84" s="1"/>
  <c r="P32" i="84"/>
  <c r="X32" i="84" s="1"/>
  <c r="L32" i="84"/>
  <c r="N32" i="84" s="1"/>
  <c r="H32" i="84"/>
  <c r="D32" i="84"/>
  <c r="B32" i="84"/>
  <c r="Z31" i="84"/>
  <c r="X31" i="84"/>
  <c r="N31" i="84"/>
  <c r="L31" i="84"/>
  <c r="J31" i="84"/>
  <c r="B31" i="84"/>
  <c r="Z30" i="84"/>
  <c r="X30" i="84"/>
  <c r="L30" i="84"/>
  <c r="N30" i="84" s="1"/>
  <c r="B30" i="84"/>
  <c r="Z29" i="84"/>
  <c r="X29" i="84"/>
  <c r="R29" i="84"/>
  <c r="L29" i="84"/>
  <c r="N29" i="84" s="1"/>
  <c r="B29" i="84"/>
  <c r="X28" i="84"/>
  <c r="Z28" i="84" s="1"/>
  <c r="N28" i="84"/>
  <c r="L28" i="84"/>
  <c r="J28" i="84"/>
  <c r="B28" i="84"/>
  <c r="X27" i="84"/>
  <c r="Z27" i="84" s="1"/>
  <c r="L27" i="84"/>
  <c r="N27" i="84" s="1"/>
  <c r="J27" i="84"/>
  <c r="B27" i="84"/>
  <c r="Z26" i="84"/>
  <c r="X26" i="84"/>
  <c r="L26" i="84"/>
  <c r="N26" i="84" s="1"/>
  <c r="B26" i="84"/>
  <c r="Z25" i="84"/>
  <c r="X25" i="84"/>
  <c r="N25" i="84"/>
  <c r="L25" i="84"/>
  <c r="B25" i="84"/>
  <c r="X24" i="84"/>
  <c r="Z24" i="84" s="1"/>
  <c r="N24" i="84"/>
  <c r="L24" i="84"/>
  <c r="J24" i="84"/>
  <c r="B24" i="84"/>
  <c r="T23" i="84"/>
  <c r="P23" i="84"/>
  <c r="X23" i="84" s="1"/>
  <c r="Z23" i="84" s="1"/>
  <c r="H23" i="84"/>
  <c r="D23" i="84"/>
  <c r="B23" i="84"/>
  <c r="X22" i="84"/>
  <c r="T22" i="84"/>
  <c r="Z22" i="84" s="1"/>
  <c r="P22" i="84"/>
  <c r="J22" i="84"/>
  <c r="H22" i="84"/>
  <c r="D22" i="84"/>
  <c r="L22" i="84" s="1"/>
  <c r="N22" i="84" s="1"/>
  <c r="X18" i="84"/>
  <c r="Z18" i="84" s="1"/>
  <c r="L18" i="84"/>
  <c r="N18" i="84" s="1"/>
  <c r="B18" i="84"/>
  <c r="Z17" i="84"/>
  <c r="X17" i="84"/>
  <c r="N17" i="84"/>
  <c r="L17" i="84"/>
  <c r="B17" i="84"/>
  <c r="T16" i="84"/>
  <c r="P16" i="84"/>
  <c r="X16" i="84" s="1"/>
  <c r="Z16" i="84" s="1"/>
  <c r="L16" i="84"/>
  <c r="H16" i="84"/>
  <c r="N16" i="84" s="1"/>
  <c r="D16" i="84"/>
  <c r="T14" i="84"/>
  <c r="P14" i="84"/>
  <c r="H14" i="84"/>
  <c r="D14" i="84"/>
  <c r="L14" i="84" s="1"/>
  <c r="N14" i="84" s="1"/>
  <c r="B14" i="84"/>
  <c r="T13" i="84"/>
  <c r="T12" i="84" s="1"/>
  <c r="V60" i="84" s="1"/>
  <c r="P13" i="84"/>
  <c r="P12" i="84" s="1"/>
  <c r="L13" i="84"/>
  <c r="H13" i="84"/>
  <c r="N13" i="84" s="1"/>
  <c r="D13" i="84"/>
  <c r="D12" i="84" s="1"/>
  <c r="F33" i="84" s="1"/>
  <c r="B13" i="84"/>
  <c r="H12" i="84"/>
  <c r="J82" i="84" s="1"/>
  <c r="D6" i="84"/>
  <c r="D4" i="84"/>
  <c r="X31" i="83"/>
  <c r="Z31" i="83" s="1"/>
  <c r="L31" i="83"/>
  <c r="N31" i="83" s="1"/>
  <c r="V27" i="83"/>
  <c r="T27" i="83"/>
  <c r="Z27" i="83" s="1"/>
  <c r="P27" i="83"/>
  <c r="X27" i="83" s="1"/>
  <c r="L27" i="83"/>
  <c r="H27" i="83"/>
  <c r="N27" i="83" s="1"/>
  <c r="D27" i="83"/>
  <c r="Z25" i="83"/>
  <c r="X25" i="83"/>
  <c r="V25" i="83"/>
  <c r="N25" i="83"/>
  <c r="L25" i="83"/>
  <c r="B25" i="83"/>
  <c r="V24" i="83"/>
  <c r="T24" i="83"/>
  <c r="Z24" i="83" s="1"/>
  <c r="P24" i="83"/>
  <c r="X24" i="83" s="1"/>
  <c r="N24" i="83"/>
  <c r="L24" i="83"/>
  <c r="H24" i="83"/>
  <c r="D24" i="83"/>
  <c r="B24" i="83"/>
  <c r="X23" i="83"/>
  <c r="Z23" i="83" s="1"/>
  <c r="T23" i="83"/>
  <c r="P23" i="83"/>
  <c r="H23" i="83"/>
  <c r="N23" i="83" s="1"/>
  <c r="D23" i="83"/>
  <c r="L23" i="83" s="1"/>
  <c r="X19" i="83"/>
  <c r="Z19" i="83" s="1"/>
  <c r="N19" i="83"/>
  <c r="L19" i="83"/>
  <c r="B19" i="83"/>
  <c r="Z18" i="83"/>
  <c r="X18" i="83"/>
  <c r="N18" i="83"/>
  <c r="L18" i="83"/>
  <c r="F18" i="83"/>
  <c r="B18" i="83"/>
  <c r="T17" i="83"/>
  <c r="Z17" i="83" s="1"/>
  <c r="P17" i="83"/>
  <c r="X17" i="83" s="1"/>
  <c r="L17" i="83"/>
  <c r="N17" i="83" s="1"/>
  <c r="H17" i="83"/>
  <c r="F17" i="83"/>
  <c r="D17" i="83"/>
  <c r="T15" i="83"/>
  <c r="P15" i="83"/>
  <c r="P12" i="83" s="1"/>
  <c r="R23" i="83" s="1"/>
  <c r="H15" i="83"/>
  <c r="D15" i="83"/>
  <c r="L15" i="83" s="1"/>
  <c r="B15" i="83"/>
  <c r="X14" i="83"/>
  <c r="T14" i="83"/>
  <c r="Z14" i="83" s="1"/>
  <c r="P14" i="83"/>
  <c r="H14" i="83"/>
  <c r="L14" i="83" s="1"/>
  <c r="D14" i="83"/>
  <c r="B14" i="83"/>
  <c r="X13" i="83"/>
  <c r="T13" i="83"/>
  <c r="Z13" i="83" s="1"/>
  <c r="P13" i="83"/>
  <c r="N13" i="83"/>
  <c r="L13" i="83"/>
  <c r="H13" i="83"/>
  <c r="H12" i="83" s="1"/>
  <c r="D13" i="83"/>
  <c r="B13" i="83"/>
  <c r="T12" i="83"/>
  <c r="D12" i="83"/>
  <c r="D6" i="83"/>
  <c r="D4" i="83"/>
  <c r="Z75" i="81"/>
  <c r="X75" i="81"/>
  <c r="N75" i="81"/>
  <c r="L75" i="81"/>
  <c r="Z71" i="81"/>
  <c r="T71" i="81"/>
  <c r="P71" i="81"/>
  <c r="X71" i="81" s="1"/>
  <c r="L71" i="81"/>
  <c r="H71" i="81"/>
  <c r="N71" i="81" s="1"/>
  <c r="D71" i="81"/>
  <c r="Z69" i="81"/>
  <c r="X69" i="81"/>
  <c r="N69" i="81"/>
  <c r="L69" i="81"/>
  <c r="B69" i="81"/>
  <c r="T68" i="81"/>
  <c r="P68" i="81"/>
  <c r="X68" i="81" s="1"/>
  <c r="L68" i="81"/>
  <c r="N68" i="81" s="1"/>
  <c r="H68" i="81"/>
  <c r="D68" i="81"/>
  <c r="B68" i="81"/>
  <c r="Z67" i="81"/>
  <c r="X67" i="81"/>
  <c r="N67" i="81"/>
  <c r="L67" i="81"/>
  <c r="B67" i="81"/>
  <c r="T66" i="81"/>
  <c r="P66" i="81"/>
  <c r="X66" i="81" s="1"/>
  <c r="Z66" i="81" s="1"/>
  <c r="H66" i="81"/>
  <c r="D66" i="81"/>
  <c r="B66" i="81"/>
  <c r="Z65" i="81"/>
  <c r="X65" i="81"/>
  <c r="N65" i="81"/>
  <c r="L65" i="81"/>
  <c r="B65" i="81"/>
  <c r="Z64" i="81"/>
  <c r="X64" i="81"/>
  <c r="N64" i="81"/>
  <c r="L64" i="81"/>
  <c r="B64" i="81"/>
  <c r="Z63" i="81"/>
  <c r="X63" i="81"/>
  <c r="L63" i="81"/>
  <c r="N63" i="81" s="1"/>
  <c r="B63" i="81"/>
  <c r="X62" i="81"/>
  <c r="Z62" i="81" s="1"/>
  <c r="L62" i="81"/>
  <c r="N62" i="81" s="1"/>
  <c r="B62" i="81"/>
  <c r="Z61" i="81"/>
  <c r="X61" i="81"/>
  <c r="N61" i="81"/>
  <c r="L61" i="81"/>
  <c r="B61" i="81"/>
  <c r="Z60" i="81"/>
  <c r="X60" i="81"/>
  <c r="N60" i="81"/>
  <c r="L60" i="81"/>
  <c r="B60" i="81"/>
  <c r="T59" i="81"/>
  <c r="P59" i="81"/>
  <c r="X59" i="81" s="1"/>
  <c r="Z59" i="81" s="1"/>
  <c r="N59" i="81"/>
  <c r="L59" i="81"/>
  <c r="H59" i="81"/>
  <c r="D59" i="81"/>
  <c r="B59" i="81"/>
  <c r="X58" i="81"/>
  <c r="Z58" i="81" s="1"/>
  <c r="N58" i="81"/>
  <c r="L58" i="81"/>
  <c r="B58" i="81"/>
  <c r="Z57" i="81"/>
  <c r="X57" i="81"/>
  <c r="N57" i="81"/>
  <c r="L57" i="81"/>
  <c r="F57" i="81"/>
  <c r="B57" i="81"/>
  <c r="Z56" i="81"/>
  <c r="X56" i="81"/>
  <c r="L56" i="81"/>
  <c r="N56" i="81" s="1"/>
  <c r="B56" i="81"/>
  <c r="X55" i="81"/>
  <c r="T55" i="81"/>
  <c r="Z55" i="81" s="1"/>
  <c r="P55" i="81"/>
  <c r="H55" i="81"/>
  <c r="D55" i="81"/>
  <c r="L55" i="81" s="1"/>
  <c r="N55" i="81" s="1"/>
  <c r="B55" i="81"/>
  <c r="Z54" i="81"/>
  <c r="X54" i="81"/>
  <c r="L54" i="81"/>
  <c r="N54" i="81" s="1"/>
  <c r="B54" i="81"/>
  <c r="Z53" i="81"/>
  <c r="X53" i="81"/>
  <c r="N53" i="81"/>
  <c r="L53" i="81"/>
  <c r="B53" i="81"/>
  <c r="T52" i="81"/>
  <c r="P52" i="81"/>
  <c r="N52" i="81"/>
  <c r="H52" i="81"/>
  <c r="D52" i="81"/>
  <c r="L52" i="81" s="1"/>
  <c r="B52" i="81"/>
  <c r="X51" i="81"/>
  <c r="Z51" i="81" s="1"/>
  <c r="L51" i="81"/>
  <c r="N51" i="81" s="1"/>
  <c r="B51" i="81"/>
  <c r="X50" i="81"/>
  <c r="T50" i="81"/>
  <c r="Z50" i="81" s="1"/>
  <c r="P50" i="81"/>
  <c r="J50" i="81"/>
  <c r="H50" i="81"/>
  <c r="D50" i="81"/>
  <c r="L50" i="81" s="1"/>
  <c r="B50" i="81"/>
  <c r="Z49" i="81"/>
  <c r="X49" i="81"/>
  <c r="N49" i="81"/>
  <c r="L49" i="81"/>
  <c r="B49" i="81"/>
  <c r="T48" i="81"/>
  <c r="P48" i="81"/>
  <c r="X48" i="81" s="1"/>
  <c r="L48" i="81"/>
  <c r="N48" i="81" s="1"/>
  <c r="H48" i="81"/>
  <c r="F48" i="81"/>
  <c r="D48" i="81"/>
  <c r="B48" i="81"/>
  <c r="Z47" i="81"/>
  <c r="X47" i="81"/>
  <c r="N47" i="81"/>
  <c r="L47" i="81"/>
  <c r="B47" i="81"/>
  <c r="T46" i="81"/>
  <c r="P46" i="81"/>
  <c r="X46" i="81" s="1"/>
  <c r="Z46" i="81" s="1"/>
  <c r="H46" i="81"/>
  <c r="N46" i="81" s="1"/>
  <c r="D46" i="81"/>
  <c r="B46" i="81"/>
  <c r="Z45" i="81"/>
  <c r="X45" i="81"/>
  <c r="N45" i="81"/>
  <c r="L45" i="81"/>
  <c r="B45" i="81"/>
  <c r="T44" i="81"/>
  <c r="P44" i="81"/>
  <c r="X44" i="81" s="1"/>
  <c r="H44" i="81"/>
  <c r="D44" i="81"/>
  <c r="L44" i="81" s="1"/>
  <c r="B44" i="81"/>
  <c r="X43" i="81"/>
  <c r="Z43" i="81" s="1"/>
  <c r="N43" i="81"/>
  <c r="L43" i="81"/>
  <c r="B43" i="81"/>
  <c r="X42" i="81"/>
  <c r="Z42" i="81" s="1"/>
  <c r="T42" i="81"/>
  <c r="R42" i="81"/>
  <c r="P42" i="81"/>
  <c r="H42" i="81"/>
  <c r="N42" i="81" s="1"/>
  <c r="D42" i="81"/>
  <c r="L42" i="81" s="1"/>
  <c r="B42" i="81"/>
  <c r="Z41" i="81"/>
  <c r="X41" i="81"/>
  <c r="N41" i="81"/>
  <c r="L41" i="81"/>
  <c r="B41" i="81"/>
  <c r="T40" i="81"/>
  <c r="P40" i="81"/>
  <c r="H40" i="81"/>
  <c r="D40" i="81"/>
  <c r="L40" i="81" s="1"/>
  <c r="N40" i="81" s="1"/>
  <c r="B40" i="81"/>
  <c r="Z39" i="81"/>
  <c r="X39" i="81"/>
  <c r="L39" i="81"/>
  <c r="N39" i="81" s="1"/>
  <c r="B39" i="81"/>
  <c r="T38" i="81"/>
  <c r="Z38" i="81" s="1"/>
  <c r="P38" i="81"/>
  <c r="X38" i="81" s="1"/>
  <c r="H38" i="81"/>
  <c r="N38" i="81" s="1"/>
  <c r="D38" i="81"/>
  <c r="L38" i="81" s="1"/>
  <c r="B38" i="81"/>
  <c r="Z37" i="81"/>
  <c r="X37" i="81"/>
  <c r="N37" i="81"/>
  <c r="L37" i="81"/>
  <c r="B37" i="81"/>
  <c r="X36" i="81"/>
  <c r="Z36" i="81" s="1"/>
  <c r="L36" i="81"/>
  <c r="N36" i="81" s="1"/>
  <c r="B36" i="81"/>
  <c r="X35" i="81"/>
  <c r="Z35" i="81" s="1"/>
  <c r="N35" i="81"/>
  <c r="L35" i="81"/>
  <c r="B35" i="81"/>
  <c r="Z34" i="81"/>
  <c r="X34" i="81"/>
  <c r="N34" i="81"/>
  <c r="L34" i="81"/>
  <c r="B34" i="81"/>
  <c r="Z33" i="81"/>
  <c r="X33" i="81"/>
  <c r="N33" i="81"/>
  <c r="L33" i="81"/>
  <c r="B33" i="81"/>
  <c r="T32" i="81"/>
  <c r="P32" i="81"/>
  <c r="X32" i="81" s="1"/>
  <c r="L32" i="81"/>
  <c r="N32" i="81" s="1"/>
  <c r="H32" i="81"/>
  <c r="D32" i="81"/>
  <c r="B32" i="81"/>
  <c r="Z31" i="81"/>
  <c r="X31" i="81"/>
  <c r="N31" i="81"/>
  <c r="L31" i="81"/>
  <c r="B31" i="81"/>
  <c r="Z30" i="81"/>
  <c r="X30" i="81"/>
  <c r="L30" i="81"/>
  <c r="N30" i="81" s="1"/>
  <c r="B30" i="81"/>
  <c r="Z29" i="81"/>
  <c r="X29" i="81"/>
  <c r="R29" i="81"/>
  <c r="N29" i="81"/>
  <c r="L29" i="81"/>
  <c r="B29" i="81"/>
  <c r="X28" i="81"/>
  <c r="Z28" i="81" s="1"/>
  <c r="N28" i="81"/>
  <c r="L28" i="81"/>
  <c r="J28" i="81"/>
  <c r="B28" i="81"/>
  <c r="Z27" i="81"/>
  <c r="X27" i="81"/>
  <c r="N27" i="81"/>
  <c r="L27" i="81"/>
  <c r="B27" i="81"/>
  <c r="Z26" i="81"/>
  <c r="X26" i="81"/>
  <c r="L26" i="81"/>
  <c r="N26" i="81" s="1"/>
  <c r="B26" i="81"/>
  <c r="Z25" i="81"/>
  <c r="X25" i="81"/>
  <c r="R25" i="81"/>
  <c r="N25" i="81"/>
  <c r="L25" i="81"/>
  <c r="B25" i="81"/>
  <c r="X24" i="81"/>
  <c r="Z24" i="81" s="1"/>
  <c r="N24" i="81"/>
  <c r="L24" i="81"/>
  <c r="B24" i="81"/>
  <c r="T23" i="81"/>
  <c r="P23" i="81"/>
  <c r="X23" i="81" s="1"/>
  <c r="Z23" i="81" s="1"/>
  <c r="H23" i="81"/>
  <c r="D23" i="81"/>
  <c r="B23" i="81"/>
  <c r="T22" i="81"/>
  <c r="P22" i="81"/>
  <c r="X22" i="81" s="1"/>
  <c r="H22" i="81"/>
  <c r="N22" i="81" s="1"/>
  <c r="D22" i="81"/>
  <c r="L22" i="81" s="1"/>
  <c r="P20" i="81"/>
  <c r="X18" i="81"/>
  <c r="Z18" i="81" s="1"/>
  <c r="L18" i="81"/>
  <c r="N18" i="81" s="1"/>
  <c r="B18" i="81"/>
  <c r="Z17" i="81"/>
  <c r="X17" i="81"/>
  <c r="N17" i="81"/>
  <c r="L17" i="81"/>
  <c r="B17" i="81"/>
  <c r="T16" i="81"/>
  <c r="P16" i="81"/>
  <c r="X16" i="81" s="1"/>
  <c r="H16" i="81"/>
  <c r="D16" i="81"/>
  <c r="L16" i="81" s="1"/>
  <c r="T14" i="81"/>
  <c r="P14" i="81"/>
  <c r="P12" i="81" s="1"/>
  <c r="R41" i="81" s="1"/>
  <c r="H14" i="81"/>
  <c r="D14" i="81"/>
  <c r="L14" i="81" s="1"/>
  <c r="N14" i="81" s="1"/>
  <c r="B14" i="81"/>
  <c r="T13" i="81"/>
  <c r="P13" i="81"/>
  <c r="L13" i="81"/>
  <c r="H13" i="81"/>
  <c r="H12" i="81" s="1"/>
  <c r="D13" i="81"/>
  <c r="D12" i="81" s="1"/>
  <c r="L12" i="81" s="1"/>
  <c r="B13" i="81"/>
  <c r="D6" i="81"/>
  <c r="D4" i="81"/>
  <c r="X70" i="80"/>
  <c r="Z70" i="80" s="1"/>
  <c r="L70" i="80"/>
  <c r="N70" i="80" s="1"/>
  <c r="T66" i="80"/>
  <c r="Z66" i="80" s="1"/>
  <c r="P66" i="80"/>
  <c r="X66" i="80" s="1"/>
  <c r="L66" i="80"/>
  <c r="H66" i="80"/>
  <c r="N66" i="80" s="1"/>
  <c r="D66" i="80"/>
  <c r="Z64" i="80"/>
  <c r="X64" i="80"/>
  <c r="L64" i="80"/>
  <c r="N64" i="80" s="1"/>
  <c r="B64" i="80"/>
  <c r="T63" i="80"/>
  <c r="P63" i="80"/>
  <c r="X63" i="80" s="1"/>
  <c r="Z63" i="80" s="1"/>
  <c r="N63" i="80"/>
  <c r="L63" i="80"/>
  <c r="H63" i="80"/>
  <c r="F63" i="80"/>
  <c r="D63" i="80"/>
  <c r="B63" i="80"/>
  <c r="X62" i="80"/>
  <c r="Z62" i="80" s="1"/>
  <c r="N62" i="80"/>
  <c r="L62" i="80"/>
  <c r="B62" i="80"/>
  <c r="T61" i="80"/>
  <c r="P61" i="80"/>
  <c r="X61" i="80" s="1"/>
  <c r="Z61" i="80" s="1"/>
  <c r="L61" i="80"/>
  <c r="H61" i="80"/>
  <c r="N61" i="80" s="1"/>
  <c r="D61" i="80"/>
  <c r="B61" i="80"/>
  <c r="X60" i="80"/>
  <c r="Z60" i="80" s="1"/>
  <c r="N60" i="80"/>
  <c r="L60" i="80"/>
  <c r="B60" i="80"/>
  <c r="Z59" i="80"/>
  <c r="X59" i="80"/>
  <c r="N59" i="80"/>
  <c r="L59" i="80"/>
  <c r="B59" i="80"/>
  <c r="Z58" i="80"/>
  <c r="X58" i="80"/>
  <c r="N58" i="80"/>
  <c r="L58" i="80"/>
  <c r="B58" i="80"/>
  <c r="Z57" i="80"/>
  <c r="X57" i="80"/>
  <c r="N57" i="80"/>
  <c r="L57" i="80"/>
  <c r="B57" i="80"/>
  <c r="Z56" i="80"/>
  <c r="X56" i="80"/>
  <c r="N56" i="80"/>
  <c r="L56" i="80"/>
  <c r="B56" i="80"/>
  <c r="T55" i="80"/>
  <c r="P55" i="80"/>
  <c r="X55" i="80" s="1"/>
  <c r="Z55" i="80" s="1"/>
  <c r="H55" i="80"/>
  <c r="D55" i="80"/>
  <c r="B55" i="80"/>
  <c r="X54" i="80"/>
  <c r="Z54" i="80" s="1"/>
  <c r="L54" i="80"/>
  <c r="N54" i="80" s="1"/>
  <c r="B54" i="80"/>
  <c r="Z53" i="80"/>
  <c r="X53" i="80"/>
  <c r="N53" i="80"/>
  <c r="L53" i="80"/>
  <c r="B53" i="80"/>
  <c r="Z52" i="80"/>
  <c r="X52" i="80"/>
  <c r="L52" i="80"/>
  <c r="N52" i="80" s="1"/>
  <c r="F52" i="80"/>
  <c r="B52" i="80"/>
  <c r="T51" i="80"/>
  <c r="P51" i="80"/>
  <c r="X51" i="80" s="1"/>
  <c r="Z51" i="80" s="1"/>
  <c r="N51" i="80"/>
  <c r="L51" i="80"/>
  <c r="H51" i="80"/>
  <c r="D51" i="80"/>
  <c r="B51" i="80"/>
  <c r="X50" i="80"/>
  <c r="Z50" i="80" s="1"/>
  <c r="N50" i="80"/>
  <c r="L50" i="80"/>
  <c r="B50" i="80"/>
  <c r="T49" i="80"/>
  <c r="X49" i="80" s="1"/>
  <c r="Z49" i="80" s="1"/>
  <c r="P49" i="80"/>
  <c r="L49" i="80"/>
  <c r="H49" i="80"/>
  <c r="D49" i="80"/>
  <c r="B49" i="80"/>
  <c r="Z48" i="80"/>
  <c r="X48" i="80"/>
  <c r="N48" i="80"/>
  <c r="L48" i="80"/>
  <c r="B48" i="80"/>
  <c r="Z47" i="80"/>
  <c r="X47" i="80"/>
  <c r="N47" i="80"/>
  <c r="L47" i="80"/>
  <c r="B47" i="80"/>
  <c r="Z46" i="80"/>
  <c r="X46" i="80"/>
  <c r="N46" i="80"/>
  <c r="L46" i="80"/>
  <c r="B46" i="80"/>
  <c r="T45" i="80"/>
  <c r="P45" i="80"/>
  <c r="H45" i="80"/>
  <c r="D45" i="80"/>
  <c r="L45" i="80" s="1"/>
  <c r="N45" i="80" s="1"/>
  <c r="B45" i="80"/>
  <c r="Z44" i="80"/>
  <c r="X44" i="80"/>
  <c r="L44" i="80"/>
  <c r="N44" i="80" s="1"/>
  <c r="B44" i="80"/>
  <c r="T43" i="80"/>
  <c r="P43" i="80"/>
  <c r="X43" i="80" s="1"/>
  <c r="Z43" i="80" s="1"/>
  <c r="N43" i="80"/>
  <c r="L43" i="80"/>
  <c r="H43" i="80"/>
  <c r="D43" i="80"/>
  <c r="B43" i="80"/>
  <c r="X42" i="80"/>
  <c r="Z42" i="80" s="1"/>
  <c r="N42" i="80"/>
  <c r="L42" i="80"/>
  <c r="B42" i="80"/>
  <c r="T41" i="80"/>
  <c r="X41" i="80" s="1"/>
  <c r="Z41" i="80" s="1"/>
  <c r="P41" i="80"/>
  <c r="L41" i="80"/>
  <c r="H41" i="80"/>
  <c r="D41" i="80"/>
  <c r="B41" i="80"/>
  <c r="X40" i="80"/>
  <c r="Z40" i="80" s="1"/>
  <c r="N40" i="80"/>
  <c r="L40" i="80"/>
  <c r="B40" i="80"/>
  <c r="T39" i="80"/>
  <c r="P39" i="80"/>
  <c r="X39" i="80" s="1"/>
  <c r="Z39" i="80" s="1"/>
  <c r="H39" i="80"/>
  <c r="N39" i="80" s="1"/>
  <c r="D39" i="80"/>
  <c r="L39" i="80" s="1"/>
  <c r="B39" i="80"/>
  <c r="X38" i="80"/>
  <c r="Z38" i="80" s="1"/>
  <c r="L38" i="80"/>
  <c r="N38" i="80" s="1"/>
  <c r="B38" i="80"/>
  <c r="X37" i="80"/>
  <c r="Z37" i="80" s="1"/>
  <c r="T37" i="80"/>
  <c r="P37" i="80"/>
  <c r="H37" i="80"/>
  <c r="D37" i="80"/>
  <c r="L37" i="80" s="1"/>
  <c r="N37" i="80" s="1"/>
  <c r="B37" i="80"/>
  <c r="Z36" i="80"/>
  <c r="X36" i="80"/>
  <c r="N36" i="80"/>
  <c r="L36" i="80"/>
  <c r="F36" i="80"/>
  <c r="B36" i="80"/>
  <c r="X35" i="80"/>
  <c r="Z35" i="80" s="1"/>
  <c r="N35" i="80"/>
  <c r="L35" i="80"/>
  <c r="B35" i="80"/>
  <c r="X34" i="80"/>
  <c r="Z34" i="80" s="1"/>
  <c r="N34" i="80"/>
  <c r="L34" i="80"/>
  <c r="B34" i="80"/>
  <c r="Z33" i="80"/>
  <c r="X33" i="80"/>
  <c r="N33" i="80"/>
  <c r="L33" i="80"/>
  <c r="F33" i="80"/>
  <c r="B33" i="80"/>
  <c r="Z32" i="80"/>
  <c r="X32" i="80"/>
  <c r="N32" i="80"/>
  <c r="L32" i="80"/>
  <c r="F32" i="80"/>
  <c r="B32" i="80"/>
  <c r="X31" i="80"/>
  <c r="T31" i="80"/>
  <c r="P31" i="80"/>
  <c r="N31" i="80"/>
  <c r="H31" i="80"/>
  <c r="D31" i="80"/>
  <c r="L31" i="80" s="1"/>
  <c r="B31" i="80"/>
  <c r="Z30" i="80"/>
  <c r="X30" i="80"/>
  <c r="N30" i="80"/>
  <c r="L30" i="80"/>
  <c r="B30" i="80"/>
  <c r="Z29" i="80"/>
  <c r="X29" i="80"/>
  <c r="N29" i="80"/>
  <c r="L29" i="80"/>
  <c r="B29" i="80"/>
  <c r="Z28" i="80"/>
  <c r="X28" i="80"/>
  <c r="N28" i="80"/>
  <c r="L28" i="80"/>
  <c r="B28" i="80"/>
  <c r="Z27" i="80"/>
  <c r="X27" i="80"/>
  <c r="N27" i="80"/>
  <c r="L27" i="80"/>
  <c r="B27" i="80"/>
  <c r="Z26" i="80"/>
  <c r="X26" i="80"/>
  <c r="N26" i="80"/>
  <c r="L26" i="80"/>
  <c r="B26" i="80"/>
  <c r="Z25" i="80"/>
  <c r="X25" i="80"/>
  <c r="N25" i="80"/>
  <c r="L25" i="80"/>
  <c r="B25" i="80"/>
  <c r="X24" i="80"/>
  <c r="Z24" i="80" s="1"/>
  <c r="N24" i="80"/>
  <c r="L24" i="80"/>
  <c r="B24" i="80"/>
  <c r="T23" i="80"/>
  <c r="P23" i="80"/>
  <c r="X23" i="80" s="1"/>
  <c r="Z23" i="80" s="1"/>
  <c r="H23" i="80"/>
  <c r="N23" i="80" s="1"/>
  <c r="D23" i="80"/>
  <c r="L23" i="80" s="1"/>
  <c r="B23" i="80"/>
  <c r="T22" i="80"/>
  <c r="P22" i="80"/>
  <c r="X22" i="80" s="1"/>
  <c r="H22" i="80"/>
  <c r="D22" i="80"/>
  <c r="L22" i="80" s="1"/>
  <c r="X18" i="80"/>
  <c r="Z18" i="80" s="1"/>
  <c r="L18" i="80"/>
  <c r="N18" i="80" s="1"/>
  <c r="B18" i="80"/>
  <c r="Z17" i="80"/>
  <c r="X17" i="80"/>
  <c r="N17" i="80"/>
  <c r="L17" i="80"/>
  <c r="B17" i="80"/>
  <c r="T16" i="80"/>
  <c r="P16" i="80"/>
  <c r="X16" i="80" s="1"/>
  <c r="H16" i="80"/>
  <c r="D16" i="80"/>
  <c r="L16" i="80" s="1"/>
  <c r="T14" i="80"/>
  <c r="P14" i="80"/>
  <c r="X14" i="80" s="1"/>
  <c r="H14" i="80"/>
  <c r="D14" i="80"/>
  <c r="L14" i="80" s="1"/>
  <c r="N14" i="80" s="1"/>
  <c r="B14" i="80"/>
  <c r="T13" i="80"/>
  <c r="P13" i="80"/>
  <c r="L13" i="80"/>
  <c r="H13" i="80"/>
  <c r="D13" i="80"/>
  <c r="D12" i="80" s="1"/>
  <c r="B13" i="80"/>
  <c r="D6" i="80"/>
  <c r="D4" i="80"/>
  <c r="X65" i="79"/>
  <c r="Z65" i="79" s="1"/>
  <c r="L65" i="79"/>
  <c r="N65" i="79" s="1"/>
  <c r="T61" i="79"/>
  <c r="Z61" i="79" s="1"/>
  <c r="P61" i="79"/>
  <c r="L61" i="79"/>
  <c r="H61" i="79"/>
  <c r="N61" i="79" s="1"/>
  <c r="D61" i="79"/>
  <c r="B61" i="79"/>
  <c r="X60" i="79"/>
  <c r="T60" i="79"/>
  <c r="P60" i="79"/>
  <c r="N60" i="79"/>
  <c r="H60" i="79"/>
  <c r="D60" i="79"/>
  <c r="L60" i="79" s="1"/>
  <c r="B60" i="79"/>
  <c r="T59" i="79"/>
  <c r="P59" i="79"/>
  <c r="P57" i="79" s="1"/>
  <c r="H59" i="79"/>
  <c r="D59" i="79"/>
  <c r="B59" i="79"/>
  <c r="Z58" i="79"/>
  <c r="X58" i="79"/>
  <c r="T58" i="79"/>
  <c r="P58" i="79"/>
  <c r="N58" i="79"/>
  <c r="H58" i="79"/>
  <c r="D58" i="79"/>
  <c r="L58" i="79" s="1"/>
  <c r="B58" i="79"/>
  <c r="X55" i="79"/>
  <c r="Z55" i="79" s="1"/>
  <c r="L55" i="79"/>
  <c r="N55" i="79" s="1"/>
  <c r="B55" i="79"/>
  <c r="X54" i="79"/>
  <c r="T54" i="79"/>
  <c r="P54" i="79"/>
  <c r="H54" i="79"/>
  <c r="D54" i="79"/>
  <c r="L54" i="79" s="1"/>
  <c r="N54" i="79" s="1"/>
  <c r="B54" i="79"/>
  <c r="X53" i="79"/>
  <c r="Z53" i="79" s="1"/>
  <c r="L53" i="79"/>
  <c r="N53" i="79" s="1"/>
  <c r="B53" i="79"/>
  <c r="X52" i="79"/>
  <c r="Z52" i="79" s="1"/>
  <c r="N52" i="79"/>
  <c r="L52" i="79"/>
  <c r="B52" i="79"/>
  <c r="T51" i="79"/>
  <c r="P51" i="79"/>
  <c r="L51" i="79"/>
  <c r="H51" i="79"/>
  <c r="N51" i="79" s="1"/>
  <c r="D51" i="79"/>
  <c r="B51" i="79"/>
  <c r="Z50" i="79"/>
  <c r="X50" i="79"/>
  <c r="L50" i="79"/>
  <c r="N50" i="79" s="1"/>
  <c r="B50" i="79"/>
  <c r="X49" i="79"/>
  <c r="T49" i="79"/>
  <c r="P49" i="79"/>
  <c r="H49" i="79"/>
  <c r="D49" i="79"/>
  <c r="L49" i="79" s="1"/>
  <c r="B49" i="79"/>
  <c r="Z48" i="79"/>
  <c r="X48" i="79"/>
  <c r="L48" i="79"/>
  <c r="N48" i="79" s="1"/>
  <c r="B48" i="79"/>
  <c r="X47" i="79"/>
  <c r="T47" i="79"/>
  <c r="Z47" i="79" s="1"/>
  <c r="P47" i="79"/>
  <c r="N47" i="79"/>
  <c r="H47" i="79"/>
  <c r="D47" i="79"/>
  <c r="L47" i="79" s="1"/>
  <c r="B47" i="79"/>
  <c r="Z46" i="79"/>
  <c r="X46" i="79"/>
  <c r="L46" i="79"/>
  <c r="N46" i="79" s="1"/>
  <c r="B46" i="79"/>
  <c r="X45" i="79"/>
  <c r="Z45" i="79" s="1"/>
  <c r="L45" i="79"/>
  <c r="N45" i="79" s="1"/>
  <c r="B45" i="79"/>
  <c r="T44" i="79"/>
  <c r="P44" i="79"/>
  <c r="H44" i="79"/>
  <c r="D44" i="79"/>
  <c r="L44" i="79" s="1"/>
  <c r="N44" i="79" s="1"/>
  <c r="B44" i="79"/>
  <c r="X43" i="79"/>
  <c r="Z43" i="79" s="1"/>
  <c r="L43" i="79"/>
  <c r="N43" i="79" s="1"/>
  <c r="B43" i="79"/>
  <c r="X42" i="79"/>
  <c r="Z42" i="79" s="1"/>
  <c r="T42" i="79"/>
  <c r="P42" i="79"/>
  <c r="H42" i="79"/>
  <c r="D42" i="79"/>
  <c r="L42" i="79" s="1"/>
  <c r="N42" i="79" s="1"/>
  <c r="B42" i="79"/>
  <c r="Z41" i="79"/>
  <c r="X41" i="79"/>
  <c r="N41" i="79"/>
  <c r="L41" i="79"/>
  <c r="B41" i="79"/>
  <c r="T40" i="79"/>
  <c r="P40" i="79"/>
  <c r="N40" i="79"/>
  <c r="L40" i="79"/>
  <c r="H40" i="79"/>
  <c r="D40" i="79"/>
  <c r="B40" i="79"/>
  <c r="X39" i="79"/>
  <c r="Z39" i="79" s="1"/>
  <c r="V39" i="79"/>
  <c r="N39" i="79"/>
  <c r="L39" i="79"/>
  <c r="B39" i="79"/>
  <c r="Z38" i="79"/>
  <c r="X38" i="79"/>
  <c r="N38" i="79"/>
  <c r="L38" i="79"/>
  <c r="B38" i="79"/>
  <c r="Z37" i="79"/>
  <c r="X37" i="79"/>
  <c r="N37" i="79"/>
  <c r="L37" i="79"/>
  <c r="B37" i="79"/>
  <c r="T36" i="79"/>
  <c r="P36" i="79"/>
  <c r="N36" i="79"/>
  <c r="H36" i="79"/>
  <c r="D36" i="79"/>
  <c r="L36" i="79" s="1"/>
  <c r="B36" i="79"/>
  <c r="Z35" i="79"/>
  <c r="X35" i="79"/>
  <c r="N35" i="79"/>
  <c r="L35" i="79"/>
  <c r="B35" i="79"/>
  <c r="Z34" i="79"/>
  <c r="X34" i="79"/>
  <c r="N34" i="79"/>
  <c r="L34" i="79"/>
  <c r="B34" i="79"/>
  <c r="Z33" i="79"/>
  <c r="X33" i="79"/>
  <c r="N33" i="79"/>
  <c r="L33" i="79"/>
  <c r="B33" i="79"/>
  <c r="Z32" i="79"/>
  <c r="X32" i="79"/>
  <c r="V32" i="79"/>
  <c r="N32" i="79"/>
  <c r="L32" i="79"/>
  <c r="B32" i="79"/>
  <c r="Z31" i="79"/>
  <c r="X31" i="79"/>
  <c r="N31" i="79"/>
  <c r="L31" i="79"/>
  <c r="B31" i="79"/>
  <c r="Z30" i="79"/>
  <c r="X30" i="79"/>
  <c r="N30" i="79"/>
  <c r="L30" i="79"/>
  <c r="B30" i="79"/>
  <c r="X29" i="79"/>
  <c r="Z29" i="79" s="1"/>
  <c r="N29" i="79"/>
  <c r="L29" i="79"/>
  <c r="B29" i="79"/>
  <c r="V28" i="79"/>
  <c r="T28" i="79"/>
  <c r="P28" i="79"/>
  <c r="X28" i="79" s="1"/>
  <c r="Z28" i="79" s="1"/>
  <c r="N28" i="79"/>
  <c r="L28" i="79"/>
  <c r="H28" i="79"/>
  <c r="D28" i="79"/>
  <c r="B28" i="79"/>
  <c r="X27" i="79"/>
  <c r="T27" i="79"/>
  <c r="Z27" i="79" s="1"/>
  <c r="P27" i="79"/>
  <c r="N27" i="79"/>
  <c r="H27" i="79"/>
  <c r="D27" i="79"/>
  <c r="L27" i="79" s="1"/>
  <c r="X23" i="79"/>
  <c r="Z23" i="79" s="1"/>
  <c r="L23" i="79"/>
  <c r="N23" i="79" s="1"/>
  <c r="B23" i="79"/>
  <c r="Z22" i="79"/>
  <c r="X22" i="79"/>
  <c r="N22" i="79"/>
  <c r="L22" i="79"/>
  <c r="B22" i="79"/>
  <c r="Z21" i="79"/>
  <c r="X21" i="79"/>
  <c r="L21" i="79"/>
  <c r="N21" i="79" s="1"/>
  <c r="B21" i="79"/>
  <c r="Z20" i="79"/>
  <c r="X20" i="79"/>
  <c r="N20" i="79"/>
  <c r="L20" i="79"/>
  <c r="B20" i="79"/>
  <c r="X19" i="79"/>
  <c r="Z19" i="79" s="1"/>
  <c r="L19" i="79"/>
  <c r="N19" i="79" s="1"/>
  <c r="B19" i="79"/>
  <c r="Z18" i="79"/>
  <c r="X18" i="79"/>
  <c r="T18" i="79"/>
  <c r="P18" i="79"/>
  <c r="H18" i="79"/>
  <c r="D18" i="79"/>
  <c r="T16" i="79"/>
  <c r="P16" i="79"/>
  <c r="N16" i="79"/>
  <c r="H16" i="79"/>
  <c r="D16" i="79"/>
  <c r="L16" i="79" s="1"/>
  <c r="B16" i="79"/>
  <c r="Z15" i="79"/>
  <c r="T15" i="79"/>
  <c r="P15" i="79"/>
  <c r="X15" i="79" s="1"/>
  <c r="N15" i="79"/>
  <c r="H15" i="79"/>
  <c r="D15" i="79"/>
  <c r="L15" i="79" s="1"/>
  <c r="B15" i="79"/>
  <c r="T14" i="79"/>
  <c r="P14" i="79"/>
  <c r="X14" i="79" s="1"/>
  <c r="Z14" i="79" s="1"/>
  <c r="H14" i="79"/>
  <c r="N14" i="79" s="1"/>
  <c r="D14" i="79"/>
  <c r="L14" i="79" s="1"/>
  <c r="B14" i="79"/>
  <c r="X13" i="79"/>
  <c r="T13" i="79"/>
  <c r="Z13" i="79" s="1"/>
  <c r="P13" i="79"/>
  <c r="P12" i="79" s="1"/>
  <c r="R20" i="79" s="1"/>
  <c r="H13" i="79"/>
  <c r="D13" i="79"/>
  <c r="B13" i="79"/>
  <c r="T12" i="79"/>
  <c r="V45" i="79" s="1"/>
  <c r="D6" i="79"/>
  <c r="D4" i="79"/>
  <c r="Z97" i="77"/>
  <c r="X97" i="77"/>
  <c r="L97" i="77"/>
  <c r="N97" i="77" s="1"/>
  <c r="Z93" i="77"/>
  <c r="X93" i="77"/>
  <c r="T93" i="77"/>
  <c r="P93" i="77"/>
  <c r="H93" i="77"/>
  <c r="D93" i="77"/>
  <c r="B93" i="77"/>
  <c r="T92" i="77"/>
  <c r="Z92" i="77" s="1"/>
  <c r="P92" i="77"/>
  <c r="P90" i="77" s="1"/>
  <c r="N92" i="77"/>
  <c r="L92" i="77"/>
  <c r="H92" i="77"/>
  <c r="D92" i="77"/>
  <c r="B92" i="77"/>
  <c r="T91" i="77"/>
  <c r="P91" i="77"/>
  <c r="X91" i="77" s="1"/>
  <c r="Z91" i="77" s="1"/>
  <c r="L91" i="77"/>
  <c r="N91" i="77" s="1"/>
  <c r="H91" i="77"/>
  <c r="D91" i="77"/>
  <c r="B91" i="77"/>
  <c r="D90" i="77"/>
  <c r="X88" i="77"/>
  <c r="Z88" i="77" s="1"/>
  <c r="L88" i="77"/>
  <c r="N88" i="77" s="1"/>
  <c r="B88" i="77"/>
  <c r="Z87" i="77"/>
  <c r="X87" i="77"/>
  <c r="T87" i="77"/>
  <c r="P87" i="77"/>
  <c r="H87" i="77"/>
  <c r="D87" i="77"/>
  <c r="B87" i="77"/>
  <c r="X86" i="77"/>
  <c r="Z86" i="77" s="1"/>
  <c r="L86" i="77"/>
  <c r="N86" i="77" s="1"/>
  <c r="B86" i="77"/>
  <c r="X85" i="77"/>
  <c r="Z85" i="77" s="1"/>
  <c r="N85" i="77"/>
  <c r="L85" i="77"/>
  <c r="B85" i="77"/>
  <c r="X84" i="77"/>
  <c r="Z84" i="77" s="1"/>
  <c r="T84" i="77"/>
  <c r="P84" i="77"/>
  <c r="H84" i="77"/>
  <c r="D84" i="77"/>
  <c r="B84" i="77"/>
  <c r="Z83" i="77"/>
  <c r="X83" i="77"/>
  <c r="N83" i="77"/>
  <c r="L83" i="77"/>
  <c r="B83" i="77"/>
  <c r="X82" i="77"/>
  <c r="T82" i="77"/>
  <c r="Z82" i="77" s="1"/>
  <c r="P82" i="77"/>
  <c r="H82" i="77"/>
  <c r="N82" i="77" s="1"/>
  <c r="D82" i="77"/>
  <c r="L82" i="77" s="1"/>
  <c r="B82" i="77"/>
  <c r="Z81" i="77"/>
  <c r="X81" i="77"/>
  <c r="L81" i="77"/>
  <c r="N81" i="77" s="1"/>
  <c r="B81" i="77"/>
  <c r="X80" i="77"/>
  <c r="T80" i="77"/>
  <c r="Z80" i="77" s="1"/>
  <c r="P80" i="77"/>
  <c r="N80" i="77"/>
  <c r="H80" i="77"/>
  <c r="D80" i="77"/>
  <c r="L80" i="77" s="1"/>
  <c r="B80" i="77"/>
  <c r="Z79" i="77"/>
  <c r="X79" i="77"/>
  <c r="L79" i="77"/>
  <c r="N79" i="77" s="1"/>
  <c r="B79" i="77"/>
  <c r="T78" i="77"/>
  <c r="P78" i="77"/>
  <c r="L78" i="77"/>
  <c r="N78" i="77" s="1"/>
  <c r="H78" i="77"/>
  <c r="D78" i="77"/>
  <c r="B78" i="77"/>
  <c r="Z77" i="77"/>
  <c r="X77" i="77"/>
  <c r="N77" i="77"/>
  <c r="L77" i="77"/>
  <c r="B77" i="77"/>
  <c r="T76" i="77"/>
  <c r="P76" i="77"/>
  <c r="X76" i="77" s="1"/>
  <c r="L76" i="77"/>
  <c r="H76" i="77"/>
  <c r="N76" i="77" s="1"/>
  <c r="D76" i="77"/>
  <c r="B76" i="77"/>
  <c r="Z75" i="77"/>
  <c r="X75" i="77"/>
  <c r="N75" i="77"/>
  <c r="L75" i="77"/>
  <c r="B75" i="77"/>
  <c r="Z74" i="77"/>
  <c r="T74" i="77"/>
  <c r="P74" i="77"/>
  <c r="X74" i="77" s="1"/>
  <c r="L74" i="77"/>
  <c r="H74" i="77"/>
  <c r="N74" i="77" s="1"/>
  <c r="D74" i="77"/>
  <c r="B74" i="77"/>
  <c r="X73" i="77"/>
  <c r="Z73" i="77" s="1"/>
  <c r="N73" i="77"/>
  <c r="L73" i="77"/>
  <c r="B73" i="77"/>
  <c r="X72" i="77"/>
  <c r="Z72" i="77" s="1"/>
  <c r="T72" i="77"/>
  <c r="P72" i="77"/>
  <c r="H72" i="77"/>
  <c r="D72" i="77"/>
  <c r="B72" i="77"/>
  <c r="X71" i="77"/>
  <c r="Z71" i="77" s="1"/>
  <c r="N71" i="77"/>
  <c r="L71" i="77"/>
  <c r="B71" i="77"/>
  <c r="X70" i="77"/>
  <c r="T70" i="77"/>
  <c r="Z70" i="77" s="1"/>
  <c r="P70" i="77"/>
  <c r="H70" i="77"/>
  <c r="N70" i="77" s="1"/>
  <c r="D70" i="77"/>
  <c r="L70" i="77" s="1"/>
  <c r="B70" i="77"/>
  <c r="Z69" i="77"/>
  <c r="X69" i="77"/>
  <c r="L69" i="77"/>
  <c r="N69" i="77" s="1"/>
  <c r="B69" i="77"/>
  <c r="Z68" i="77"/>
  <c r="X68" i="77"/>
  <c r="N68" i="77"/>
  <c r="L68" i="77"/>
  <c r="B68" i="77"/>
  <c r="Z67" i="77"/>
  <c r="X67" i="77"/>
  <c r="N67" i="77"/>
  <c r="L67" i="77"/>
  <c r="B67" i="77"/>
  <c r="Z66" i="77"/>
  <c r="X66" i="77"/>
  <c r="L66" i="77"/>
  <c r="N66" i="77" s="1"/>
  <c r="B66" i="77"/>
  <c r="T65" i="77"/>
  <c r="P65" i="77"/>
  <c r="N65" i="77"/>
  <c r="L65" i="77"/>
  <c r="H65" i="77"/>
  <c r="D65" i="77"/>
  <c r="B65" i="77"/>
  <c r="X64" i="77"/>
  <c r="Z64" i="77" s="1"/>
  <c r="L64" i="77"/>
  <c r="N64" i="77" s="1"/>
  <c r="B64" i="77"/>
  <c r="Z63" i="77"/>
  <c r="X63" i="77"/>
  <c r="L63" i="77"/>
  <c r="N63" i="77" s="1"/>
  <c r="B63" i="77"/>
  <c r="X62" i="77"/>
  <c r="Z62" i="77" s="1"/>
  <c r="L62" i="77"/>
  <c r="N62" i="77" s="1"/>
  <c r="B62" i="77"/>
  <c r="X61" i="77"/>
  <c r="Z61" i="77" s="1"/>
  <c r="N61" i="77"/>
  <c r="L61" i="77"/>
  <c r="B61" i="77"/>
  <c r="X60" i="77"/>
  <c r="Z60" i="77" s="1"/>
  <c r="L60" i="77"/>
  <c r="N60" i="77" s="1"/>
  <c r="B60" i="77"/>
  <c r="Z59" i="77"/>
  <c r="X59" i="77"/>
  <c r="L59" i="77"/>
  <c r="N59" i="77" s="1"/>
  <c r="B59" i="77"/>
  <c r="X58" i="77"/>
  <c r="Z58" i="77" s="1"/>
  <c r="L58" i="77"/>
  <c r="N58" i="77" s="1"/>
  <c r="B58" i="77"/>
  <c r="X57" i="77"/>
  <c r="Z57" i="77" s="1"/>
  <c r="N57" i="77"/>
  <c r="L57" i="77"/>
  <c r="B57" i="77"/>
  <c r="X56" i="77"/>
  <c r="Z56" i="77" s="1"/>
  <c r="L56" i="77"/>
  <c r="N56" i="77" s="1"/>
  <c r="B56" i="77"/>
  <c r="T55" i="77"/>
  <c r="P55" i="77"/>
  <c r="X55" i="77" s="1"/>
  <c r="Z55" i="77" s="1"/>
  <c r="H55" i="77"/>
  <c r="D55" i="77"/>
  <c r="L55" i="77" s="1"/>
  <c r="B55" i="77"/>
  <c r="X54" i="77"/>
  <c r="T54" i="77"/>
  <c r="Z54" i="77" s="1"/>
  <c r="P54" i="77"/>
  <c r="H54" i="77"/>
  <c r="D54" i="77"/>
  <c r="L54" i="77" s="1"/>
  <c r="X50" i="77"/>
  <c r="Z50" i="77" s="1"/>
  <c r="N50" i="77"/>
  <c r="L50" i="77"/>
  <c r="B50" i="77"/>
  <c r="Z49" i="77"/>
  <c r="X49" i="77"/>
  <c r="N49" i="77"/>
  <c r="L49" i="77"/>
  <c r="B49" i="77"/>
  <c r="Z48" i="77"/>
  <c r="X48" i="77"/>
  <c r="N48" i="77"/>
  <c r="L48" i="77"/>
  <c r="B48" i="77"/>
  <c r="Z47" i="77"/>
  <c r="X47" i="77"/>
  <c r="N47" i="77"/>
  <c r="L47" i="77"/>
  <c r="B47" i="77"/>
  <c r="X46" i="77"/>
  <c r="Z46" i="77" s="1"/>
  <c r="N46" i="77"/>
  <c r="L46" i="77"/>
  <c r="B46" i="77"/>
  <c r="Z45" i="77"/>
  <c r="X45" i="77"/>
  <c r="N45" i="77"/>
  <c r="L45" i="77"/>
  <c r="B45" i="77"/>
  <c r="Z44" i="77"/>
  <c r="X44" i="77"/>
  <c r="L44" i="77"/>
  <c r="N44" i="77" s="1"/>
  <c r="B44" i="77"/>
  <c r="X43" i="77"/>
  <c r="Z43" i="77" s="1"/>
  <c r="N43" i="77"/>
  <c r="L43" i="77"/>
  <c r="B43" i="77"/>
  <c r="X42" i="77"/>
  <c r="Z42" i="77" s="1"/>
  <c r="N42" i="77"/>
  <c r="L42" i="77"/>
  <c r="B42" i="77"/>
  <c r="Z41" i="77"/>
  <c r="X41" i="77"/>
  <c r="N41" i="77"/>
  <c r="L41" i="77"/>
  <c r="B41" i="77"/>
  <c r="X40" i="77"/>
  <c r="Z40" i="77" s="1"/>
  <c r="L40" i="77"/>
  <c r="N40" i="77" s="1"/>
  <c r="B40" i="77"/>
  <c r="X39" i="77"/>
  <c r="Z39" i="77" s="1"/>
  <c r="N39" i="77"/>
  <c r="L39" i="77"/>
  <c r="B39" i="77"/>
  <c r="X38" i="77"/>
  <c r="Z38" i="77" s="1"/>
  <c r="N38" i="77"/>
  <c r="L38" i="77"/>
  <c r="B38" i="77"/>
  <c r="Z37" i="77"/>
  <c r="X37" i="77"/>
  <c r="T37" i="77"/>
  <c r="P37" i="77"/>
  <c r="L37" i="77"/>
  <c r="N37" i="77" s="1"/>
  <c r="H37" i="77"/>
  <c r="D37" i="77"/>
  <c r="T35" i="77"/>
  <c r="Z35" i="77" s="1"/>
  <c r="P35" i="77"/>
  <c r="N35" i="77"/>
  <c r="H35" i="77"/>
  <c r="D35" i="77"/>
  <c r="L35" i="77" s="1"/>
  <c r="B35" i="77"/>
  <c r="T34" i="77"/>
  <c r="Z34" i="77" s="1"/>
  <c r="P34" i="77"/>
  <c r="X34" i="77" s="1"/>
  <c r="N34" i="77"/>
  <c r="L34" i="77"/>
  <c r="H34" i="77"/>
  <c r="D34" i="77"/>
  <c r="B34" i="77"/>
  <c r="Z33" i="77"/>
  <c r="X33" i="77"/>
  <c r="T33" i="77"/>
  <c r="P33" i="77"/>
  <c r="H33" i="77"/>
  <c r="N33" i="77" s="1"/>
  <c r="D33" i="77"/>
  <c r="L33" i="77" s="1"/>
  <c r="B33" i="77"/>
  <c r="X32" i="77"/>
  <c r="T32" i="77"/>
  <c r="Z32" i="77" s="1"/>
  <c r="P32" i="77"/>
  <c r="H32" i="77"/>
  <c r="D32" i="77"/>
  <c r="L32" i="77" s="1"/>
  <c r="N32" i="77" s="1"/>
  <c r="B32" i="77"/>
  <c r="T31" i="77"/>
  <c r="P31" i="77"/>
  <c r="N31" i="77"/>
  <c r="H31" i="77"/>
  <c r="D31" i="77"/>
  <c r="L31" i="77" s="1"/>
  <c r="B31" i="77"/>
  <c r="T30" i="77"/>
  <c r="Z30" i="77" s="1"/>
  <c r="P30" i="77"/>
  <c r="X30" i="77" s="1"/>
  <c r="N30" i="77"/>
  <c r="L30" i="77"/>
  <c r="H30" i="77"/>
  <c r="D30" i="77"/>
  <c r="B30" i="77"/>
  <c r="X29" i="77"/>
  <c r="Z29" i="77" s="1"/>
  <c r="T29" i="77"/>
  <c r="P29" i="77"/>
  <c r="H29" i="77"/>
  <c r="N29" i="77" s="1"/>
  <c r="D29" i="77"/>
  <c r="L29" i="77" s="1"/>
  <c r="B29" i="77"/>
  <c r="X28" i="77"/>
  <c r="T28" i="77"/>
  <c r="Z28" i="77" s="1"/>
  <c r="P28" i="77"/>
  <c r="N28" i="77"/>
  <c r="H28" i="77"/>
  <c r="D28" i="77"/>
  <c r="L28" i="77" s="1"/>
  <c r="B28" i="77"/>
  <c r="T27" i="77"/>
  <c r="P27" i="77"/>
  <c r="H27" i="77"/>
  <c r="D27" i="77"/>
  <c r="L27" i="77" s="1"/>
  <c r="N27" i="77" s="1"/>
  <c r="B27" i="77"/>
  <c r="T26" i="77"/>
  <c r="P26" i="77"/>
  <c r="X26" i="77" s="1"/>
  <c r="N26" i="77"/>
  <c r="L26" i="77"/>
  <c r="H26" i="77"/>
  <c r="D26" i="77"/>
  <c r="B26" i="77"/>
  <c r="X25" i="77"/>
  <c r="Z25" i="77" s="1"/>
  <c r="T25" i="77"/>
  <c r="P25" i="77"/>
  <c r="H25" i="77"/>
  <c r="D25" i="77"/>
  <c r="L25" i="77" s="1"/>
  <c r="B25" i="77"/>
  <c r="X24" i="77"/>
  <c r="T24" i="77"/>
  <c r="Z24" i="77" s="1"/>
  <c r="P24" i="77"/>
  <c r="H24" i="77"/>
  <c r="D24" i="77"/>
  <c r="L24" i="77" s="1"/>
  <c r="N24" i="77" s="1"/>
  <c r="B24" i="77"/>
  <c r="T23" i="77"/>
  <c r="P23" i="77"/>
  <c r="N23" i="77"/>
  <c r="H23" i="77"/>
  <c r="D23" i="77"/>
  <c r="L23" i="77" s="1"/>
  <c r="B23" i="77"/>
  <c r="T22" i="77"/>
  <c r="P22" i="77"/>
  <c r="X22" i="77" s="1"/>
  <c r="L22" i="77"/>
  <c r="N22" i="77" s="1"/>
  <c r="H22" i="77"/>
  <c r="D22" i="77"/>
  <c r="B22" i="77"/>
  <c r="X21" i="77"/>
  <c r="Z21" i="77" s="1"/>
  <c r="T21" i="77"/>
  <c r="P21" i="77"/>
  <c r="H21" i="77"/>
  <c r="D21" i="77"/>
  <c r="L21" i="77" s="1"/>
  <c r="B21" i="77"/>
  <c r="X20" i="77"/>
  <c r="T20" i="77"/>
  <c r="Z20" i="77" s="1"/>
  <c r="P20" i="77"/>
  <c r="N20" i="77"/>
  <c r="H20" i="77"/>
  <c r="D20" i="77"/>
  <c r="L20" i="77" s="1"/>
  <c r="B20" i="77"/>
  <c r="T19" i="77"/>
  <c r="P19" i="77"/>
  <c r="H19" i="77"/>
  <c r="D19" i="77"/>
  <c r="L19" i="77" s="1"/>
  <c r="N19" i="77" s="1"/>
  <c r="B19" i="77"/>
  <c r="T18" i="77"/>
  <c r="P18" i="77"/>
  <c r="X18" i="77" s="1"/>
  <c r="L18" i="77"/>
  <c r="N18" i="77" s="1"/>
  <c r="H18" i="77"/>
  <c r="D18" i="77"/>
  <c r="B18" i="77"/>
  <c r="X17" i="77"/>
  <c r="Z17" i="77" s="1"/>
  <c r="T17" i="77"/>
  <c r="P17" i="77"/>
  <c r="H17" i="77"/>
  <c r="D17" i="77"/>
  <c r="L17" i="77" s="1"/>
  <c r="B17" i="77"/>
  <c r="X16" i="77"/>
  <c r="T16" i="77"/>
  <c r="Z16" i="77" s="1"/>
  <c r="P16" i="77"/>
  <c r="N16" i="77"/>
  <c r="H16" i="77"/>
  <c r="D16" i="77"/>
  <c r="L16" i="77" s="1"/>
  <c r="B16" i="77"/>
  <c r="T15" i="77"/>
  <c r="P15" i="77"/>
  <c r="H15" i="77"/>
  <c r="D15" i="77"/>
  <c r="L15" i="77" s="1"/>
  <c r="N15" i="77" s="1"/>
  <c r="B15" i="77"/>
  <c r="T14" i="77"/>
  <c r="P14" i="77"/>
  <c r="X14" i="77" s="1"/>
  <c r="L14" i="77"/>
  <c r="N14" i="77" s="1"/>
  <c r="H14" i="77"/>
  <c r="D14" i="77"/>
  <c r="D12" i="77" s="1"/>
  <c r="B14" i="77"/>
  <c r="X13" i="77"/>
  <c r="Z13" i="77" s="1"/>
  <c r="T13" i="77"/>
  <c r="P13" i="77"/>
  <c r="H13" i="77"/>
  <c r="H12" i="77" s="1"/>
  <c r="D13" i="77"/>
  <c r="L13" i="77" s="1"/>
  <c r="B13" i="77"/>
  <c r="D6" i="77"/>
  <c r="D4" i="77"/>
  <c r="X70" i="76"/>
  <c r="Z70" i="76" s="1"/>
  <c r="N70" i="76"/>
  <c r="L70" i="76"/>
  <c r="T66" i="76"/>
  <c r="P66" i="76"/>
  <c r="L66" i="76"/>
  <c r="H66" i="76"/>
  <c r="N66" i="76" s="1"/>
  <c r="D66" i="76"/>
  <c r="D65" i="76" s="1"/>
  <c r="L65" i="76" s="1"/>
  <c r="B66" i="76"/>
  <c r="H65" i="76"/>
  <c r="Z63" i="76"/>
  <c r="X63" i="76"/>
  <c r="N63" i="76"/>
  <c r="L63" i="76"/>
  <c r="B63" i="76"/>
  <c r="Z62" i="76"/>
  <c r="T62" i="76"/>
  <c r="P62" i="76"/>
  <c r="X62" i="76" s="1"/>
  <c r="L62" i="76"/>
  <c r="H62" i="76"/>
  <c r="N62" i="76" s="1"/>
  <c r="D62" i="76"/>
  <c r="B62" i="76"/>
  <c r="Z61" i="76"/>
  <c r="X61" i="76"/>
  <c r="N61" i="76"/>
  <c r="L61" i="76"/>
  <c r="B61" i="76"/>
  <c r="X60" i="76"/>
  <c r="Z60" i="76" s="1"/>
  <c r="T60" i="76"/>
  <c r="P60" i="76"/>
  <c r="H60" i="76"/>
  <c r="D60" i="76"/>
  <c r="B60" i="76"/>
  <c r="X59" i="76"/>
  <c r="Z59" i="76" s="1"/>
  <c r="N59" i="76"/>
  <c r="L59" i="76"/>
  <c r="B59" i="76"/>
  <c r="X58" i="76"/>
  <c r="Z58" i="76" s="1"/>
  <c r="N58" i="76"/>
  <c r="L58" i="76"/>
  <c r="B58" i="76"/>
  <c r="Z57" i="76"/>
  <c r="X57" i="76"/>
  <c r="N57" i="76"/>
  <c r="L57" i="76"/>
  <c r="B57" i="76"/>
  <c r="X56" i="76"/>
  <c r="Z56" i="76" s="1"/>
  <c r="N56" i="76"/>
  <c r="L56" i="76"/>
  <c r="B56" i="76"/>
  <c r="X55" i="76"/>
  <c r="Z55" i="76" s="1"/>
  <c r="T55" i="76"/>
  <c r="P55" i="76"/>
  <c r="H55" i="76"/>
  <c r="D55" i="76"/>
  <c r="L55" i="76" s="1"/>
  <c r="N55" i="76" s="1"/>
  <c r="B55" i="76"/>
  <c r="Z54" i="76"/>
  <c r="X54" i="76"/>
  <c r="L54" i="76"/>
  <c r="N54" i="76" s="1"/>
  <c r="B54" i="76"/>
  <c r="T53" i="76"/>
  <c r="P53" i="76"/>
  <c r="L53" i="76"/>
  <c r="N53" i="76" s="1"/>
  <c r="H53" i="76"/>
  <c r="D53" i="76"/>
  <c r="B53" i="76"/>
  <c r="X52" i="76"/>
  <c r="Z52" i="76" s="1"/>
  <c r="L52" i="76"/>
  <c r="N52" i="76" s="1"/>
  <c r="B52" i="76"/>
  <c r="T51" i="76"/>
  <c r="P51" i="76"/>
  <c r="X51" i="76" s="1"/>
  <c r="Z51" i="76" s="1"/>
  <c r="H51" i="76"/>
  <c r="D51" i="76"/>
  <c r="L51" i="76" s="1"/>
  <c r="B51" i="76"/>
  <c r="X50" i="76"/>
  <c r="Z50" i="76" s="1"/>
  <c r="N50" i="76"/>
  <c r="L50" i="76"/>
  <c r="B50" i="76"/>
  <c r="T49" i="76"/>
  <c r="P49" i="76"/>
  <c r="X49" i="76" s="1"/>
  <c r="Z49" i="76" s="1"/>
  <c r="L49" i="76"/>
  <c r="N49" i="76" s="1"/>
  <c r="H49" i="76"/>
  <c r="D49" i="76"/>
  <c r="B49" i="76"/>
  <c r="X48" i="76"/>
  <c r="Z48" i="76" s="1"/>
  <c r="N48" i="76"/>
  <c r="L48" i="76"/>
  <c r="B48" i="76"/>
  <c r="X47" i="76"/>
  <c r="T47" i="76"/>
  <c r="Z47" i="76" s="1"/>
  <c r="P47" i="76"/>
  <c r="H47" i="76"/>
  <c r="D47" i="76"/>
  <c r="B47" i="76"/>
  <c r="X46" i="76"/>
  <c r="Z46" i="76" s="1"/>
  <c r="L46" i="76"/>
  <c r="N46" i="76" s="1"/>
  <c r="B46" i="76"/>
  <c r="T45" i="76"/>
  <c r="Z45" i="76" s="1"/>
  <c r="P45" i="76"/>
  <c r="X45" i="76" s="1"/>
  <c r="N45" i="76"/>
  <c r="H45" i="76"/>
  <c r="D45" i="76"/>
  <c r="L45" i="76" s="1"/>
  <c r="B45" i="76"/>
  <c r="X44" i="76"/>
  <c r="Z44" i="76" s="1"/>
  <c r="L44" i="76"/>
  <c r="N44" i="76" s="1"/>
  <c r="B44" i="76"/>
  <c r="X43" i="76"/>
  <c r="Z43" i="76" s="1"/>
  <c r="L43" i="76"/>
  <c r="N43" i="76" s="1"/>
  <c r="B43" i="76"/>
  <c r="X42" i="76"/>
  <c r="Z42" i="76" s="1"/>
  <c r="N42" i="76"/>
  <c r="L42" i="76"/>
  <c r="B42" i="76"/>
  <c r="Z41" i="76"/>
  <c r="X41" i="76"/>
  <c r="L41" i="76"/>
  <c r="N41" i="76" s="1"/>
  <c r="B41" i="76"/>
  <c r="T40" i="76"/>
  <c r="P40" i="76"/>
  <c r="X40" i="76" s="1"/>
  <c r="L40" i="76"/>
  <c r="H40" i="76"/>
  <c r="N40" i="76" s="1"/>
  <c r="D40" i="76"/>
  <c r="B40" i="76"/>
  <c r="X39" i="76"/>
  <c r="Z39" i="76" s="1"/>
  <c r="N39" i="76"/>
  <c r="L39" i="76"/>
  <c r="B39" i="76"/>
  <c r="Z38" i="76"/>
  <c r="X38" i="76"/>
  <c r="L38" i="76"/>
  <c r="N38" i="76" s="1"/>
  <c r="B38" i="76"/>
  <c r="X37" i="76"/>
  <c r="Z37" i="76" s="1"/>
  <c r="N37" i="76"/>
  <c r="L37" i="76"/>
  <c r="B37" i="76"/>
  <c r="X36" i="76"/>
  <c r="Z36" i="76" s="1"/>
  <c r="N36" i="76"/>
  <c r="L36" i="76"/>
  <c r="B36" i="76"/>
  <c r="X35" i="76"/>
  <c r="Z35" i="76" s="1"/>
  <c r="N35" i="76"/>
  <c r="L35" i="76"/>
  <c r="B35" i="76"/>
  <c r="Z34" i="76"/>
  <c r="X34" i="76"/>
  <c r="L34" i="76"/>
  <c r="N34" i="76" s="1"/>
  <c r="B34" i="76"/>
  <c r="X33" i="76"/>
  <c r="Z33" i="76" s="1"/>
  <c r="N33" i="76"/>
  <c r="L33" i="76"/>
  <c r="B33" i="76"/>
  <c r="X32" i="76"/>
  <c r="Z32" i="76" s="1"/>
  <c r="L32" i="76"/>
  <c r="N32" i="76" s="1"/>
  <c r="B32" i="76"/>
  <c r="X31" i="76"/>
  <c r="T31" i="76"/>
  <c r="Z31" i="76" s="1"/>
  <c r="P31" i="76"/>
  <c r="H31" i="76"/>
  <c r="L31" i="76" s="1"/>
  <c r="N31" i="76" s="1"/>
  <c r="D31" i="76"/>
  <c r="B31" i="76"/>
  <c r="T30" i="76"/>
  <c r="P30" i="76"/>
  <c r="L30" i="76"/>
  <c r="N30" i="76" s="1"/>
  <c r="H30" i="76"/>
  <c r="D30" i="76"/>
  <c r="X26" i="76"/>
  <c r="T26" i="76"/>
  <c r="Z26" i="76" s="1"/>
  <c r="P26" i="76"/>
  <c r="H26" i="76"/>
  <c r="N26" i="76" s="1"/>
  <c r="D26" i="76"/>
  <c r="L26" i="76" s="1"/>
  <c r="Z24" i="76"/>
  <c r="X24" i="76"/>
  <c r="T24" i="76"/>
  <c r="P24" i="76"/>
  <c r="L24" i="76"/>
  <c r="H24" i="76"/>
  <c r="N24" i="76" s="1"/>
  <c r="D24" i="76"/>
  <c r="B24" i="76"/>
  <c r="T23" i="76"/>
  <c r="Z23" i="76" s="1"/>
  <c r="P23" i="76"/>
  <c r="X23" i="76" s="1"/>
  <c r="N23" i="76"/>
  <c r="H23" i="76"/>
  <c r="L23" i="76" s="1"/>
  <c r="D23" i="76"/>
  <c r="B23" i="76"/>
  <c r="Z22" i="76"/>
  <c r="X22" i="76"/>
  <c r="T22" i="76"/>
  <c r="P22" i="76"/>
  <c r="L22" i="76"/>
  <c r="H22" i="76"/>
  <c r="N22" i="76" s="1"/>
  <c r="D22" i="76"/>
  <c r="B22" i="76"/>
  <c r="T21" i="76"/>
  <c r="P21" i="76"/>
  <c r="X21" i="76" s="1"/>
  <c r="Z21" i="76" s="1"/>
  <c r="H21" i="76"/>
  <c r="D21" i="76"/>
  <c r="B21" i="76"/>
  <c r="X20" i="76"/>
  <c r="Z20" i="76" s="1"/>
  <c r="T20" i="76"/>
  <c r="P20" i="76"/>
  <c r="L20" i="76"/>
  <c r="H20" i="76"/>
  <c r="D20" i="76"/>
  <c r="B20" i="76"/>
  <c r="T19" i="76"/>
  <c r="P19" i="76"/>
  <c r="X19" i="76" s="1"/>
  <c r="Z19" i="76" s="1"/>
  <c r="H19" i="76"/>
  <c r="L19" i="76" s="1"/>
  <c r="D19" i="76"/>
  <c r="B19" i="76"/>
  <c r="X18" i="76"/>
  <c r="T18" i="76"/>
  <c r="Z18" i="76" s="1"/>
  <c r="P18" i="76"/>
  <c r="L18" i="76"/>
  <c r="H18" i="76"/>
  <c r="D18" i="76"/>
  <c r="B18" i="76"/>
  <c r="T17" i="76"/>
  <c r="P17" i="76"/>
  <c r="H17" i="76"/>
  <c r="D17" i="76"/>
  <c r="B17" i="76"/>
  <c r="T16" i="76"/>
  <c r="P16" i="76"/>
  <c r="X16" i="76" s="1"/>
  <c r="Z16" i="76" s="1"/>
  <c r="H16" i="76"/>
  <c r="D16" i="76"/>
  <c r="L16" i="76" s="1"/>
  <c r="B16" i="76"/>
  <c r="T15" i="76"/>
  <c r="P15" i="76"/>
  <c r="P12" i="76" s="1"/>
  <c r="L15" i="76"/>
  <c r="H15" i="76"/>
  <c r="D15" i="76"/>
  <c r="B15" i="76"/>
  <c r="X14" i="76"/>
  <c r="T14" i="76"/>
  <c r="Z14" i="76" s="1"/>
  <c r="P14" i="76"/>
  <c r="H14" i="76"/>
  <c r="D14" i="76"/>
  <c r="L14" i="76" s="1"/>
  <c r="B14" i="76"/>
  <c r="T13" i="76"/>
  <c r="T12" i="76" s="1"/>
  <c r="P13" i="76"/>
  <c r="H13" i="76"/>
  <c r="L13" i="76" s="1"/>
  <c r="N13" i="76" s="1"/>
  <c r="D13" i="76"/>
  <c r="B13" i="76"/>
  <c r="D6" i="76"/>
  <c r="D4" i="76"/>
  <c r="X105" i="75"/>
  <c r="Z105" i="75" s="1"/>
  <c r="L105" i="75"/>
  <c r="N105" i="75" s="1"/>
  <c r="T101" i="75"/>
  <c r="T100" i="75" s="1"/>
  <c r="P101" i="75"/>
  <c r="X101" i="75" s="1"/>
  <c r="Z101" i="75" s="1"/>
  <c r="H101" i="75"/>
  <c r="H100" i="75" s="1"/>
  <c r="D101" i="75"/>
  <c r="B101" i="75"/>
  <c r="F100" i="75"/>
  <c r="D100" i="75"/>
  <c r="L100" i="75" s="1"/>
  <c r="X98" i="75"/>
  <c r="Z98" i="75" s="1"/>
  <c r="N98" i="75"/>
  <c r="L98" i="75"/>
  <c r="B98" i="75"/>
  <c r="T97" i="75"/>
  <c r="P97" i="75"/>
  <c r="L97" i="75"/>
  <c r="H97" i="75"/>
  <c r="N97" i="75" s="1"/>
  <c r="D97" i="75"/>
  <c r="B97" i="75"/>
  <c r="Z96" i="75"/>
  <c r="X96" i="75"/>
  <c r="N96" i="75"/>
  <c r="L96" i="75"/>
  <c r="B96" i="75"/>
  <c r="T95" i="75"/>
  <c r="P95" i="75"/>
  <c r="X95" i="75" s="1"/>
  <c r="Z95" i="75" s="1"/>
  <c r="L95" i="75"/>
  <c r="H95" i="75"/>
  <c r="D95" i="75"/>
  <c r="B95" i="75"/>
  <c r="Z94" i="75"/>
  <c r="X94" i="75"/>
  <c r="N94" i="75"/>
  <c r="L94" i="75"/>
  <c r="B94" i="75"/>
  <c r="T93" i="75"/>
  <c r="P93" i="75"/>
  <c r="X93" i="75" s="1"/>
  <c r="Z93" i="75" s="1"/>
  <c r="H93" i="75"/>
  <c r="D93" i="75"/>
  <c r="L93" i="75" s="1"/>
  <c r="B93" i="75"/>
  <c r="Z92" i="75"/>
  <c r="X92" i="75"/>
  <c r="L92" i="75"/>
  <c r="N92" i="75" s="1"/>
  <c r="B92" i="75"/>
  <c r="Z91" i="75"/>
  <c r="X91" i="75"/>
  <c r="N91" i="75"/>
  <c r="L91" i="75"/>
  <c r="B91" i="75"/>
  <c r="Z90" i="75"/>
  <c r="X90" i="75"/>
  <c r="N90" i="75"/>
  <c r="L90" i="75"/>
  <c r="B90" i="75"/>
  <c r="Z89" i="75"/>
  <c r="X89" i="75"/>
  <c r="N89" i="75"/>
  <c r="L89" i="75"/>
  <c r="B89" i="75"/>
  <c r="T88" i="75"/>
  <c r="P88" i="75"/>
  <c r="X88" i="75" s="1"/>
  <c r="Z88" i="75" s="1"/>
  <c r="H88" i="75"/>
  <c r="D88" i="75"/>
  <c r="L88" i="75" s="1"/>
  <c r="B88" i="75"/>
  <c r="Z87" i="75"/>
  <c r="X87" i="75"/>
  <c r="N87" i="75"/>
  <c r="L87" i="75"/>
  <c r="B87" i="75"/>
  <c r="T86" i="75"/>
  <c r="P86" i="75"/>
  <c r="X86" i="75" s="1"/>
  <c r="L86" i="75"/>
  <c r="H86" i="75"/>
  <c r="N86" i="75" s="1"/>
  <c r="D86" i="75"/>
  <c r="B86" i="75"/>
  <c r="X85" i="75"/>
  <c r="Z85" i="75" s="1"/>
  <c r="N85" i="75"/>
  <c r="L85" i="75"/>
  <c r="B85" i="75"/>
  <c r="X84" i="75"/>
  <c r="Z84" i="75" s="1"/>
  <c r="N84" i="75"/>
  <c r="L84" i="75"/>
  <c r="B84" i="75"/>
  <c r="T83" i="75"/>
  <c r="P83" i="75"/>
  <c r="X83" i="75" s="1"/>
  <c r="Z83" i="75" s="1"/>
  <c r="L83" i="75"/>
  <c r="N83" i="75" s="1"/>
  <c r="H83" i="75"/>
  <c r="D83" i="75"/>
  <c r="B83" i="75"/>
  <c r="Z82" i="75"/>
  <c r="X82" i="75"/>
  <c r="N82" i="75"/>
  <c r="L82" i="75"/>
  <c r="B82" i="75"/>
  <c r="T81" i="75"/>
  <c r="P81" i="75"/>
  <c r="X81" i="75" s="1"/>
  <c r="Z81" i="75" s="1"/>
  <c r="H81" i="75"/>
  <c r="D81" i="75"/>
  <c r="B81" i="75"/>
  <c r="X80" i="75"/>
  <c r="Z80" i="75" s="1"/>
  <c r="L80" i="75"/>
  <c r="N80" i="75" s="1"/>
  <c r="B80" i="75"/>
  <c r="T79" i="75"/>
  <c r="P79" i="75"/>
  <c r="X79" i="75" s="1"/>
  <c r="Z79" i="75" s="1"/>
  <c r="H79" i="75"/>
  <c r="D79" i="75"/>
  <c r="L79" i="75" s="1"/>
  <c r="B79" i="75"/>
  <c r="X78" i="75"/>
  <c r="Z78" i="75" s="1"/>
  <c r="N78" i="75"/>
  <c r="L78" i="75"/>
  <c r="B78" i="75"/>
  <c r="X77" i="75"/>
  <c r="T77" i="75"/>
  <c r="P77" i="75"/>
  <c r="N77" i="75"/>
  <c r="H77" i="75"/>
  <c r="D77" i="75"/>
  <c r="L77" i="75" s="1"/>
  <c r="B77" i="75"/>
  <c r="Z76" i="75"/>
  <c r="X76" i="75"/>
  <c r="N76" i="75"/>
  <c r="L76" i="75"/>
  <c r="B76" i="75"/>
  <c r="T75" i="75"/>
  <c r="P75" i="75"/>
  <c r="N75" i="75"/>
  <c r="H75" i="75"/>
  <c r="D75" i="75"/>
  <c r="L75" i="75" s="1"/>
  <c r="B75" i="75"/>
  <c r="Z74" i="75"/>
  <c r="X74" i="75"/>
  <c r="N74" i="75"/>
  <c r="L74" i="75"/>
  <c r="B74" i="75"/>
  <c r="T73" i="75"/>
  <c r="Z73" i="75" s="1"/>
  <c r="P73" i="75"/>
  <c r="X73" i="75" s="1"/>
  <c r="N73" i="75"/>
  <c r="H73" i="75"/>
  <c r="D73" i="75"/>
  <c r="L73" i="75" s="1"/>
  <c r="B73" i="75"/>
  <c r="X72" i="75"/>
  <c r="Z72" i="75" s="1"/>
  <c r="N72" i="75"/>
  <c r="L72" i="75"/>
  <c r="B72" i="75"/>
  <c r="Z71" i="75"/>
  <c r="X71" i="75"/>
  <c r="L71" i="75"/>
  <c r="N71" i="75" s="1"/>
  <c r="F71" i="75"/>
  <c r="B71" i="75"/>
  <c r="X70" i="75"/>
  <c r="T70" i="75"/>
  <c r="Z70" i="75" s="1"/>
  <c r="P70" i="75"/>
  <c r="H70" i="75"/>
  <c r="N70" i="75" s="1"/>
  <c r="F70" i="75"/>
  <c r="D70" i="75"/>
  <c r="L70" i="75" s="1"/>
  <c r="B70" i="75"/>
  <c r="Z69" i="75"/>
  <c r="X69" i="75"/>
  <c r="L69" i="75"/>
  <c r="N69" i="75" s="1"/>
  <c r="B69" i="75"/>
  <c r="T68" i="75"/>
  <c r="X68" i="75" s="1"/>
  <c r="Z68" i="75" s="1"/>
  <c r="P68" i="75"/>
  <c r="H68" i="75"/>
  <c r="D68" i="75"/>
  <c r="L68" i="75" s="1"/>
  <c r="B68" i="75"/>
  <c r="Z67" i="75"/>
  <c r="X67" i="75"/>
  <c r="N67" i="75"/>
  <c r="L67" i="75"/>
  <c r="B67" i="75"/>
  <c r="Z66" i="75"/>
  <c r="X66" i="75"/>
  <c r="V66" i="75"/>
  <c r="L66" i="75"/>
  <c r="N66" i="75" s="1"/>
  <c r="B66" i="75"/>
  <c r="X65" i="75"/>
  <c r="Z65" i="75" s="1"/>
  <c r="L65" i="75"/>
  <c r="N65" i="75" s="1"/>
  <c r="B65" i="75"/>
  <c r="X64" i="75"/>
  <c r="Z64" i="75" s="1"/>
  <c r="L64" i="75"/>
  <c r="N64" i="75" s="1"/>
  <c r="B64" i="75"/>
  <c r="Z63" i="75"/>
  <c r="X63" i="75"/>
  <c r="N63" i="75"/>
  <c r="L63" i="75"/>
  <c r="B63" i="75"/>
  <c r="T62" i="75"/>
  <c r="Z62" i="75" s="1"/>
  <c r="P62" i="75"/>
  <c r="X62" i="75" s="1"/>
  <c r="L62" i="75"/>
  <c r="H62" i="75"/>
  <c r="N62" i="75" s="1"/>
  <c r="D62" i="75"/>
  <c r="B62" i="75"/>
  <c r="X61" i="75"/>
  <c r="Z61" i="75" s="1"/>
  <c r="N61" i="75"/>
  <c r="L61" i="75"/>
  <c r="B61" i="75"/>
  <c r="X60" i="75"/>
  <c r="Z60" i="75" s="1"/>
  <c r="N60" i="75"/>
  <c r="L60" i="75"/>
  <c r="F60" i="75"/>
  <c r="B60" i="75"/>
  <c r="Z59" i="75"/>
  <c r="X59" i="75"/>
  <c r="N59" i="75"/>
  <c r="L59" i="75"/>
  <c r="F59" i="75"/>
  <c r="B59" i="75"/>
  <c r="X58" i="75"/>
  <c r="Z58" i="75" s="1"/>
  <c r="N58" i="75"/>
  <c r="L58" i="75"/>
  <c r="B58" i="75"/>
  <c r="X57" i="75"/>
  <c r="Z57" i="75" s="1"/>
  <c r="N57" i="75"/>
  <c r="L57" i="75"/>
  <c r="B57" i="75"/>
  <c r="X56" i="75"/>
  <c r="Z56" i="75" s="1"/>
  <c r="N56" i="75"/>
  <c r="L56" i="75"/>
  <c r="F56" i="75"/>
  <c r="B56" i="75"/>
  <c r="Z55" i="75"/>
  <c r="X55" i="75"/>
  <c r="N55" i="75"/>
  <c r="L55" i="75"/>
  <c r="F55" i="75"/>
  <c r="B55" i="75"/>
  <c r="X54" i="75"/>
  <c r="Z54" i="75" s="1"/>
  <c r="N54" i="75"/>
  <c r="L54" i="75"/>
  <c r="B54" i="75"/>
  <c r="X53" i="75"/>
  <c r="T53" i="75"/>
  <c r="Z53" i="75" s="1"/>
  <c r="P53" i="75"/>
  <c r="H53" i="75"/>
  <c r="D53" i="75"/>
  <c r="L53" i="75" s="1"/>
  <c r="N53" i="75" s="1"/>
  <c r="B53" i="75"/>
  <c r="T52" i="75"/>
  <c r="P52" i="75"/>
  <c r="X52" i="75" s="1"/>
  <c r="Z52" i="75" s="1"/>
  <c r="H52" i="75"/>
  <c r="D52" i="75"/>
  <c r="L52" i="75" s="1"/>
  <c r="Z48" i="75"/>
  <c r="X48" i="75"/>
  <c r="L48" i="75"/>
  <c r="N48" i="75" s="1"/>
  <c r="B48" i="75"/>
  <c r="Z47" i="75"/>
  <c r="X47" i="75"/>
  <c r="N47" i="75"/>
  <c r="L47" i="75"/>
  <c r="B47" i="75"/>
  <c r="Z46" i="75"/>
  <c r="X46" i="75"/>
  <c r="N46" i="75"/>
  <c r="L46" i="75"/>
  <c r="B46" i="75"/>
  <c r="Z45" i="75"/>
  <c r="X45" i="75"/>
  <c r="N45" i="75"/>
  <c r="L45" i="75"/>
  <c r="B45" i="75"/>
  <c r="Z44" i="75"/>
  <c r="X44" i="75"/>
  <c r="L44" i="75"/>
  <c r="N44" i="75" s="1"/>
  <c r="B44" i="75"/>
  <c r="Z43" i="75"/>
  <c r="X43" i="75"/>
  <c r="N43" i="75"/>
  <c r="L43" i="75"/>
  <c r="B43" i="75"/>
  <c r="Z42" i="75"/>
  <c r="X42" i="75"/>
  <c r="L42" i="75"/>
  <c r="N42" i="75" s="1"/>
  <c r="B42" i="75"/>
  <c r="Z41" i="75"/>
  <c r="X41" i="75"/>
  <c r="L41" i="75"/>
  <c r="N41" i="75" s="1"/>
  <c r="B41" i="75"/>
  <c r="Z40" i="75"/>
  <c r="X40" i="75"/>
  <c r="L40" i="75"/>
  <c r="N40" i="75" s="1"/>
  <c r="B40" i="75"/>
  <c r="Z39" i="75"/>
  <c r="X39" i="75"/>
  <c r="N39" i="75"/>
  <c r="L39" i="75"/>
  <c r="B39" i="75"/>
  <c r="Z38" i="75"/>
  <c r="X38" i="75"/>
  <c r="L38" i="75"/>
  <c r="N38" i="75" s="1"/>
  <c r="B38" i="75"/>
  <c r="Z37" i="75"/>
  <c r="X37" i="75"/>
  <c r="L37" i="75"/>
  <c r="N37" i="75" s="1"/>
  <c r="B37" i="75"/>
  <c r="Z36" i="75"/>
  <c r="X36" i="75"/>
  <c r="L36" i="75"/>
  <c r="N36" i="75" s="1"/>
  <c r="B36" i="75"/>
  <c r="Z35" i="75"/>
  <c r="X35" i="75"/>
  <c r="N35" i="75"/>
  <c r="L35" i="75"/>
  <c r="B35" i="75"/>
  <c r="T34" i="75"/>
  <c r="P34" i="75"/>
  <c r="X34" i="75" s="1"/>
  <c r="H34" i="75"/>
  <c r="D34" i="75"/>
  <c r="L34" i="75" s="1"/>
  <c r="N34" i="75" s="1"/>
  <c r="T32" i="75"/>
  <c r="Z32" i="75" s="1"/>
  <c r="P32" i="75"/>
  <c r="X32" i="75" s="1"/>
  <c r="H32" i="75"/>
  <c r="D32" i="75"/>
  <c r="B32" i="75"/>
  <c r="T31" i="75"/>
  <c r="X31" i="75" s="1"/>
  <c r="Z31" i="75" s="1"/>
  <c r="P31" i="75"/>
  <c r="H31" i="75"/>
  <c r="D31" i="75"/>
  <c r="L31" i="75" s="1"/>
  <c r="B31" i="75"/>
  <c r="Z30" i="75"/>
  <c r="T30" i="75"/>
  <c r="P30" i="75"/>
  <c r="X30" i="75" s="1"/>
  <c r="L30" i="75"/>
  <c r="N30" i="75" s="1"/>
  <c r="H30" i="75"/>
  <c r="D30" i="75"/>
  <c r="B30" i="75"/>
  <c r="T29" i="75"/>
  <c r="Z29" i="75" s="1"/>
  <c r="P29" i="75"/>
  <c r="X29" i="75" s="1"/>
  <c r="H29" i="75"/>
  <c r="N29" i="75" s="1"/>
  <c r="D29" i="75"/>
  <c r="B29" i="75"/>
  <c r="T28" i="75"/>
  <c r="P28" i="75"/>
  <c r="X28" i="75" s="1"/>
  <c r="H28" i="75"/>
  <c r="D28" i="75"/>
  <c r="B28" i="75"/>
  <c r="T27" i="75"/>
  <c r="X27" i="75" s="1"/>
  <c r="Z27" i="75" s="1"/>
  <c r="P27" i="75"/>
  <c r="H27" i="75"/>
  <c r="N27" i="75" s="1"/>
  <c r="D27" i="75"/>
  <c r="L27" i="75" s="1"/>
  <c r="B27" i="75"/>
  <c r="Z26" i="75"/>
  <c r="T26" i="75"/>
  <c r="P26" i="75"/>
  <c r="X26" i="75" s="1"/>
  <c r="L26" i="75"/>
  <c r="N26" i="75" s="1"/>
  <c r="H26" i="75"/>
  <c r="D26" i="75"/>
  <c r="B26" i="75"/>
  <c r="T25" i="75"/>
  <c r="Z25" i="75" s="1"/>
  <c r="P25" i="75"/>
  <c r="X25" i="75" s="1"/>
  <c r="H25" i="75"/>
  <c r="D25" i="75"/>
  <c r="B25" i="75"/>
  <c r="T24" i="75"/>
  <c r="Z24" i="75" s="1"/>
  <c r="P24" i="75"/>
  <c r="X24" i="75" s="1"/>
  <c r="H24" i="75"/>
  <c r="D24" i="75"/>
  <c r="B24" i="75"/>
  <c r="T23" i="75"/>
  <c r="X23" i="75" s="1"/>
  <c r="Z23" i="75" s="1"/>
  <c r="P23" i="75"/>
  <c r="H23" i="75"/>
  <c r="N23" i="75" s="1"/>
  <c r="D23" i="75"/>
  <c r="L23" i="75" s="1"/>
  <c r="B23" i="75"/>
  <c r="T22" i="75"/>
  <c r="P22" i="75"/>
  <c r="X22" i="75" s="1"/>
  <c r="Z22" i="75" s="1"/>
  <c r="L22" i="75"/>
  <c r="N22" i="75" s="1"/>
  <c r="H22" i="75"/>
  <c r="D22" i="75"/>
  <c r="B22" i="75"/>
  <c r="T21" i="75"/>
  <c r="P21" i="75"/>
  <c r="X21" i="75" s="1"/>
  <c r="H21" i="75"/>
  <c r="D21" i="75"/>
  <c r="B21" i="75"/>
  <c r="T20" i="75"/>
  <c r="P20" i="75"/>
  <c r="X20" i="75" s="1"/>
  <c r="H20" i="75"/>
  <c r="D20" i="75"/>
  <c r="B20" i="75"/>
  <c r="T19" i="75"/>
  <c r="X19" i="75" s="1"/>
  <c r="Z19" i="75" s="1"/>
  <c r="P19" i="75"/>
  <c r="H19" i="75"/>
  <c r="D19" i="75"/>
  <c r="L19" i="75" s="1"/>
  <c r="B19" i="75"/>
  <c r="T18" i="75"/>
  <c r="P18" i="75"/>
  <c r="X18" i="75" s="1"/>
  <c r="Z18" i="75" s="1"/>
  <c r="L18" i="75"/>
  <c r="N18" i="75" s="1"/>
  <c r="H18" i="75"/>
  <c r="D18" i="75"/>
  <c r="B18" i="75"/>
  <c r="T17" i="75"/>
  <c r="Z17" i="75" s="1"/>
  <c r="P17" i="75"/>
  <c r="X17" i="75" s="1"/>
  <c r="H17" i="75"/>
  <c r="D17" i="75"/>
  <c r="B17" i="75"/>
  <c r="T16" i="75"/>
  <c r="P16" i="75"/>
  <c r="X16" i="75" s="1"/>
  <c r="H16" i="75"/>
  <c r="D16" i="75"/>
  <c r="B16" i="75"/>
  <c r="T15" i="75"/>
  <c r="X15" i="75" s="1"/>
  <c r="Z15" i="75" s="1"/>
  <c r="P15" i="75"/>
  <c r="H15" i="75"/>
  <c r="N15" i="75" s="1"/>
  <c r="D15" i="75"/>
  <c r="L15" i="75" s="1"/>
  <c r="B15" i="75"/>
  <c r="Z14" i="75"/>
  <c r="T14" i="75"/>
  <c r="P14" i="75"/>
  <c r="X14" i="75" s="1"/>
  <c r="L14" i="75"/>
  <c r="N14" i="75" s="1"/>
  <c r="H14" i="75"/>
  <c r="D14" i="75"/>
  <c r="B14" i="75"/>
  <c r="T13" i="75"/>
  <c r="T12" i="75" s="1"/>
  <c r="V86" i="75" s="1"/>
  <c r="P13" i="75"/>
  <c r="H13" i="75"/>
  <c r="D13" i="75"/>
  <c r="B13" i="75"/>
  <c r="D12" i="75"/>
  <c r="F95" i="75" s="1"/>
  <c r="D6" i="75"/>
  <c r="D4" i="75"/>
  <c r="X83" i="74"/>
  <c r="Z83" i="74" s="1"/>
  <c r="L83" i="74"/>
  <c r="N83" i="74" s="1"/>
  <c r="Z79" i="74"/>
  <c r="T79" i="74"/>
  <c r="P79" i="74"/>
  <c r="X79" i="74" s="1"/>
  <c r="H79" i="74"/>
  <c r="N79" i="74" s="1"/>
  <c r="D79" i="74"/>
  <c r="L79" i="74" s="1"/>
  <c r="Z77" i="74"/>
  <c r="X77" i="74"/>
  <c r="N77" i="74"/>
  <c r="L77" i="74"/>
  <c r="B77" i="74"/>
  <c r="T76" i="74"/>
  <c r="P76" i="74"/>
  <c r="X76" i="74" s="1"/>
  <c r="N76" i="74"/>
  <c r="H76" i="74"/>
  <c r="D76" i="74"/>
  <c r="L76" i="74" s="1"/>
  <c r="B76" i="74"/>
  <c r="X75" i="74"/>
  <c r="Z75" i="74" s="1"/>
  <c r="N75" i="74"/>
  <c r="L75" i="74"/>
  <c r="B75" i="74"/>
  <c r="X74" i="74"/>
  <c r="Z74" i="74" s="1"/>
  <c r="L74" i="74"/>
  <c r="N74" i="74" s="1"/>
  <c r="B74" i="74"/>
  <c r="X73" i="74"/>
  <c r="T73" i="74"/>
  <c r="Z73" i="74" s="1"/>
  <c r="P73" i="74"/>
  <c r="J73" i="74"/>
  <c r="H73" i="74"/>
  <c r="N73" i="74" s="1"/>
  <c r="D73" i="74"/>
  <c r="L73" i="74" s="1"/>
  <c r="B73" i="74"/>
  <c r="Z72" i="74"/>
  <c r="X72" i="74"/>
  <c r="N72" i="74"/>
  <c r="L72" i="74"/>
  <c r="B72" i="74"/>
  <c r="X71" i="74"/>
  <c r="T71" i="74"/>
  <c r="Z71" i="74" s="1"/>
  <c r="P71" i="74"/>
  <c r="H71" i="74"/>
  <c r="N71" i="74" s="1"/>
  <c r="D71" i="74"/>
  <c r="L71" i="74" s="1"/>
  <c r="B71" i="74"/>
  <c r="Z70" i="74"/>
  <c r="X70" i="74"/>
  <c r="L70" i="74"/>
  <c r="N70" i="74" s="1"/>
  <c r="B70" i="74"/>
  <c r="Z69" i="74"/>
  <c r="X69" i="74"/>
  <c r="L69" i="74"/>
  <c r="N69" i="74" s="1"/>
  <c r="B69" i="74"/>
  <c r="T68" i="74"/>
  <c r="P68" i="74"/>
  <c r="H68" i="74"/>
  <c r="D68" i="74"/>
  <c r="L68" i="74" s="1"/>
  <c r="N68" i="74" s="1"/>
  <c r="B68" i="74"/>
  <c r="X67" i="74"/>
  <c r="Z67" i="74" s="1"/>
  <c r="L67" i="74"/>
  <c r="N67" i="74" s="1"/>
  <c r="B67" i="74"/>
  <c r="T66" i="74"/>
  <c r="P66" i="74"/>
  <c r="X66" i="74" s="1"/>
  <c r="N66" i="74"/>
  <c r="L66" i="74"/>
  <c r="J66" i="74"/>
  <c r="H66" i="74"/>
  <c r="D66" i="74"/>
  <c r="B66" i="74"/>
  <c r="X65" i="74"/>
  <c r="Z65" i="74" s="1"/>
  <c r="N65" i="74"/>
  <c r="L65" i="74"/>
  <c r="B65" i="74"/>
  <c r="Z64" i="74"/>
  <c r="X64" i="74"/>
  <c r="N64" i="74"/>
  <c r="L64" i="74"/>
  <c r="B64" i="74"/>
  <c r="X63" i="74"/>
  <c r="Z63" i="74" s="1"/>
  <c r="N63" i="74"/>
  <c r="L63" i="74"/>
  <c r="B63" i="74"/>
  <c r="X62" i="74"/>
  <c r="Z62" i="74" s="1"/>
  <c r="T62" i="74"/>
  <c r="P62" i="74"/>
  <c r="H62" i="74"/>
  <c r="D62" i="74"/>
  <c r="L62" i="74" s="1"/>
  <c r="N62" i="74" s="1"/>
  <c r="B62" i="74"/>
  <c r="Z61" i="74"/>
  <c r="X61" i="74"/>
  <c r="L61" i="74"/>
  <c r="N61" i="74" s="1"/>
  <c r="B61" i="74"/>
  <c r="Z60" i="74"/>
  <c r="X60" i="74"/>
  <c r="N60" i="74"/>
  <c r="L60" i="74"/>
  <c r="J60" i="74"/>
  <c r="B60" i="74"/>
  <c r="Z59" i="74"/>
  <c r="X59" i="74"/>
  <c r="L59" i="74"/>
  <c r="N59" i="74" s="1"/>
  <c r="J59" i="74"/>
  <c r="B59" i="74"/>
  <c r="Z58" i="74"/>
  <c r="X58" i="74"/>
  <c r="L58" i="74"/>
  <c r="N58" i="74" s="1"/>
  <c r="B58" i="74"/>
  <c r="Z57" i="74"/>
  <c r="X57" i="74"/>
  <c r="L57" i="74"/>
  <c r="N57" i="74" s="1"/>
  <c r="B57" i="74"/>
  <c r="Z56" i="74"/>
  <c r="X56" i="74"/>
  <c r="N56" i="74"/>
  <c r="L56" i="74"/>
  <c r="J56" i="74"/>
  <c r="B56" i="74"/>
  <c r="Z55" i="74"/>
  <c r="X55" i="74"/>
  <c r="L55" i="74"/>
  <c r="N55" i="74" s="1"/>
  <c r="J55" i="74"/>
  <c r="B55" i="74"/>
  <c r="T54" i="74"/>
  <c r="P54" i="74"/>
  <c r="X54" i="74" s="1"/>
  <c r="Z54" i="74" s="1"/>
  <c r="H54" i="74"/>
  <c r="D54" i="74"/>
  <c r="B54" i="74"/>
  <c r="X53" i="74"/>
  <c r="T53" i="74"/>
  <c r="Z53" i="74" s="1"/>
  <c r="P53" i="74"/>
  <c r="J53" i="74"/>
  <c r="H53" i="74"/>
  <c r="D53" i="74"/>
  <c r="L53" i="74" s="1"/>
  <c r="X49" i="74"/>
  <c r="Z49" i="74" s="1"/>
  <c r="L49" i="74"/>
  <c r="N49" i="74" s="1"/>
  <c r="B49" i="74"/>
  <c r="Z48" i="74"/>
  <c r="X48" i="74"/>
  <c r="N48" i="74"/>
  <c r="L48" i="74"/>
  <c r="B48" i="74"/>
  <c r="X47" i="74"/>
  <c r="Z47" i="74" s="1"/>
  <c r="N47" i="74"/>
  <c r="L47" i="74"/>
  <c r="B47" i="74"/>
  <c r="Z46" i="74"/>
  <c r="X46" i="74"/>
  <c r="N46" i="74"/>
  <c r="L46" i="74"/>
  <c r="B46" i="74"/>
  <c r="X45" i="74"/>
  <c r="Z45" i="74" s="1"/>
  <c r="L45" i="74"/>
  <c r="N45" i="74" s="1"/>
  <c r="B45" i="74"/>
  <c r="Z44" i="74"/>
  <c r="X44" i="74"/>
  <c r="N44" i="74"/>
  <c r="L44" i="74"/>
  <c r="B44" i="74"/>
  <c r="Z43" i="74"/>
  <c r="X43" i="74"/>
  <c r="N43" i="74"/>
  <c r="L43" i="74"/>
  <c r="B43" i="74"/>
  <c r="X42" i="74"/>
  <c r="Z42" i="74" s="1"/>
  <c r="L42" i="74"/>
  <c r="N42" i="74" s="1"/>
  <c r="B42" i="74"/>
  <c r="X41" i="74"/>
  <c r="Z41" i="74" s="1"/>
  <c r="L41" i="74"/>
  <c r="N41" i="74" s="1"/>
  <c r="B41" i="74"/>
  <c r="Z40" i="74"/>
  <c r="X40" i="74"/>
  <c r="N40" i="74"/>
  <c r="L40" i="74"/>
  <c r="B40" i="74"/>
  <c r="X39" i="74"/>
  <c r="Z39" i="74" s="1"/>
  <c r="L39" i="74"/>
  <c r="N39" i="74" s="1"/>
  <c r="B39" i="74"/>
  <c r="X38" i="74"/>
  <c r="Z38" i="74" s="1"/>
  <c r="L38" i="74"/>
  <c r="N38" i="74" s="1"/>
  <c r="B38" i="74"/>
  <c r="X37" i="74"/>
  <c r="Z37" i="74" s="1"/>
  <c r="L37" i="74"/>
  <c r="N37" i="74" s="1"/>
  <c r="B37" i="74"/>
  <c r="Z36" i="74"/>
  <c r="X36" i="74"/>
  <c r="N36" i="74"/>
  <c r="L36" i="74"/>
  <c r="B36" i="74"/>
  <c r="T35" i="74"/>
  <c r="Z35" i="74" s="1"/>
  <c r="P35" i="74"/>
  <c r="X35" i="74" s="1"/>
  <c r="H35" i="74"/>
  <c r="D35" i="74"/>
  <c r="L35" i="74" s="1"/>
  <c r="T33" i="74"/>
  <c r="P33" i="74"/>
  <c r="N33" i="74"/>
  <c r="L33" i="74"/>
  <c r="H33" i="74"/>
  <c r="D33" i="74"/>
  <c r="B33" i="74"/>
  <c r="T32" i="74"/>
  <c r="P32" i="74"/>
  <c r="N32" i="74"/>
  <c r="L32" i="74"/>
  <c r="H32" i="74"/>
  <c r="D32" i="74"/>
  <c r="B32" i="74"/>
  <c r="X31" i="74"/>
  <c r="T31" i="74"/>
  <c r="Z31" i="74" s="1"/>
  <c r="P31" i="74"/>
  <c r="L31" i="74"/>
  <c r="N31" i="74" s="1"/>
  <c r="H31" i="74"/>
  <c r="D31" i="74"/>
  <c r="B31" i="74"/>
  <c r="T30" i="74"/>
  <c r="P30" i="74"/>
  <c r="N30" i="74"/>
  <c r="L30" i="74"/>
  <c r="H30" i="74"/>
  <c r="D30" i="74"/>
  <c r="B30" i="74"/>
  <c r="T29" i="74"/>
  <c r="P29" i="74"/>
  <c r="L29" i="74"/>
  <c r="N29" i="74" s="1"/>
  <c r="H29" i="74"/>
  <c r="D29" i="74"/>
  <c r="B29" i="74"/>
  <c r="T28" i="74"/>
  <c r="P28" i="74"/>
  <c r="L28" i="74"/>
  <c r="N28" i="74" s="1"/>
  <c r="H28" i="74"/>
  <c r="D28" i="74"/>
  <c r="B28" i="74"/>
  <c r="X27" i="74"/>
  <c r="T27" i="74"/>
  <c r="Z27" i="74" s="1"/>
  <c r="P27" i="74"/>
  <c r="N27" i="74"/>
  <c r="L27" i="74"/>
  <c r="H27" i="74"/>
  <c r="D27" i="74"/>
  <c r="B27" i="74"/>
  <c r="T26" i="74"/>
  <c r="P26" i="74"/>
  <c r="N26" i="74"/>
  <c r="L26" i="74"/>
  <c r="H26" i="74"/>
  <c r="D26" i="74"/>
  <c r="B26" i="74"/>
  <c r="T25" i="74"/>
  <c r="P25" i="74"/>
  <c r="L25" i="74"/>
  <c r="N25" i="74" s="1"/>
  <c r="H25" i="74"/>
  <c r="D25" i="74"/>
  <c r="B25" i="74"/>
  <c r="T24" i="74"/>
  <c r="P24" i="74"/>
  <c r="L24" i="74"/>
  <c r="N24" i="74" s="1"/>
  <c r="H24" i="74"/>
  <c r="D24" i="74"/>
  <c r="B24" i="74"/>
  <c r="X23" i="74"/>
  <c r="T23" i="74"/>
  <c r="Z23" i="74" s="1"/>
  <c r="P23" i="74"/>
  <c r="L23" i="74"/>
  <c r="N23" i="74" s="1"/>
  <c r="H23" i="74"/>
  <c r="D23" i="74"/>
  <c r="B23" i="74"/>
  <c r="T22" i="74"/>
  <c r="P22" i="74"/>
  <c r="N22" i="74"/>
  <c r="L22" i="74"/>
  <c r="H22" i="74"/>
  <c r="D22" i="74"/>
  <c r="B22" i="74"/>
  <c r="T21" i="74"/>
  <c r="P21" i="74"/>
  <c r="L21" i="74"/>
  <c r="N21" i="74" s="1"/>
  <c r="H21" i="74"/>
  <c r="D21" i="74"/>
  <c r="B21" i="74"/>
  <c r="T20" i="74"/>
  <c r="P20" i="74"/>
  <c r="L20" i="74"/>
  <c r="N20" i="74" s="1"/>
  <c r="H20" i="74"/>
  <c r="D20" i="74"/>
  <c r="B20" i="74"/>
  <c r="X19" i="74"/>
  <c r="T19" i="74"/>
  <c r="Z19" i="74" s="1"/>
  <c r="P19" i="74"/>
  <c r="L19" i="74"/>
  <c r="N19" i="74" s="1"/>
  <c r="H19" i="74"/>
  <c r="D19" i="74"/>
  <c r="B19" i="74"/>
  <c r="T18" i="74"/>
  <c r="P18" i="74"/>
  <c r="N18" i="74"/>
  <c r="L18" i="74"/>
  <c r="H18" i="74"/>
  <c r="D18" i="74"/>
  <c r="B18" i="74"/>
  <c r="T17" i="74"/>
  <c r="P17" i="74"/>
  <c r="L17" i="74"/>
  <c r="N17" i="74" s="1"/>
  <c r="H17" i="74"/>
  <c r="D17" i="74"/>
  <c r="B17" i="74"/>
  <c r="T16" i="74"/>
  <c r="P16" i="74"/>
  <c r="L16" i="74"/>
  <c r="N16" i="74" s="1"/>
  <c r="H16" i="74"/>
  <c r="D16" i="74"/>
  <c r="B16" i="74"/>
  <c r="X15" i="74"/>
  <c r="T15" i="74"/>
  <c r="Z15" i="74" s="1"/>
  <c r="P15" i="74"/>
  <c r="L15" i="74"/>
  <c r="N15" i="74" s="1"/>
  <c r="H15" i="74"/>
  <c r="D15" i="74"/>
  <c r="B15" i="74"/>
  <c r="T14" i="74"/>
  <c r="P14" i="74"/>
  <c r="N14" i="74"/>
  <c r="L14" i="74"/>
  <c r="H14" i="74"/>
  <c r="D14" i="74"/>
  <c r="B14" i="74"/>
  <c r="T13" i="74"/>
  <c r="P13" i="74"/>
  <c r="P12" i="74" s="1"/>
  <c r="R56" i="74" s="1"/>
  <c r="L13" i="74"/>
  <c r="N13" i="74" s="1"/>
  <c r="H13" i="74"/>
  <c r="D13" i="74"/>
  <c r="D12" i="74" s="1"/>
  <c r="F71" i="74" s="1"/>
  <c r="B13" i="74"/>
  <c r="H12" i="74"/>
  <c r="J75" i="74" s="1"/>
  <c r="D6" i="74"/>
  <c r="D4" i="74"/>
  <c r="Z78" i="73"/>
  <c r="X78" i="73"/>
  <c r="N78" i="73"/>
  <c r="L78" i="73"/>
  <c r="Z74" i="73"/>
  <c r="V74" i="73"/>
  <c r="T74" i="73"/>
  <c r="P74" i="73"/>
  <c r="X74" i="73" s="1"/>
  <c r="H74" i="73"/>
  <c r="N74" i="73" s="1"/>
  <c r="D74" i="73"/>
  <c r="L74" i="73" s="1"/>
  <c r="X72" i="73"/>
  <c r="Z72" i="73" s="1"/>
  <c r="V72" i="73"/>
  <c r="N72" i="73"/>
  <c r="L72" i="73"/>
  <c r="B72" i="73"/>
  <c r="V71" i="73"/>
  <c r="T71" i="73"/>
  <c r="P71" i="73"/>
  <c r="X71" i="73" s="1"/>
  <c r="H71" i="73"/>
  <c r="N71" i="73" s="1"/>
  <c r="D71" i="73"/>
  <c r="L71" i="73" s="1"/>
  <c r="B71" i="73"/>
  <c r="X70" i="73"/>
  <c r="Z70" i="73" s="1"/>
  <c r="N70" i="73"/>
  <c r="L70" i="73"/>
  <c r="B70" i="73"/>
  <c r="X69" i="73"/>
  <c r="T69" i="73"/>
  <c r="Z69" i="73" s="1"/>
  <c r="P69" i="73"/>
  <c r="L69" i="73"/>
  <c r="H69" i="73"/>
  <c r="D69" i="73"/>
  <c r="B69" i="73"/>
  <c r="Z68" i="73"/>
  <c r="X68" i="73"/>
  <c r="R68" i="73"/>
  <c r="N68" i="73"/>
  <c r="L68" i="73"/>
  <c r="B68" i="73"/>
  <c r="Z67" i="73"/>
  <c r="X67" i="73"/>
  <c r="L67" i="73"/>
  <c r="N67" i="73" s="1"/>
  <c r="B67" i="73"/>
  <c r="Z66" i="73"/>
  <c r="X66" i="73"/>
  <c r="N66" i="73"/>
  <c r="L66" i="73"/>
  <c r="B66" i="73"/>
  <c r="Z65" i="73"/>
  <c r="X65" i="73"/>
  <c r="L65" i="73"/>
  <c r="N65" i="73" s="1"/>
  <c r="B65" i="73"/>
  <c r="Z64" i="73"/>
  <c r="X64" i="73"/>
  <c r="N64" i="73"/>
  <c r="L64" i="73"/>
  <c r="B64" i="73"/>
  <c r="Z63" i="73"/>
  <c r="X63" i="73"/>
  <c r="N63" i="73"/>
  <c r="L63" i="73"/>
  <c r="B63" i="73"/>
  <c r="Z62" i="73"/>
  <c r="T62" i="73"/>
  <c r="P62" i="73"/>
  <c r="X62" i="73" s="1"/>
  <c r="H62" i="73"/>
  <c r="D62" i="73"/>
  <c r="B62" i="73"/>
  <c r="X61" i="73"/>
  <c r="Z61" i="73" s="1"/>
  <c r="L61" i="73"/>
  <c r="N61" i="73" s="1"/>
  <c r="B61" i="73"/>
  <c r="V60" i="73"/>
  <c r="T60" i="73"/>
  <c r="P60" i="73"/>
  <c r="X60" i="73" s="1"/>
  <c r="Z60" i="73" s="1"/>
  <c r="H60" i="73"/>
  <c r="N60" i="73" s="1"/>
  <c r="D60" i="73"/>
  <c r="L60" i="73" s="1"/>
  <c r="B60" i="73"/>
  <c r="X59" i="73"/>
  <c r="Z59" i="73" s="1"/>
  <c r="N59" i="73"/>
  <c r="L59" i="73"/>
  <c r="B59" i="73"/>
  <c r="X58" i="73"/>
  <c r="Z58" i="73" s="1"/>
  <c r="N58" i="73"/>
  <c r="L58" i="73"/>
  <c r="B58" i="73"/>
  <c r="Z57" i="73"/>
  <c r="X57" i="73"/>
  <c r="N57" i="73"/>
  <c r="L57" i="73"/>
  <c r="F57" i="73"/>
  <c r="B57" i="73"/>
  <c r="Z56" i="73"/>
  <c r="X56" i="73"/>
  <c r="T56" i="73"/>
  <c r="P56" i="73"/>
  <c r="L56" i="73"/>
  <c r="H56" i="73"/>
  <c r="D56" i="73"/>
  <c r="B56" i="73"/>
  <c r="Z55" i="73"/>
  <c r="X55" i="73"/>
  <c r="L55" i="73"/>
  <c r="N55" i="73" s="1"/>
  <c r="B55" i="73"/>
  <c r="Z54" i="73"/>
  <c r="T54" i="73"/>
  <c r="X54" i="73" s="1"/>
  <c r="P54" i="73"/>
  <c r="H54" i="73"/>
  <c r="D54" i="73"/>
  <c r="L54" i="73" s="1"/>
  <c r="B54" i="73"/>
  <c r="X53" i="73"/>
  <c r="Z53" i="73" s="1"/>
  <c r="L53" i="73"/>
  <c r="N53" i="73" s="1"/>
  <c r="B53" i="73"/>
  <c r="X52" i="73"/>
  <c r="V52" i="73"/>
  <c r="T52" i="73"/>
  <c r="Z52" i="73" s="1"/>
  <c r="P52" i="73"/>
  <c r="H52" i="73"/>
  <c r="D52" i="73"/>
  <c r="L52" i="73" s="1"/>
  <c r="B52" i="73"/>
  <c r="X51" i="73"/>
  <c r="Z51" i="73" s="1"/>
  <c r="N51" i="73"/>
  <c r="L51" i="73"/>
  <c r="B51" i="73"/>
  <c r="X50" i="73"/>
  <c r="T50" i="73"/>
  <c r="P50" i="73"/>
  <c r="N50" i="73"/>
  <c r="L50" i="73"/>
  <c r="H50" i="73"/>
  <c r="D50" i="73"/>
  <c r="B50" i="73"/>
  <c r="Z49" i="73"/>
  <c r="X49" i="73"/>
  <c r="L49" i="73"/>
  <c r="N49" i="73" s="1"/>
  <c r="B49" i="73"/>
  <c r="T48" i="73"/>
  <c r="P48" i="73"/>
  <c r="X48" i="73" s="1"/>
  <c r="N48" i="73"/>
  <c r="H48" i="73"/>
  <c r="L48" i="73" s="1"/>
  <c r="D48" i="73"/>
  <c r="B48" i="73"/>
  <c r="X47" i="73"/>
  <c r="Z47" i="73" s="1"/>
  <c r="V47" i="73"/>
  <c r="L47" i="73"/>
  <c r="N47" i="73" s="1"/>
  <c r="B47" i="73"/>
  <c r="T46" i="73"/>
  <c r="Z46" i="73" s="1"/>
  <c r="P46" i="73"/>
  <c r="X46" i="73" s="1"/>
  <c r="H46" i="73"/>
  <c r="N46" i="73" s="1"/>
  <c r="D46" i="73"/>
  <c r="L46" i="73" s="1"/>
  <c r="B46" i="73"/>
  <c r="X45" i="73"/>
  <c r="Z45" i="73" s="1"/>
  <c r="N45" i="73"/>
  <c r="L45" i="73"/>
  <c r="F45" i="73"/>
  <c r="B45" i="73"/>
  <c r="Z44" i="73"/>
  <c r="X44" i="73"/>
  <c r="T44" i="73"/>
  <c r="P44" i="73"/>
  <c r="L44" i="73"/>
  <c r="H44" i="73"/>
  <c r="D44" i="73"/>
  <c r="B44" i="73"/>
  <c r="Z43" i="73"/>
  <c r="X43" i="73"/>
  <c r="L43" i="73"/>
  <c r="N43" i="73" s="1"/>
  <c r="B43" i="73"/>
  <c r="Z42" i="73"/>
  <c r="T42" i="73"/>
  <c r="X42" i="73" s="1"/>
  <c r="P42" i="73"/>
  <c r="H42" i="73"/>
  <c r="D42" i="73"/>
  <c r="B42" i="73"/>
  <c r="X41" i="73"/>
  <c r="Z41" i="73" s="1"/>
  <c r="L41" i="73"/>
  <c r="N41" i="73" s="1"/>
  <c r="B41" i="73"/>
  <c r="X40" i="73"/>
  <c r="Z40" i="73" s="1"/>
  <c r="V40" i="73"/>
  <c r="N40" i="73"/>
  <c r="L40" i="73"/>
  <c r="B40" i="73"/>
  <c r="Z39" i="73"/>
  <c r="X39" i="73"/>
  <c r="V39" i="73"/>
  <c r="N39" i="73"/>
  <c r="L39" i="73"/>
  <c r="B39" i="73"/>
  <c r="X38" i="73"/>
  <c r="Z38" i="73" s="1"/>
  <c r="L38" i="73"/>
  <c r="N38" i="73" s="1"/>
  <c r="B38" i="73"/>
  <c r="X37" i="73"/>
  <c r="Z37" i="73" s="1"/>
  <c r="L37" i="73"/>
  <c r="N37" i="73" s="1"/>
  <c r="B37" i="73"/>
  <c r="V36" i="73"/>
  <c r="T36" i="73"/>
  <c r="Z36" i="73" s="1"/>
  <c r="P36" i="73"/>
  <c r="X36" i="73" s="1"/>
  <c r="H36" i="73"/>
  <c r="N36" i="73" s="1"/>
  <c r="D36" i="73"/>
  <c r="L36" i="73" s="1"/>
  <c r="B36" i="73"/>
  <c r="X35" i="73"/>
  <c r="Z35" i="73" s="1"/>
  <c r="N35" i="73"/>
  <c r="L35" i="73"/>
  <c r="B35" i="73"/>
  <c r="X34" i="73"/>
  <c r="Z34" i="73" s="1"/>
  <c r="N34" i="73"/>
  <c r="L34" i="73"/>
  <c r="B34" i="73"/>
  <c r="X33" i="73"/>
  <c r="Z33" i="73" s="1"/>
  <c r="N33" i="73"/>
  <c r="L33" i="73"/>
  <c r="F33" i="73"/>
  <c r="B33" i="73"/>
  <c r="Z32" i="73"/>
  <c r="X32" i="73"/>
  <c r="N32" i="73"/>
  <c r="L32" i="73"/>
  <c r="B32" i="73"/>
  <c r="X31" i="73"/>
  <c r="Z31" i="73" s="1"/>
  <c r="N31" i="73"/>
  <c r="L31" i="73"/>
  <c r="B31" i="73"/>
  <c r="X30" i="73"/>
  <c r="Z30" i="73" s="1"/>
  <c r="N30" i="73"/>
  <c r="L30" i="73"/>
  <c r="B30" i="73"/>
  <c r="X29" i="73"/>
  <c r="Z29" i="73" s="1"/>
  <c r="N29" i="73"/>
  <c r="L29" i="73"/>
  <c r="F29" i="73"/>
  <c r="B29" i="73"/>
  <c r="Z28" i="73"/>
  <c r="X28" i="73"/>
  <c r="N28" i="73"/>
  <c r="L28" i="73"/>
  <c r="F28" i="73"/>
  <c r="B28" i="73"/>
  <c r="X27" i="73"/>
  <c r="T27" i="73"/>
  <c r="Z27" i="73" s="1"/>
  <c r="P27" i="73"/>
  <c r="L27" i="73"/>
  <c r="H27" i="73"/>
  <c r="N27" i="73" s="1"/>
  <c r="F27" i="73"/>
  <c r="D27" i="73"/>
  <c r="B27" i="73"/>
  <c r="T26" i="73"/>
  <c r="X26" i="73" s="1"/>
  <c r="Z26" i="73" s="1"/>
  <c r="P26" i="73"/>
  <c r="H26" i="73"/>
  <c r="D26" i="73"/>
  <c r="Z22" i="73"/>
  <c r="X22" i="73"/>
  <c r="L22" i="73"/>
  <c r="N22" i="73" s="1"/>
  <c r="B22" i="73"/>
  <c r="Z21" i="73"/>
  <c r="X21" i="73"/>
  <c r="L21" i="73"/>
  <c r="N21" i="73" s="1"/>
  <c r="B21" i="73"/>
  <c r="T20" i="73"/>
  <c r="P20" i="73"/>
  <c r="X20" i="73" s="1"/>
  <c r="H20" i="73"/>
  <c r="D20" i="73"/>
  <c r="L20" i="73" s="1"/>
  <c r="N20" i="73" s="1"/>
  <c r="T18" i="73"/>
  <c r="P18" i="73"/>
  <c r="X18" i="73" s="1"/>
  <c r="Z18" i="73" s="1"/>
  <c r="H18" i="73"/>
  <c r="D18" i="73"/>
  <c r="B18" i="73"/>
  <c r="T17" i="73"/>
  <c r="P17" i="73"/>
  <c r="X17" i="73" s="1"/>
  <c r="Z17" i="73" s="1"/>
  <c r="H17" i="73"/>
  <c r="D17" i="73"/>
  <c r="B17" i="73"/>
  <c r="T16" i="73"/>
  <c r="P16" i="73"/>
  <c r="X16" i="73" s="1"/>
  <c r="Z16" i="73" s="1"/>
  <c r="H16" i="73"/>
  <c r="D16" i="73"/>
  <c r="B16" i="73"/>
  <c r="Z15" i="73"/>
  <c r="T15" i="73"/>
  <c r="P15" i="73"/>
  <c r="X15" i="73" s="1"/>
  <c r="H15" i="73"/>
  <c r="D15" i="73"/>
  <c r="B15" i="73"/>
  <c r="T14" i="73"/>
  <c r="P14" i="73"/>
  <c r="X14" i="73" s="1"/>
  <c r="Z14" i="73" s="1"/>
  <c r="H14" i="73"/>
  <c r="D14" i="73"/>
  <c r="D12" i="73" s="1"/>
  <c r="B14" i="73"/>
  <c r="T13" i="73"/>
  <c r="P13" i="73"/>
  <c r="P12" i="73" s="1"/>
  <c r="R64" i="73" s="1"/>
  <c r="H13" i="73"/>
  <c r="D13" i="73"/>
  <c r="B13" i="73"/>
  <c r="T12" i="73"/>
  <c r="V59" i="73" s="1"/>
  <c r="D6" i="73"/>
  <c r="D4" i="73"/>
  <c r="X116" i="71"/>
  <c r="Z116" i="71" s="1"/>
  <c r="L116" i="71"/>
  <c r="N116" i="71" s="1"/>
  <c r="Z112" i="71"/>
  <c r="T112" i="71"/>
  <c r="P112" i="71"/>
  <c r="X112" i="71" s="1"/>
  <c r="H112" i="71"/>
  <c r="D112" i="71"/>
  <c r="B112" i="71"/>
  <c r="Z111" i="71"/>
  <c r="T111" i="71"/>
  <c r="P111" i="71"/>
  <c r="X111" i="71" s="1"/>
  <c r="N111" i="71"/>
  <c r="H111" i="71"/>
  <c r="D111" i="71"/>
  <c r="B111" i="71"/>
  <c r="Z110" i="71"/>
  <c r="X110" i="71"/>
  <c r="T110" i="71"/>
  <c r="P110" i="71"/>
  <c r="P109" i="71" s="1"/>
  <c r="X109" i="71" s="1"/>
  <c r="H110" i="71"/>
  <c r="D110" i="71"/>
  <c r="B110" i="71"/>
  <c r="T109" i="71"/>
  <c r="H109" i="71"/>
  <c r="Z107" i="71"/>
  <c r="X107" i="71"/>
  <c r="N107" i="71"/>
  <c r="L107" i="71"/>
  <c r="B107" i="71"/>
  <c r="T106" i="71"/>
  <c r="P106" i="71"/>
  <c r="X106" i="71" s="1"/>
  <c r="Z106" i="71" s="1"/>
  <c r="H106" i="71"/>
  <c r="D106" i="71"/>
  <c r="B106" i="71"/>
  <c r="X105" i="71"/>
  <c r="Z105" i="71" s="1"/>
  <c r="N105" i="71"/>
  <c r="L105" i="71"/>
  <c r="B105" i="71"/>
  <c r="X104" i="71"/>
  <c r="T104" i="71"/>
  <c r="Z104" i="71" s="1"/>
  <c r="P104" i="71"/>
  <c r="H104" i="71"/>
  <c r="N104" i="71" s="1"/>
  <c r="D104" i="71"/>
  <c r="L104" i="71" s="1"/>
  <c r="B104" i="71"/>
  <c r="Z103" i="71"/>
  <c r="X103" i="71"/>
  <c r="N103" i="71"/>
  <c r="L103" i="71"/>
  <c r="B103" i="71"/>
  <c r="X102" i="71"/>
  <c r="Z102" i="71" s="1"/>
  <c r="N102" i="71"/>
  <c r="L102" i="71"/>
  <c r="B102" i="71"/>
  <c r="X101" i="71"/>
  <c r="Z101" i="71" s="1"/>
  <c r="T101" i="71"/>
  <c r="P101" i="71"/>
  <c r="N101" i="71"/>
  <c r="L101" i="71"/>
  <c r="H101" i="71"/>
  <c r="D101" i="71"/>
  <c r="B101" i="71"/>
  <c r="Z100" i="71"/>
  <c r="X100" i="71"/>
  <c r="L100" i="71"/>
  <c r="N100" i="71" s="1"/>
  <c r="B100" i="71"/>
  <c r="Z99" i="71"/>
  <c r="X99" i="71"/>
  <c r="N99" i="71"/>
  <c r="L99" i="71"/>
  <c r="B99" i="71"/>
  <c r="Z98" i="71"/>
  <c r="X98" i="71"/>
  <c r="L98" i="71"/>
  <c r="N98" i="71" s="1"/>
  <c r="B98" i="71"/>
  <c r="Z97" i="71"/>
  <c r="T97" i="71"/>
  <c r="P97" i="71"/>
  <c r="X97" i="71" s="1"/>
  <c r="H97" i="71"/>
  <c r="D97" i="71"/>
  <c r="B97" i="71"/>
  <c r="X96" i="71"/>
  <c r="Z96" i="71" s="1"/>
  <c r="N96" i="71"/>
  <c r="L96" i="71"/>
  <c r="B96" i="71"/>
  <c r="T95" i="71"/>
  <c r="P95" i="71"/>
  <c r="X95" i="71" s="1"/>
  <c r="Z95" i="71" s="1"/>
  <c r="H95" i="71"/>
  <c r="D95" i="71"/>
  <c r="L95" i="71" s="1"/>
  <c r="B95" i="71"/>
  <c r="X94" i="71"/>
  <c r="Z94" i="71" s="1"/>
  <c r="N94" i="71"/>
  <c r="L94" i="71"/>
  <c r="B94" i="71"/>
  <c r="X93" i="71"/>
  <c r="Z93" i="71" s="1"/>
  <c r="N93" i="71"/>
  <c r="L93" i="71"/>
  <c r="B93" i="71"/>
  <c r="Z92" i="71"/>
  <c r="X92" i="71"/>
  <c r="T92" i="71"/>
  <c r="P92" i="71"/>
  <c r="L92" i="71"/>
  <c r="H92" i="71"/>
  <c r="D92" i="71"/>
  <c r="B92" i="71"/>
  <c r="Z91" i="71"/>
  <c r="X91" i="71"/>
  <c r="N91" i="71"/>
  <c r="L91" i="71"/>
  <c r="B91" i="71"/>
  <c r="Z90" i="71"/>
  <c r="T90" i="71"/>
  <c r="P90" i="71"/>
  <c r="X90" i="71" s="1"/>
  <c r="H90" i="71"/>
  <c r="D90" i="71"/>
  <c r="B90" i="71"/>
  <c r="X89" i="71"/>
  <c r="Z89" i="71" s="1"/>
  <c r="L89" i="71"/>
  <c r="N89" i="71" s="1"/>
  <c r="B89" i="71"/>
  <c r="X88" i="71"/>
  <c r="T88" i="71"/>
  <c r="P88" i="71"/>
  <c r="H88" i="71"/>
  <c r="N88" i="71" s="1"/>
  <c r="D88" i="71"/>
  <c r="L88" i="71" s="1"/>
  <c r="B88" i="71"/>
  <c r="Z87" i="71"/>
  <c r="X87" i="71"/>
  <c r="N87" i="71"/>
  <c r="L87" i="71"/>
  <c r="B87" i="71"/>
  <c r="X86" i="71"/>
  <c r="Z86" i="71" s="1"/>
  <c r="N86" i="71"/>
  <c r="L86" i="71"/>
  <c r="B86" i="71"/>
  <c r="X85" i="71"/>
  <c r="Z85" i="71" s="1"/>
  <c r="T85" i="71"/>
  <c r="P85" i="71"/>
  <c r="N85" i="71"/>
  <c r="L85" i="71"/>
  <c r="H85" i="71"/>
  <c r="D85" i="71"/>
  <c r="B85" i="71"/>
  <c r="Z84" i="71"/>
  <c r="X84" i="71"/>
  <c r="L84" i="71"/>
  <c r="N84" i="71" s="1"/>
  <c r="B84" i="71"/>
  <c r="Z83" i="71"/>
  <c r="T83" i="71"/>
  <c r="X83" i="71" s="1"/>
  <c r="P83" i="71"/>
  <c r="H83" i="71"/>
  <c r="D83" i="71"/>
  <c r="L83" i="71" s="1"/>
  <c r="N83" i="71" s="1"/>
  <c r="B83" i="71"/>
  <c r="X82" i="71"/>
  <c r="Z82" i="71" s="1"/>
  <c r="N82" i="71"/>
  <c r="L82" i="71"/>
  <c r="B82" i="71"/>
  <c r="T81" i="71"/>
  <c r="P81" i="71"/>
  <c r="X81" i="71" s="1"/>
  <c r="N81" i="71"/>
  <c r="H81" i="71"/>
  <c r="D81" i="71"/>
  <c r="L81" i="71" s="1"/>
  <c r="B81" i="71"/>
  <c r="Z80" i="71"/>
  <c r="X80" i="71"/>
  <c r="N80" i="71"/>
  <c r="L80" i="71"/>
  <c r="B80" i="71"/>
  <c r="Z79" i="71"/>
  <c r="X79" i="71"/>
  <c r="N79" i="71"/>
  <c r="L79" i="71"/>
  <c r="B79" i="71"/>
  <c r="X78" i="71"/>
  <c r="T78" i="71"/>
  <c r="P78" i="71"/>
  <c r="L78" i="71"/>
  <c r="N78" i="71" s="1"/>
  <c r="H78" i="71"/>
  <c r="D78" i="71"/>
  <c r="B78" i="71"/>
  <c r="Z77" i="71"/>
  <c r="X77" i="71"/>
  <c r="L77" i="71"/>
  <c r="N77" i="71" s="1"/>
  <c r="B77" i="71"/>
  <c r="T76" i="71"/>
  <c r="P76" i="71"/>
  <c r="X76" i="71" s="1"/>
  <c r="Z76" i="71" s="1"/>
  <c r="H76" i="71"/>
  <c r="D76" i="71"/>
  <c r="B76" i="71"/>
  <c r="Z75" i="71"/>
  <c r="X75" i="71"/>
  <c r="L75" i="71"/>
  <c r="N75" i="71" s="1"/>
  <c r="B75" i="71"/>
  <c r="X74" i="71"/>
  <c r="Z74" i="71" s="1"/>
  <c r="L74" i="71"/>
  <c r="N74" i="71" s="1"/>
  <c r="B74" i="71"/>
  <c r="X73" i="71"/>
  <c r="Z73" i="71" s="1"/>
  <c r="L73" i="71"/>
  <c r="N73" i="71" s="1"/>
  <c r="B73" i="71"/>
  <c r="Z72" i="71"/>
  <c r="X72" i="71"/>
  <c r="L72" i="71"/>
  <c r="N72" i="71" s="1"/>
  <c r="B72" i="71"/>
  <c r="Z71" i="71"/>
  <c r="X71" i="71"/>
  <c r="L71" i="71"/>
  <c r="N71" i="71" s="1"/>
  <c r="B71" i="71"/>
  <c r="T70" i="71"/>
  <c r="X70" i="71" s="1"/>
  <c r="Z70" i="71" s="1"/>
  <c r="P70" i="71"/>
  <c r="H70" i="71"/>
  <c r="D70" i="71"/>
  <c r="L70" i="71" s="1"/>
  <c r="B70" i="71"/>
  <c r="Z69" i="71"/>
  <c r="X69" i="71"/>
  <c r="L69" i="71"/>
  <c r="N69" i="71" s="1"/>
  <c r="B69" i="71"/>
  <c r="X68" i="71"/>
  <c r="Z68" i="71" s="1"/>
  <c r="L68" i="71"/>
  <c r="N68" i="71" s="1"/>
  <c r="B68" i="71"/>
  <c r="X67" i="71"/>
  <c r="Z67" i="71" s="1"/>
  <c r="L67" i="71"/>
  <c r="N67" i="71" s="1"/>
  <c r="B67" i="71"/>
  <c r="Z66" i="71"/>
  <c r="X66" i="71"/>
  <c r="L66" i="71"/>
  <c r="N66" i="71" s="1"/>
  <c r="B66" i="71"/>
  <c r="Z65" i="71"/>
  <c r="X65" i="71"/>
  <c r="L65" i="71"/>
  <c r="N65" i="71" s="1"/>
  <c r="B65" i="71"/>
  <c r="X64" i="71"/>
  <c r="Z64" i="71" s="1"/>
  <c r="L64" i="71"/>
  <c r="N64" i="71" s="1"/>
  <c r="B64" i="71"/>
  <c r="X63" i="71"/>
  <c r="Z63" i="71" s="1"/>
  <c r="L63" i="71"/>
  <c r="N63" i="71" s="1"/>
  <c r="B63" i="71"/>
  <c r="Z62" i="71"/>
  <c r="X62" i="71"/>
  <c r="N62" i="71"/>
  <c r="L62" i="71"/>
  <c r="B62" i="71"/>
  <c r="X61" i="71"/>
  <c r="Z61" i="71" s="1"/>
  <c r="L61" i="71"/>
  <c r="N61" i="71" s="1"/>
  <c r="B61" i="71"/>
  <c r="T60" i="71"/>
  <c r="P60" i="71"/>
  <c r="X60" i="71" s="1"/>
  <c r="H60" i="71"/>
  <c r="D60" i="71"/>
  <c r="L60" i="71" s="1"/>
  <c r="N60" i="71" s="1"/>
  <c r="B60" i="71"/>
  <c r="X59" i="71"/>
  <c r="T59" i="71"/>
  <c r="Z59" i="71" s="1"/>
  <c r="P59" i="71"/>
  <c r="L59" i="71"/>
  <c r="H59" i="71"/>
  <c r="N59" i="71" s="1"/>
  <c r="D59" i="71"/>
  <c r="X55" i="71"/>
  <c r="Z55" i="71" s="1"/>
  <c r="N55" i="71"/>
  <c r="L55" i="71"/>
  <c r="B55" i="71"/>
  <c r="X54" i="71"/>
  <c r="Z54" i="71" s="1"/>
  <c r="N54" i="71"/>
  <c r="L54" i="71"/>
  <c r="B54" i="71"/>
  <c r="X53" i="71"/>
  <c r="Z53" i="71" s="1"/>
  <c r="N53" i="71"/>
  <c r="L53" i="71"/>
  <c r="B53" i="71"/>
  <c r="X52" i="71"/>
  <c r="Z52" i="71" s="1"/>
  <c r="N52" i="71"/>
  <c r="L52" i="71"/>
  <c r="B52" i="71"/>
  <c r="X51" i="71"/>
  <c r="Z51" i="71" s="1"/>
  <c r="N51" i="71"/>
  <c r="L51" i="71"/>
  <c r="B51" i="71"/>
  <c r="X50" i="71"/>
  <c r="Z50" i="71" s="1"/>
  <c r="N50" i="71"/>
  <c r="L50" i="71"/>
  <c r="B50" i="71"/>
  <c r="X49" i="71"/>
  <c r="Z49" i="71" s="1"/>
  <c r="N49" i="71"/>
  <c r="L49" i="71"/>
  <c r="B49" i="71"/>
  <c r="X48" i="71"/>
  <c r="Z48" i="71" s="1"/>
  <c r="N48" i="71"/>
  <c r="L48" i="71"/>
  <c r="B48" i="71"/>
  <c r="X47" i="71"/>
  <c r="Z47" i="71" s="1"/>
  <c r="N47" i="71"/>
  <c r="L47" i="71"/>
  <c r="B47" i="71"/>
  <c r="X46" i="71"/>
  <c r="Z46" i="71" s="1"/>
  <c r="N46" i="71"/>
  <c r="L46" i="71"/>
  <c r="B46" i="71"/>
  <c r="X45" i="71"/>
  <c r="Z45" i="71" s="1"/>
  <c r="N45" i="71"/>
  <c r="L45" i="71"/>
  <c r="B45" i="71"/>
  <c r="X44" i="71"/>
  <c r="Z44" i="71" s="1"/>
  <c r="N44" i="71"/>
  <c r="L44" i="71"/>
  <c r="B44" i="71"/>
  <c r="X43" i="71"/>
  <c r="Z43" i="71" s="1"/>
  <c r="N43" i="71"/>
  <c r="L43" i="71"/>
  <c r="B43" i="71"/>
  <c r="X42" i="71"/>
  <c r="Z42" i="71" s="1"/>
  <c r="N42" i="71"/>
  <c r="L42" i="71"/>
  <c r="B42" i="71"/>
  <c r="X41" i="71"/>
  <c r="Z41" i="71" s="1"/>
  <c r="N41" i="71"/>
  <c r="L41" i="71"/>
  <c r="B41" i="71"/>
  <c r="X40" i="71"/>
  <c r="Z40" i="71" s="1"/>
  <c r="T40" i="71"/>
  <c r="P40" i="71"/>
  <c r="L40" i="71"/>
  <c r="H40" i="71"/>
  <c r="N40" i="71" s="1"/>
  <c r="D40" i="71"/>
  <c r="X38" i="71"/>
  <c r="T38" i="71"/>
  <c r="Z38" i="71" s="1"/>
  <c r="P38" i="71"/>
  <c r="H38" i="71"/>
  <c r="D38" i="71"/>
  <c r="L38" i="71" s="1"/>
  <c r="N38" i="71" s="1"/>
  <c r="B38" i="71"/>
  <c r="X37" i="71"/>
  <c r="T37" i="71"/>
  <c r="Z37" i="71" s="1"/>
  <c r="P37" i="71"/>
  <c r="N37" i="71"/>
  <c r="L37" i="71"/>
  <c r="H37" i="71"/>
  <c r="D37" i="71"/>
  <c r="B37" i="71"/>
  <c r="X36" i="71"/>
  <c r="Z36" i="71" s="1"/>
  <c r="T36" i="71"/>
  <c r="P36" i="71"/>
  <c r="H36" i="71"/>
  <c r="D36" i="71"/>
  <c r="L36" i="71" s="1"/>
  <c r="N36" i="71" s="1"/>
  <c r="B36" i="71"/>
  <c r="X35" i="71"/>
  <c r="T35" i="71"/>
  <c r="Z35" i="71" s="1"/>
  <c r="P35" i="71"/>
  <c r="H35" i="71"/>
  <c r="D35" i="71"/>
  <c r="L35" i="71" s="1"/>
  <c r="N35" i="71" s="1"/>
  <c r="B35" i="71"/>
  <c r="X34" i="71"/>
  <c r="T34" i="71"/>
  <c r="Z34" i="71" s="1"/>
  <c r="P34" i="71"/>
  <c r="H34" i="71"/>
  <c r="D34" i="71"/>
  <c r="L34" i="71" s="1"/>
  <c r="N34" i="71" s="1"/>
  <c r="B34" i="71"/>
  <c r="X33" i="71"/>
  <c r="T33" i="71"/>
  <c r="Z33" i="71" s="1"/>
  <c r="P33" i="71"/>
  <c r="N33" i="71"/>
  <c r="L33" i="71"/>
  <c r="H33" i="71"/>
  <c r="D33" i="71"/>
  <c r="B33" i="71"/>
  <c r="X32" i="71"/>
  <c r="Z32" i="71" s="1"/>
  <c r="T32" i="71"/>
  <c r="P32" i="71"/>
  <c r="N32" i="71"/>
  <c r="H32" i="71"/>
  <c r="D32" i="71"/>
  <c r="L32" i="71" s="1"/>
  <c r="B32" i="71"/>
  <c r="X31" i="71"/>
  <c r="T31" i="71"/>
  <c r="Z31" i="71" s="1"/>
  <c r="P31" i="71"/>
  <c r="H31" i="71"/>
  <c r="D31" i="71"/>
  <c r="L31" i="71" s="1"/>
  <c r="N31" i="71" s="1"/>
  <c r="B31" i="71"/>
  <c r="X30" i="71"/>
  <c r="T30" i="71"/>
  <c r="Z30" i="71" s="1"/>
  <c r="P30" i="71"/>
  <c r="H30" i="71"/>
  <c r="D30" i="71"/>
  <c r="L30" i="71" s="1"/>
  <c r="N30" i="71" s="1"/>
  <c r="B30" i="71"/>
  <c r="X29" i="71"/>
  <c r="T29" i="71"/>
  <c r="Z29" i="71" s="1"/>
  <c r="P29" i="71"/>
  <c r="N29" i="71"/>
  <c r="L29" i="71"/>
  <c r="H29" i="71"/>
  <c r="D29" i="71"/>
  <c r="B29" i="71"/>
  <c r="X28" i="71"/>
  <c r="Z28" i="71" s="1"/>
  <c r="T28" i="71"/>
  <c r="P28" i="71"/>
  <c r="H28" i="71"/>
  <c r="D28" i="71"/>
  <c r="L28" i="71" s="1"/>
  <c r="N28" i="71" s="1"/>
  <c r="B28" i="71"/>
  <c r="T27" i="71"/>
  <c r="P27" i="71"/>
  <c r="N27" i="71"/>
  <c r="H27" i="71"/>
  <c r="D27" i="71"/>
  <c r="L27" i="71" s="1"/>
  <c r="B27" i="71"/>
  <c r="T26" i="71"/>
  <c r="P26" i="71"/>
  <c r="N26" i="71"/>
  <c r="H26" i="71"/>
  <c r="D26" i="71"/>
  <c r="L26" i="71" s="1"/>
  <c r="B26" i="71"/>
  <c r="X25" i="71"/>
  <c r="T25" i="71"/>
  <c r="Z25" i="71" s="1"/>
  <c r="P25" i="71"/>
  <c r="L25" i="71"/>
  <c r="N25" i="71" s="1"/>
  <c r="H25" i="71"/>
  <c r="D25" i="71"/>
  <c r="B25" i="71"/>
  <c r="X24" i="71"/>
  <c r="Z24" i="71" s="1"/>
  <c r="T24" i="71"/>
  <c r="P24" i="71"/>
  <c r="H24" i="71"/>
  <c r="D24" i="71"/>
  <c r="L24" i="71" s="1"/>
  <c r="N24" i="71" s="1"/>
  <c r="B24" i="71"/>
  <c r="T23" i="71"/>
  <c r="P23" i="71"/>
  <c r="H23" i="71"/>
  <c r="D23" i="71"/>
  <c r="L23" i="71" s="1"/>
  <c r="N23" i="71" s="1"/>
  <c r="B23" i="71"/>
  <c r="T22" i="71"/>
  <c r="P22" i="71"/>
  <c r="H22" i="71"/>
  <c r="D22" i="71"/>
  <c r="L22" i="71" s="1"/>
  <c r="N22" i="71" s="1"/>
  <c r="B22" i="71"/>
  <c r="X21" i="71"/>
  <c r="T21" i="71"/>
  <c r="Z21" i="71" s="1"/>
  <c r="P21" i="71"/>
  <c r="L21" i="71"/>
  <c r="N21" i="71" s="1"/>
  <c r="H21" i="71"/>
  <c r="D21" i="71"/>
  <c r="B21" i="71"/>
  <c r="X20" i="71"/>
  <c r="Z20" i="71" s="1"/>
  <c r="T20" i="71"/>
  <c r="P20" i="71"/>
  <c r="H20" i="71"/>
  <c r="D20" i="71"/>
  <c r="L20" i="71" s="1"/>
  <c r="N20" i="71" s="1"/>
  <c r="B20" i="71"/>
  <c r="T19" i="71"/>
  <c r="P19" i="71"/>
  <c r="H19" i="71"/>
  <c r="D19" i="71"/>
  <c r="L19" i="71" s="1"/>
  <c r="N19" i="71" s="1"/>
  <c r="B19" i="71"/>
  <c r="T18" i="71"/>
  <c r="P18" i="71"/>
  <c r="H18" i="71"/>
  <c r="D18" i="71"/>
  <c r="L18" i="71" s="1"/>
  <c r="N18" i="71" s="1"/>
  <c r="B18" i="71"/>
  <c r="X17" i="71"/>
  <c r="T17" i="71"/>
  <c r="Z17" i="71" s="1"/>
  <c r="P17" i="71"/>
  <c r="N17" i="71"/>
  <c r="L17" i="71"/>
  <c r="H17" i="71"/>
  <c r="D17" i="71"/>
  <c r="B17" i="71"/>
  <c r="X16" i="71"/>
  <c r="Z16" i="71" s="1"/>
  <c r="T16" i="71"/>
  <c r="P16" i="71"/>
  <c r="H16" i="71"/>
  <c r="D16" i="71"/>
  <c r="L16" i="71" s="1"/>
  <c r="N16" i="71" s="1"/>
  <c r="B16" i="71"/>
  <c r="T15" i="71"/>
  <c r="P15" i="71"/>
  <c r="H15" i="71"/>
  <c r="D15" i="71"/>
  <c r="L15" i="71" s="1"/>
  <c r="N15" i="71" s="1"/>
  <c r="B15" i="71"/>
  <c r="T14" i="71"/>
  <c r="P14" i="71"/>
  <c r="H14" i="71"/>
  <c r="H12" i="71" s="1"/>
  <c r="D14" i="71"/>
  <c r="D12" i="71" s="1"/>
  <c r="B14" i="71"/>
  <c r="X13" i="71"/>
  <c r="T13" i="71"/>
  <c r="T12" i="71" s="1"/>
  <c r="P13" i="71"/>
  <c r="P12" i="71" s="1"/>
  <c r="L13" i="71"/>
  <c r="N13" i="71" s="1"/>
  <c r="H13" i="71"/>
  <c r="D13" i="71"/>
  <c r="B13" i="71"/>
  <c r="D6" i="71"/>
  <c r="D4" i="71"/>
  <c r="X70" i="70"/>
  <c r="Z70" i="70" s="1"/>
  <c r="R70" i="70"/>
  <c r="N70" i="70"/>
  <c r="L70" i="70"/>
  <c r="Z66" i="70"/>
  <c r="X66" i="70"/>
  <c r="T66" i="70"/>
  <c r="P66" i="70"/>
  <c r="L66" i="70"/>
  <c r="H66" i="70"/>
  <c r="N66" i="70" s="1"/>
  <c r="D66" i="70"/>
  <c r="X64" i="70"/>
  <c r="Z64" i="70" s="1"/>
  <c r="L64" i="70"/>
  <c r="N64" i="70" s="1"/>
  <c r="B64" i="70"/>
  <c r="X63" i="70"/>
  <c r="T63" i="70"/>
  <c r="Z63" i="70" s="1"/>
  <c r="P63" i="70"/>
  <c r="H63" i="70"/>
  <c r="D63" i="70"/>
  <c r="L63" i="70" s="1"/>
  <c r="B63" i="70"/>
  <c r="Z62" i="70"/>
  <c r="X62" i="70"/>
  <c r="N62" i="70"/>
  <c r="L62" i="70"/>
  <c r="B62" i="70"/>
  <c r="Z61" i="70"/>
  <c r="X61" i="70"/>
  <c r="N61" i="70"/>
  <c r="L61" i="70"/>
  <c r="B61" i="70"/>
  <c r="X60" i="70"/>
  <c r="Z60" i="70" s="1"/>
  <c r="R60" i="70"/>
  <c r="N60" i="70"/>
  <c r="L60" i="70"/>
  <c r="B60" i="70"/>
  <c r="X59" i="70"/>
  <c r="Z59" i="70" s="1"/>
  <c r="N59" i="70"/>
  <c r="L59" i="70"/>
  <c r="B59" i="70"/>
  <c r="Z58" i="70"/>
  <c r="X58" i="70"/>
  <c r="N58" i="70"/>
  <c r="L58" i="70"/>
  <c r="B58" i="70"/>
  <c r="Z57" i="70"/>
  <c r="X57" i="70"/>
  <c r="N57" i="70"/>
  <c r="L57" i="70"/>
  <c r="B57" i="70"/>
  <c r="T56" i="70"/>
  <c r="P56" i="70"/>
  <c r="H56" i="70"/>
  <c r="L56" i="70" s="1"/>
  <c r="N56" i="70" s="1"/>
  <c r="D56" i="70"/>
  <c r="B56" i="70"/>
  <c r="Z55" i="70"/>
  <c r="X55" i="70"/>
  <c r="N55" i="70"/>
  <c r="L55" i="70"/>
  <c r="B55" i="70"/>
  <c r="T54" i="70"/>
  <c r="P54" i="70"/>
  <c r="X54" i="70" s="1"/>
  <c r="Z54" i="70" s="1"/>
  <c r="H54" i="70"/>
  <c r="N54" i="70" s="1"/>
  <c r="D54" i="70"/>
  <c r="L54" i="70" s="1"/>
  <c r="B54" i="70"/>
  <c r="X53" i="70"/>
  <c r="Z53" i="70" s="1"/>
  <c r="N53" i="70"/>
  <c r="L53" i="70"/>
  <c r="B53" i="70"/>
  <c r="X52" i="70"/>
  <c r="Z52" i="70" s="1"/>
  <c r="L52" i="70"/>
  <c r="N52" i="70" s="1"/>
  <c r="B52" i="70"/>
  <c r="X51" i="70"/>
  <c r="Z51" i="70" s="1"/>
  <c r="T51" i="70"/>
  <c r="P51" i="70"/>
  <c r="H51" i="70"/>
  <c r="N51" i="70" s="1"/>
  <c r="D51" i="70"/>
  <c r="L51" i="70" s="1"/>
  <c r="B51" i="70"/>
  <c r="Z50" i="70"/>
  <c r="X50" i="70"/>
  <c r="N50" i="70"/>
  <c r="L50" i="70"/>
  <c r="B50" i="70"/>
  <c r="Z49" i="70"/>
  <c r="X49" i="70"/>
  <c r="N49" i="70"/>
  <c r="L49" i="70"/>
  <c r="B49" i="70"/>
  <c r="T48" i="70"/>
  <c r="P48" i="70"/>
  <c r="H48" i="70"/>
  <c r="L48" i="70" s="1"/>
  <c r="N48" i="70" s="1"/>
  <c r="D48" i="70"/>
  <c r="B48" i="70"/>
  <c r="Z47" i="70"/>
  <c r="X47" i="70"/>
  <c r="L47" i="70"/>
  <c r="N47" i="70" s="1"/>
  <c r="B47" i="70"/>
  <c r="T46" i="70"/>
  <c r="P46" i="70"/>
  <c r="X46" i="70" s="1"/>
  <c r="Z46" i="70" s="1"/>
  <c r="H46" i="70"/>
  <c r="D46" i="70"/>
  <c r="L46" i="70" s="1"/>
  <c r="B46" i="70"/>
  <c r="Z45" i="70"/>
  <c r="X45" i="70"/>
  <c r="N45" i="70"/>
  <c r="L45" i="70"/>
  <c r="B45" i="70"/>
  <c r="Z44" i="70"/>
  <c r="X44" i="70"/>
  <c r="T44" i="70"/>
  <c r="P44" i="70"/>
  <c r="N44" i="70"/>
  <c r="L44" i="70"/>
  <c r="H44" i="70"/>
  <c r="D44" i="70"/>
  <c r="B44" i="70"/>
  <c r="X43" i="70"/>
  <c r="Z43" i="70" s="1"/>
  <c r="N43" i="70"/>
  <c r="L43" i="70"/>
  <c r="B43" i="70"/>
  <c r="T42" i="70"/>
  <c r="X42" i="70" s="1"/>
  <c r="Z42" i="70" s="1"/>
  <c r="P42" i="70"/>
  <c r="H42" i="70"/>
  <c r="D42" i="70"/>
  <c r="B42" i="70"/>
  <c r="Z41" i="70"/>
  <c r="X41" i="70"/>
  <c r="L41" i="70"/>
  <c r="N41" i="70" s="1"/>
  <c r="B41" i="70"/>
  <c r="T40" i="70"/>
  <c r="Z40" i="70" s="1"/>
  <c r="P40" i="70"/>
  <c r="X40" i="70" s="1"/>
  <c r="H40" i="70"/>
  <c r="D40" i="70"/>
  <c r="L40" i="70" s="1"/>
  <c r="N40" i="70" s="1"/>
  <c r="B40" i="70"/>
  <c r="X39" i="70"/>
  <c r="Z39" i="70" s="1"/>
  <c r="L39" i="70"/>
  <c r="N39" i="70" s="1"/>
  <c r="B39" i="70"/>
  <c r="X38" i="70"/>
  <c r="T38" i="70"/>
  <c r="Z38" i="70" s="1"/>
  <c r="R38" i="70"/>
  <c r="P38" i="70"/>
  <c r="L38" i="70"/>
  <c r="N38" i="70" s="1"/>
  <c r="H38" i="70"/>
  <c r="D38" i="70"/>
  <c r="B38" i="70"/>
  <c r="Z37" i="70"/>
  <c r="X37" i="70"/>
  <c r="R37" i="70"/>
  <c r="N37" i="70"/>
  <c r="L37" i="70"/>
  <c r="B37" i="70"/>
  <c r="X36" i="70"/>
  <c r="Z36" i="70" s="1"/>
  <c r="R36" i="70"/>
  <c r="L36" i="70"/>
  <c r="N36" i="70" s="1"/>
  <c r="B36" i="70"/>
  <c r="X35" i="70"/>
  <c r="Z35" i="70" s="1"/>
  <c r="N35" i="70"/>
  <c r="L35" i="70"/>
  <c r="B35" i="70"/>
  <c r="Z34" i="70"/>
  <c r="X34" i="70"/>
  <c r="N34" i="70"/>
  <c r="L34" i="70"/>
  <c r="B34" i="70"/>
  <c r="Z33" i="70"/>
  <c r="X33" i="70"/>
  <c r="R33" i="70"/>
  <c r="N33" i="70"/>
  <c r="L33" i="70"/>
  <c r="B33" i="70"/>
  <c r="T32" i="70"/>
  <c r="P32" i="70"/>
  <c r="H32" i="70"/>
  <c r="L32" i="70" s="1"/>
  <c r="N32" i="70" s="1"/>
  <c r="D32" i="70"/>
  <c r="B32" i="70"/>
  <c r="Z31" i="70"/>
  <c r="X31" i="70"/>
  <c r="L31" i="70"/>
  <c r="N31" i="70" s="1"/>
  <c r="B31" i="70"/>
  <c r="Z30" i="70"/>
  <c r="X30" i="70"/>
  <c r="L30" i="70"/>
  <c r="N30" i="70" s="1"/>
  <c r="B30" i="70"/>
  <c r="Z29" i="70"/>
  <c r="X29" i="70"/>
  <c r="L29" i="70"/>
  <c r="N29" i="70" s="1"/>
  <c r="B29" i="70"/>
  <c r="X28" i="70"/>
  <c r="Z28" i="70" s="1"/>
  <c r="L28" i="70"/>
  <c r="N28" i="70" s="1"/>
  <c r="B28" i="70"/>
  <c r="Z27" i="70"/>
  <c r="X27" i="70"/>
  <c r="L27" i="70"/>
  <c r="N27" i="70" s="1"/>
  <c r="B27" i="70"/>
  <c r="Z26" i="70"/>
  <c r="X26" i="70"/>
  <c r="L26" i="70"/>
  <c r="N26" i="70" s="1"/>
  <c r="B26" i="70"/>
  <c r="Z25" i="70"/>
  <c r="X25" i="70"/>
  <c r="N25" i="70"/>
  <c r="L25" i="70"/>
  <c r="B25" i="70"/>
  <c r="X24" i="70"/>
  <c r="Z24" i="70" s="1"/>
  <c r="L24" i="70"/>
  <c r="N24" i="70" s="1"/>
  <c r="B24" i="70"/>
  <c r="T23" i="70"/>
  <c r="P23" i="70"/>
  <c r="X23" i="70" s="1"/>
  <c r="Z23" i="70" s="1"/>
  <c r="H23" i="70"/>
  <c r="N23" i="70" s="1"/>
  <c r="D23" i="70"/>
  <c r="L23" i="70" s="1"/>
  <c r="B23" i="70"/>
  <c r="X22" i="70"/>
  <c r="T22" i="70"/>
  <c r="Z22" i="70" s="1"/>
  <c r="R22" i="70"/>
  <c r="P22" i="70"/>
  <c r="H22" i="70"/>
  <c r="N22" i="70" s="1"/>
  <c r="D22" i="70"/>
  <c r="L22" i="70" s="1"/>
  <c r="X18" i="70"/>
  <c r="Z18" i="70" s="1"/>
  <c r="N18" i="70"/>
  <c r="L18" i="70"/>
  <c r="B18" i="70"/>
  <c r="Z17" i="70"/>
  <c r="X17" i="70"/>
  <c r="N17" i="70"/>
  <c r="L17" i="70"/>
  <c r="B17" i="70"/>
  <c r="T16" i="70"/>
  <c r="P16" i="70"/>
  <c r="X16" i="70" s="1"/>
  <c r="L16" i="70"/>
  <c r="H16" i="70"/>
  <c r="N16" i="70" s="1"/>
  <c r="D16" i="70"/>
  <c r="T14" i="70"/>
  <c r="P14" i="70"/>
  <c r="H14" i="70"/>
  <c r="D14" i="70"/>
  <c r="D12" i="70" s="1"/>
  <c r="B14" i="70"/>
  <c r="X13" i="70"/>
  <c r="T13" i="70"/>
  <c r="T12" i="70" s="1"/>
  <c r="P13" i="70"/>
  <c r="L13" i="70"/>
  <c r="N13" i="70" s="1"/>
  <c r="H13" i="70"/>
  <c r="H12" i="70" s="1"/>
  <c r="D13" i="70"/>
  <c r="B13" i="70"/>
  <c r="P12" i="70"/>
  <c r="D6" i="70"/>
  <c r="D4" i="70"/>
  <c r="X109" i="69"/>
  <c r="Z109" i="69" s="1"/>
  <c r="L109" i="69"/>
  <c r="N109" i="69" s="1"/>
  <c r="T105" i="69"/>
  <c r="Z105" i="69" s="1"/>
  <c r="P105" i="69"/>
  <c r="X105" i="69" s="1"/>
  <c r="L105" i="69"/>
  <c r="H105" i="69"/>
  <c r="N105" i="69" s="1"/>
  <c r="D105" i="69"/>
  <c r="X103" i="69"/>
  <c r="Z103" i="69" s="1"/>
  <c r="L103" i="69"/>
  <c r="N103" i="69" s="1"/>
  <c r="B103" i="69"/>
  <c r="X102" i="69"/>
  <c r="Z102" i="69" s="1"/>
  <c r="T102" i="69"/>
  <c r="P102" i="69"/>
  <c r="H102" i="69"/>
  <c r="D102" i="69"/>
  <c r="L102" i="69" s="1"/>
  <c r="N102" i="69" s="1"/>
  <c r="B102" i="69"/>
  <c r="Z101" i="69"/>
  <c r="X101" i="69"/>
  <c r="N101" i="69"/>
  <c r="L101" i="69"/>
  <c r="B101" i="69"/>
  <c r="T100" i="69"/>
  <c r="X100" i="69" s="1"/>
  <c r="Z100" i="69" s="1"/>
  <c r="P100" i="69"/>
  <c r="L100" i="69"/>
  <c r="N100" i="69" s="1"/>
  <c r="H100" i="69"/>
  <c r="D100" i="69"/>
  <c r="B100" i="69"/>
  <c r="X99" i="69"/>
  <c r="Z99" i="69" s="1"/>
  <c r="L99" i="69"/>
  <c r="N99" i="69" s="1"/>
  <c r="B99" i="69"/>
  <c r="Z98" i="69"/>
  <c r="X98" i="69"/>
  <c r="L98" i="69"/>
  <c r="N98" i="69" s="1"/>
  <c r="B98" i="69"/>
  <c r="T97" i="69"/>
  <c r="Z97" i="69" s="1"/>
  <c r="P97" i="69"/>
  <c r="X97" i="69" s="1"/>
  <c r="L97" i="69"/>
  <c r="H97" i="69"/>
  <c r="N97" i="69" s="1"/>
  <c r="D97" i="69"/>
  <c r="B97" i="69"/>
  <c r="Z96" i="69"/>
  <c r="X96" i="69"/>
  <c r="N96" i="69"/>
  <c r="L96" i="69"/>
  <c r="B96" i="69"/>
  <c r="X95" i="69"/>
  <c r="Z95" i="69" s="1"/>
  <c r="L95" i="69"/>
  <c r="N95" i="69" s="1"/>
  <c r="B95" i="69"/>
  <c r="X94" i="69"/>
  <c r="Z94" i="69" s="1"/>
  <c r="T94" i="69"/>
  <c r="P94" i="69"/>
  <c r="L94" i="69"/>
  <c r="H94" i="69"/>
  <c r="N94" i="69" s="1"/>
  <c r="D94" i="69"/>
  <c r="B94" i="69"/>
  <c r="Z93" i="69"/>
  <c r="X93" i="69"/>
  <c r="N93" i="69"/>
  <c r="L93" i="69"/>
  <c r="B93" i="69"/>
  <c r="T92" i="69"/>
  <c r="X92" i="69" s="1"/>
  <c r="Z92" i="69" s="1"/>
  <c r="P92" i="69"/>
  <c r="N92" i="69"/>
  <c r="L92" i="69"/>
  <c r="H92" i="69"/>
  <c r="D92" i="69"/>
  <c r="B92" i="69"/>
  <c r="X91" i="69"/>
  <c r="Z91" i="69" s="1"/>
  <c r="L91" i="69"/>
  <c r="N91" i="69" s="1"/>
  <c r="B91" i="69"/>
  <c r="T90" i="69"/>
  <c r="P90" i="69"/>
  <c r="X90" i="69" s="1"/>
  <c r="Z90" i="69" s="1"/>
  <c r="H90" i="69"/>
  <c r="D90" i="69"/>
  <c r="L90" i="69" s="1"/>
  <c r="B90" i="69"/>
  <c r="X89" i="69"/>
  <c r="Z89" i="69" s="1"/>
  <c r="N89" i="69"/>
  <c r="L89" i="69"/>
  <c r="B89" i="69"/>
  <c r="T88" i="69"/>
  <c r="P88" i="69"/>
  <c r="N88" i="69"/>
  <c r="L88" i="69"/>
  <c r="H88" i="69"/>
  <c r="D88" i="69"/>
  <c r="B88" i="69"/>
  <c r="X87" i="69"/>
  <c r="Z87" i="69" s="1"/>
  <c r="L87" i="69"/>
  <c r="N87" i="69" s="1"/>
  <c r="B87" i="69"/>
  <c r="X86" i="69"/>
  <c r="Z86" i="69" s="1"/>
  <c r="N86" i="69"/>
  <c r="L86" i="69"/>
  <c r="B86" i="69"/>
  <c r="T85" i="69"/>
  <c r="X85" i="69" s="1"/>
  <c r="Z85" i="69" s="1"/>
  <c r="P85" i="69"/>
  <c r="H85" i="69"/>
  <c r="D85" i="69"/>
  <c r="B85" i="69"/>
  <c r="Z84" i="69"/>
  <c r="X84" i="69"/>
  <c r="L84" i="69"/>
  <c r="N84" i="69" s="1"/>
  <c r="B84" i="69"/>
  <c r="X83" i="69"/>
  <c r="T83" i="69"/>
  <c r="Z83" i="69" s="1"/>
  <c r="P83" i="69"/>
  <c r="H83" i="69"/>
  <c r="N83" i="69" s="1"/>
  <c r="D83" i="69"/>
  <c r="L83" i="69" s="1"/>
  <c r="B83" i="69"/>
  <c r="Z82" i="69"/>
  <c r="X82" i="69"/>
  <c r="N82" i="69"/>
  <c r="L82" i="69"/>
  <c r="B82" i="69"/>
  <c r="X81" i="69"/>
  <c r="T81" i="69"/>
  <c r="Z81" i="69" s="1"/>
  <c r="P81" i="69"/>
  <c r="H81" i="69"/>
  <c r="N81" i="69" s="1"/>
  <c r="D81" i="69"/>
  <c r="L81" i="69" s="1"/>
  <c r="B81" i="69"/>
  <c r="Z80" i="69"/>
  <c r="X80" i="69"/>
  <c r="N80" i="69"/>
  <c r="L80" i="69"/>
  <c r="B80" i="69"/>
  <c r="X79" i="69"/>
  <c r="Z79" i="69" s="1"/>
  <c r="L79" i="69"/>
  <c r="N79" i="69" s="1"/>
  <c r="B79" i="69"/>
  <c r="X78" i="69"/>
  <c r="Z78" i="69" s="1"/>
  <c r="N78" i="69"/>
  <c r="L78" i="69"/>
  <c r="B78" i="69"/>
  <c r="T77" i="69"/>
  <c r="X77" i="69" s="1"/>
  <c r="Z77" i="69" s="1"/>
  <c r="P77" i="69"/>
  <c r="H77" i="69"/>
  <c r="D77" i="69"/>
  <c r="B77" i="69"/>
  <c r="Z76" i="69"/>
  <c r="X76" i="69"/>
  <c r="L76" i="69"/>
  <c r="N76" i="69" s="1"/>
  <c r="B76" i="69"/>
  <c r="X75" i="69"/>
  <c r="Z75" i="69" s="1"/>
  <c r="L75" i="69"/>
  <c r="N75" i="69" s="1"/>
  <c r="B75" i="69"/>
  <c r="Z74" i="69"/>
  <c r="X74" i="69"/>
  <c r="L74" i="69"/>
  <c r="N74" i="69" s="1"/>
  <c r="B74" i="69"/>
  <c r="Z73" i="69"/>
  <c r="X73" i="69"/>
  <c r="L73" i="69"/>
  <c r="N73" i="69" s="1"/>
  <c r="B73" i="69"/>
  <c r="Z72" i="69"/>
  <c r="X72" i="69"/>
  <c r="L72" i="69"/>
  <c r="N72" i="69" s="1"/>
  <c r="B72" i="69"/>
  <c r="X71" i="69"/>
  <c r="Z71" i="69" s="1"/>
  <c r="L71" i="69"/>
  <c r="N71" i="69" s="1"/>
  <c r="B71" i="69"/>
  <c r="Z70" i="69"/>
  <c r="X70" i="69"/>
  <c r="N70" i="69"/>
  <c r="L70" i="69"/>
  <c r="B70" i="69"/>
  <c r="Z69" i="69"/>
  <c r="X69" i="69"/>
  <c r="L69" i="69"/>
  <c r="N69" i="69" s="1"/>
  <c r="B69" i="69"/>
  <c r="T68" i="69"/>
  <c r="P68" i="69"/>
  <c r="X68" i="69" s="1"/>
  <c r="J68" i="69"/>
  <c r="H68" i="69"/>
  <c r="D68" i="69"/>
  <c r="L68" i="69" s="1"/>
  <c r="N68" i="69" s="1"/>
  <c r="B68" i="69"/>
  <c r="T67" i="69"/>
  <c r="P67" i="69"/>
  <c r="X67" i="69" s="1"/>
  <c r="L67" i="69"/>
  <c r="H67" i="69"/>
  <c r="D67" i="69"/>
  <c r="X63" i="69"/>
  <c r="Z63" i="69" s="1"/>
  <c r="L63" i="69"/>
  <c r="N63" i="69" s="1"/>
  <c r="B63" i="69"/>
  <c r="X62" i="69"/>
  <c r="Z62" i="69" s="1"/>
  <c r="N62" i="69"/>
  <c r="L62" i="69"/>
  <c r="B62" i="69"/>
  <c r="X61" i="69"/>
  <c r="Z61" i="69" s="1"/>
  <c r="N61" i="69"/>
  <c r="L61" i="69"/>
  <c r="B61" i="69"/>
  <c r="Z60" i="69"/>
  <c r="X60" i="69"/>
  <c r="N60" i="69"/>
  <c r="L60" i="69"/>
  <c r="B60" i="69"/>
  <c r="X59" i="69"/>
  <c r="Z59" i="69" s="1"/>
  <c r="L59" i="69"/>
  <c r="N59" i="69" s="1"/>
  <c r="B59" i="69"/>
  <c r="X58" i="69"/>
  <c r="Z58" i="69" s="1"/>
  <c r="L58" i="69"/>
  <c r="N58" i="69" s="1"/>
  <c r="B58" i="69"/>
  <c r="X57" i="69"/>
  <c r="Z57" i="69" s="1"/>
  <c r="N57" i="69"/>
  <c r="L57" i="69"/>
  <c r="B57" i="69"/>
  <c r="Z56" i="69"/>
  <c r="X56" i="69"/>
  <c r="N56" i="69"/>
  <c r="L56" i="69"/>
  <c r="B56" i="69"/>
  <c r="X55" i="69"/>
  <c r="Z55" i="69" s="1"/>
  <c r="L55" i="69"/>
  <c r="N55" i="69" s="1"/>
  <c r="B55" i="69"/>
  <c r="X54" i="69"/>
  <c r="Z54" i="69" s="1"/>
  <c r="L54" i="69"/>
  <c r="N54" i="69" s="1"/>
  <c r="B54" i="69"/>
  <c r="X53" i="69"/>
  <c r="Z53" i="69" s="1"/>
  <c r="N53" i="69"/>
  <c r="L53" i="69"/>
  <c r="B53" i="69"/>
  <c r="Z52" i="69"/>
  <c r="X52" i="69"/>
  <c r="N52" i="69"/>
  <c r="L52" i="69"/>
  <c r="B52" i="69"/>
  <c r="X51" i="69"/>
  <c r="Z51" i="69" s="1"/>
  <c r="L51" i="69"/>
  <c r="N51" i="69" s="1"/>
  <c r="B51" i="69"/>
  <c r="X50" i="69"/>
  <c r="Z50" i="69" s="1"/>
  <c r="L50" i="69"/>
  <c r="N50" i="69" s="1"/>
  <c r="B50" i="69"/>
  <c r="X49" i="69"/>
  <c r="Z49" i="69" s="1"/>
  <c r="N49" i="69"/>
  <c r="L49" i="69"/>
  <c r="B49" i="69"/>
  <c r="Z48" i="69"/>
  <c r="X48" i="69"/>
  <c r="N48" i="69"/>
  <c r="L48" i="69"/>
  <c r="B48" i="69"/>
  <c r="X47" i="69"/>
  <c r="Z47" i="69" s="1"/>
  <c r="L47" i="69"/>
  <c r="N47" i="69" s="1"/>
  <c r="B47" i="69"/>
  <c r="X46" i="69"/>
  <c r="Z46" i="69" s="1"/>
  <c r="L46" i="69"/>
  <c r="N46" i="69" s="1"/>
  <c r="B46" i="69"/>
  <c r="X45" i="69"/>
  <c r="T45" i="69"/>
  <c r="Z45" i="69" s="1"/>
  <c r="P45" i="69"/>
  <c r="H45" i="69"/>
  <c r="N45" i="69" s="1"/>
  <c r="D45" i="69"/>
  <c r="L45" i="69" s="1"/>
  <c r="X43" i="69"/>
  <c r="T43" i="69"/>
  <c r="Z43" i="69" s="1"/>
  <c r="P43" i="69"/>
  <c r="N43" i="69"/>
  <c r="L43" i="69"/>
  <c r="H43" i="69"/>
  <c r="D43" i="69"/>
  <c r="B43" i="69"/>
  <c r="T42" i="69"/>
  <c r="P42" i="69"/>
  <c r="H42" i="69"/>
  <c r="D42" i="69"/>
  <c r="L42" i="69" s="1"/>
  <c r="N42" i="69" s="1"/>
  <c r="B42" i="69"/>
  <c r="T41" i="69"/>
  <c r="P41" i="69"/>
  <c r="H41" i="69"/>
  <c r="D41" i="69"/>
  <c r="L41" i="69" s="1"/>
  <c r="N41" i="69" s="1"/>
  <c r="B41" i="69"/>
  <c r="X40" i="69"/>
  <c r="T40" i="69"/>
  <c r="Z40" i="69" s="1"/>
  <c r="P40" i="69"/>
  <c r="L40" i="69"/>
  <c r="N40" i="69" s="1"/>
  <c r="H40" i="69"/>
  <c r="D40" i="69"/>
  <c r="B40" i="69"/>
  <c r="X39" i="69"/>
  <c r="T39" i="69"/>
  <c r="Z39" i="69" s="1"/>
  <c r="P39" i="69"/>
  <c r="N39" i="69"/>
  <c r="L39" i="69"/>
  <c r="H39" i="69"/>
  <c r="D39" i="69"/>
  <c r="B39" i="69"/>
  <c r="T38" i="69"/>
  <c r="P38" i="69"/>
  <c r="N38" i="69"/>
  <c r="H38" i="69"/>
  <c r="D38" i="69"/>
  <c r="L38" i="69" s="1"/>
  <c r="B38" i="69"/>
  <c r="T37" i="69"/>
  <c r="P37" i="69"/>
  <c r="H37" i="69"/>
  <c r="D37" i="69"/>
  <c r="L37" i="69" s="1"/>
  <c r="N37" i="69" s="1"/>
  <c r="B37" i="69"/>
  <c r="X36" i="69"/>
  <c r="T36" i="69"/>
  <c r="Z36" i="69" s="1"/>
  <c r="P36" i="69"/>
  <c r="L36" i="69"/>
  <c r="N36" i="69" s="1"/>
  <c r="H36" i="69"/>
  <c r="D36" i="69"/>
  <c r="B36" i="69"/>
  <c r="X35" i="69"/>
  <c r="T35" i="69"/>
  <c r="Z35" i="69" s="1"/>
  <c r="P35" i="69"/>
  <c r="N35" i="69"/>
  <c r="L35" i="69"/>
  <c r="H35" i="69"/>
  <c r="D35" i="69"/>
  <c r="B35" i="69"/>
  <c r="T34" i="69"/>
  <c r="P34" i="69"/>
  <c r="H34" i="69"/>
  <c r="D34" i="69"/>
  <c r="L34" i="69" s="1"/>
  <c r="N34" i="69" s="1"/>
  <c r="B34" i="69"/>
  <c r="T33" i="69"/>
  <c r="P33" i="69"/>
  <c r="H33" i="69"/>
  <c r="D33" i="69"/>
  <c r="L33" i="69" s="1"/>
  <c r="N33" i="69" s="1"/>
  <c r="B33" i="69"/>
  <c r="X32" i="69"/>
  <c r="T32" i="69"/>
  <c r="Z32" i="69" s="1"/>
  <c r="P32" i="69"/>
  <c r="L32" i="69"/>
  <c r="N32" i="69" s="1"/>
  <c r="H32" i="69"/>
  <c r="D32" i="69"/>
  <c r="B32" i="69"/>
  <c r="X31" i="69"/>
  <c r="T31" i="69"/>
  <c r="Z31" i="69" s="1"/>
  <c r="P31" i="69"/>
  <c r="N31" i="69"/>
  <c r="L31" i="69"/>
  <c r="H31" i="69"/>
  <c r="D31" i="69"/>
  <c r="B31" i="69"/>
  <c r="T30" i="69"/>
  <c r="P30" i="69"/>
  <c r="N30" i="69"/>
  <c r="H30" i="69"/>
  <c r="D30" i="69"/>
  <c r="L30" i="69" s="1"/>
  <c r="B30" i="69"/>
  <c r="T29" i="69"/>
  <c r="P29" i="69"/>
  <c r="H29" i="69"/>
  <c r="D29" i="69"/>
  <c r="L29" i="69" s="1"/>
  <c r="N29" i="69" s="1"/>
  <c r="B29" i="69"/>
  <c r="X28" i="69"/>
  <c r="T28" i="69"/>
  <c r="Z28" i="69" s="1"/>
  <c r="P28" i="69"/>
  <c r="L28" i="69"/>
  <c r="N28" i="69" s="1"/>
  <c r="H28" i="69"/>
  <c r="D28" i="69"/>
  <c r="B28" i="69"/>
  <c r="X27" i="69"/>
  <c r="T27" i="69"/>
  <c r="P27" i="69"/>
  <c r="N27" i="69"/>
  <c r="L27" i="69"/>
  <c r="H27" i="69"/>
  <c r="D27" i="69"/>
  <c r="B27" i="69"/>
  <c r="T26" i="69"/>
  <c r="P26" i="69"/>
  <c r="H26" i="69"/>
  <c r="D26" i="69"/>
  <c r="L26" i="69" s="1"/>
  <c r="N26" i="69" s="1"/>
  <c r="B26" i="69"/>
  <c r="T25" i="69"/>
  <c r="P25" i="69"/>
  <c r="H25" i="69"/>
  <c r="D25" i="69"/>
  <c r="L25" i="69" s="1"/>
  <c r="N25" i="69" s="1"/>
  <c r="B25" i="69"/>
  <c r="X24" i="69"/>
  <c r="T24" i="69"/>
  <c r="Z24" i="69" s="1"/>
  <c r="P24" i="69"/>
  <c r="L24" i="69"/>
  <c r="N24" i="69" s="1"/>
  <c r="H24" i="69"/>
  <c r="D24" i="69"/>
  <c r="B24" i="69"/>
  <c r="X23" i="69"/>
  <c r="T23" i="69"/>
  <c r="P23" i="69"/>
  <c r="N23" i="69"/>
  <c r="L23" i="69"/>
  <c r="H23" i="69"/>
  <c r="D23" i="69"/>
  <c r="B23" i="69"/>
  <c r="T22" i="69"/>
  <c r="P22" i="69"/>
  <c r="N22" i="69"/>
  <c r="H22" i="69"/>
  <c r="D22" i="69"/>
  <c r="L22" i="69" s="1"/>
  <c r="B22" i="69"/>
  <c r="T21" i="69"/>
  <c r="P21" i="69"/>
  <c r="H21" i="69"/>
  <c r="D21" i="69"/>
  <c r="L21" i="69" s="1"/>
  <c r="N21" i="69" s="1"/>
  <c r="B21" i="69"/>
  <c r="X20" i="69"/>
  <c r="T20" i="69"/>
  <c r="Z20" i="69" s="1"/>
  <c r="P20" i="69"/>
  <c r="L20" i="69"/>
  <c r="N20" i="69" s="1"/>
  <c r="H20" i="69"/>
  <c r="D20" i="69"/>
  <c r="B20" i="69"/>
  <c r="X19" i="69"/>
  <c r="T19" i="69"/>
  <c r="P19" i="69"/>
  <c r="N19" i="69"/>
  <c r="L19" i="69"/>
  <c r="H19" i="69"/>
  <c r="D19" i="69"/>
  <c r="B19" i="69"/>
  <c r="T18" i="69"/>
  <c r="P18" i="69"/>
  <c r="H18" i="69"/>
  <c r="D18" i="69"/>
  <c r="L18" i="69" s="1"/>
  <c r="N18" i="69" s="1"/>
  <c r="B18" i="69"/>
  <c r="T17" i="69"/>
  <c r="P17" i="69"/>
  <c r="H17" i="69"/>
  <c r="D17" i="69"/>
  <c r="L17" i="69" s="1"/>
  <c r="N17" i="69" s="1"/>
  <c r="B17" i="69"/>
  <c r="T16" i="69"/>
  <c r="P16" i="69"/>
  <c r="L16" i="69"/>
  <c r="N16" i="69" s="1"/>
  <c r="H16" i="69"/>
  <c r="D16" i="69"/>
  <c r="B16" i="69"/>
  <c r="X15" i="69"/>
  <c r="T15" i="69"/>
  <c r="P15" i="69"/>
  <c r="L15" i="69"/>
  <c r="N15" i="69" s="1"/>
  <c r="H15" i="69"/>
  <c r="D15" i="69"/>
  <c r="B15" i="69"/>
  <c r="T14" i="69"/>
  <c r="T12" i="69" s="1"/>
  <c r="P14" i="69"/>
  <c r="N14" i="69"/>
  <c r="H14" i="69"/>
  <c r="H12" i="69" s="1"/>
  <c r="D14" i="69"/>
  <c r="L14" i="69" s="1"/>
  <c r="B14" i="69"/>
  <c r="T13" i="69"/>
  <c r="Z13" i="69" s="1"/>
  <c r="P13" i="69"/>
  <c r="P12" i="69" s="1"/>
  <c r="N13" i="69"/>
  <c r="H13" i="69"/>
  <c r="D13" i="69"/>
  <c r="B13" i="69"/>
  <c r="D6" i="69"/>
  <c r="D4" i="69"/>
  <c r="Z56" i="68"/>
  <c r="X56" i="68"/>
  <c r="N56" i="68"/>
  <c r="L56" i="68"/>
  <c r="R54" i="68"/>
  <c r="T52" i="68"/>
  <c r="Z52" i="68" s="1"/>
  <c r="R52" i="68"/>
  <c r="P52" i="68"/>
  <c r="X52" i="68" s="1"/>
  <c r="N52" i="68"/>
  <c r="L52" i="68"/>
  <c r="H52" i="68"/>
  <c r="D52" i="68"/>
  <c r="X50" i="68"/>
  <c r="Z50" i="68" s="1"/>
  <c r="N50" i="68"/>
  <c r="L50" i="68"/>
  <c r="B50" i="68"/>
  <c r="T49" i="68"/>
  <c r="P49" i="68"/>
  <c r="X49" i="68" s="1"/>
  <c r="L49" i="68"/>
  <c r="H49" i="68"/>
  <c r="N49" i="68" s="1"/>
  <c r="D49" i="68"/>
  <c r="B49" i="68"/>
  <c r="X48" i="68"/>
  <c r="Z48" i="68" s="1"/>
  <c r="N48" i="68"/>
  <c r="L48" i="68"/>
  <c r="J48" i="68"/>
  <c r="B48" i="68"/>
  <c r="X47" i="68"/>
  <c r="Z47" i="68" s="1"/>
  <c r="T47" i="68"/>
  <c r="P47" i="68"/>
  <c r="H47" i="68"/>
  <c r="D47" i="68"/>
  <c r="B47" i="68"/>
  <c r="Z46" i="68"/>
  <c r="X46" i="68"/>
  <c r="N46" i="68"/>
  <c r="L46" i="68"/>
  <c r="J46" i="68"/>
  <c r="B46" i="68"/>
  <c r="X45" i="68"/>
  <c r="Z45" i="68" s="1"/>
  <c r="N45" i="68"/>
  <c r="L45" i="68"/>
  <c r="B45" i="68"/>
  <c r="Z44" i="68"/>
  <c r="X44" i="68"/>
  <c r="V44" i="68"/>
  <c r="L44" i="68"/>
  <c r="N44" i="68" s="1"/>
  <c r="B44" i="68"/>
  <c r="T43" i="68"/>
  <c r="P43" i="68"/>
  <c r="X43" i="68" s="1"/>
  <c r="H43" i="68"/>
  <c r="D43" i="68"/>
  <c r="B43" i="68"/>
  <c r="X42" i="68"/>
  <c r="Z42" i="68" s="1"/>
  <c r="V42" i="68"/>
  <c r="N42" i="68"/>
  <c r="L42" i="68"/>
  <c r="B42" i="68"/>
  <c r="T41" i="68"/>
  <c r="P41" i="68"/>
  <c r="X41" i="68" s="1"/>
  <c r="L41" i="68"/>
  <c r="H41" i="68"/>
  <c r="D41" i="68"/>
  <c r="B41" i="68"/>
  <c r="X40" i="68"/>
  <c r="Z40" i="68" s="1"/>
  <c r="N40" i="68"/>
  <c r="L40" i="68"/>
  <c r="J40" i="68"/>
  <c r="B40" i="68"/>
  <c r="X39" i="68"/>
  <c r="Z39" i="68" s="1"/>
  <c r="T39" i="68"/>
  <c r="P39" i="68"/>
  <c r="H39" i="68"/>
  <c r="D39" i="68"/>
  <c r="B39" i="68"/>
  <c r="Z38" i="68"/>
  <c r="X38" i="68"/>
  <c r="L38" i="68"/>
  <c r="N38" i="68" s="1"/>
  <c r="J38" i="68"/>
  <c r="B38" i="68"/>
  <c r="T37" i="68"/>
  <c r="P37" i="68"/>
  <c r="H37" i="68"/>
  <c r="D37" i="68"/>
  <c r="B37" i="68"/>
  <c r="X36" i="68"/>
  <c r="Z36" i="68" s="1"/>
  <c r="N36" i="68"/>
  <c r="L36" i="68"/>
  <c r="B36" i="68"/>
  <c r="X35" i="68"/>
  <c r="T35" i="68"/>
  <c r="Z35" i="68" s="1"/>
  <c r="P35" i="68"/>
  <c r="H35" i="68"/>
  <c r="N35" i="68" s="1"/>
  <c r="D35" i="68"/>
  <c r="L35" i="68" s="1"/>
  <c r="B35" i="68"/>
  <c r="Z34" i="68"/>
  <c r="X34" i="68"/>
  <c r="N34" i="68"/>
  <c r="L34" i="68"/>
  <c r="B34" i="68"/>
  <c r="X33" i="68"/>
  <c r="Z33" i="68" s="1"/>
  <c r="R33" i="68"/>
  <c r="L33" i="68"/>
  <c r="N33" i="68" s="1"/>
  <c r="F33" i="68"/>
  <c r="B33" i="68"/>
  <c r="X32" i="68"/>
  <c r="Z32" i="68" s="1"/>
  <c r="N32" i="68"/>
  <c r="L32" i="68"/>
  <c r="J32" i="68"/>
  <c r="B32" i="68"/>
  <c r="X31" i="68"/>
  <c r="Z31" i="68" s="1"/>
  <c r="N31" i="68"/>
  <c r="L31" i="68"/>
  <c r="F31" i="68"/>
  <c r="B31" i="68"/>
  <c r="Z30" i="68"/>
  <c r="X30" i="68"/>
  <c r="R30" i="68"/>
  <c r="N30" i="68"/>
  <c r="L30" i="68"/>
  <c r="B30" i="68"/>
  <c r="X29" i="68"/>
  <c r="T29" i="68"/>
  <c r="P29" i="68"/>
  <c r="L29" i="68"/>
  <c r="N29" i="68" s="1"/>
  <c r="H29" i="68"/>
  <c r="D29" i="68"/>
  <c r="B29" i="68"/>
  <c r="Z28" i="68"/>
  <c r="X28" i="68"/>
  <c r="V28" i="68"/>
  <c r="L28" i="68"/>
  <c r="N28" i="68" s="1"/>
  <c r="J28" i="68"/>
  <c r="B28" i="68"/>
  <c r="Z27" i="68"/>
  <c r="X27" i="68"/>
  <c r="R27" i="68"/>
  <c r="L27" i="68"/>
  <c r="N27" i="68" s="1"/>
  <c r="B27" i="68"/>
  <c r="Z26" i="68"/>
  <c r="X26" i="68"/>
  <c r="L26" i="68"/>
  <c r="N26" i="68" s="1"/>
  <c r="J26" i="68"/>
  <c r="B26" i="68"/>
  <c r="X25" i="68"/>
  <c r="Z25" i="68" s="1"/>
  <c r="R25" i="68"/>
  <c r="L25" i="68"/>
  <c r="N25" i="68" s="1"/>
  <c r="B25" i="68"/>
  <c r="Z24" i="68"/>
  <c r="X24" i="68"/>
  <c r="V24" i="68"/>
  <c r="L24" i="68"/>
  <c r="N24" i="68" s="1"/>
  <c r="J24" i="68"/>
  <c r="B24" i="68"/>
  <c r="Z23" i="68"/>
  <c r="X23" i="68"/>
  <c r="R23" i="68"/>
  <c r="L23" i="68"/>
  <c r="N23" i="68" s="1"/>
  <c r="B23" i="68"/>
  <c r="Z22" i="68"/>
  <c r="X22" i="68"/>
  <c r="L22" i="68"/>
  <c r="N22" i="68" s="1"/>
  <c r="J22" i="68"/>
  <c r="B22" i="68"/>
  <c r="X21" i="68"/>
  <c r="Z21" i="68" s="1"/>
  <c r="R21" i="68"/>
  <c r="N21" i="68"/>
  <c r="L21" i="68"/>
  <c r="B21" i="68"/>
  <c r="Z20" i="68"/>
  <c r="X20" i="68"/>
  <c r="L20" i="68"/>
  <c r="N20" i="68" s="1"/>
  <c r="J20" i="68"/>
  <c r="B20" i="68"/>
  <c r="T19" i="68"/>
  <c r="P19" i="68"/>
  <c r="J19" i="68"/>
  <c r="H19" i="68"/>
  <c r="D19" i="68"/>
  <c r="B19" i="68"/>
  <c r="V18" i="68"/>
  <c r="T18" i="68"/>
  <c r="R18" i="68"/>
  <c r="P18" i="68"/>
  <c r="X18" i="68" s="1"/>
  <c r="L18" i="68"/>
  <c r="N18" i="68" s="1"/>
  <c r="J18" i="68"/>
  <c r="H18" i="68"/>
  <c r="D18" i="68"/>
  <c r="V16" i="68"/>
  <c r="R16" i="68"/>
  <c r="J16" i="68"/>
  <c r="D16" i="68"/>
  <c r="D54" i="68" s="1"/>
  <c r="V14" i="68"/>
  <c r="T14" i="68"/>
  <c r="Z14" i="68" s="1"/>
  <c r="R14" i="68"/>
  <c r="P14" i="68"/>
  <c r="X14" i="68" s="1"/>
  <c r="N14" i="68"/>
  <c r="L14" i="68"/>
  <c r="J14" i="68"/>
  <c r="H14" i="68"/>
  <c r="D14" i="68"/>
  <c r="T12" i="68"/>
  <c r="P12" i="68"/>
  <c r="R44" i="68" s="1"/>
  <c r="N12" i="68"/>
  <c r="H12" i="68"/>
  <c r="J49" i="68" s="1"/>
  <c r="D12" i="68"/>
  <c r="D6" i="68"/>
  <c r="D4" i="68"/>
  <c r="V99" i="64"/>
  <c r="V96" i="64"/>
  <c r="Z94" i="64"/>
  <c r="X94" i="64"/>
  <c r="V94" i="64"/>
  <c r="N94" i="64"/>
  <c r="L94" i="64"/>
  <c r="F94" i="64"/>
  <c r="T90" i="64"/>
  <c r="P90" i="64"/>
  <c r="H90" i="64"/>
  <c r="D90" i="64"/>
  <c r="L90" i="64" s="1"/>
  <c r="N90" i="64" s="1"/>
  <c r="B90" i="64"/>
  <c r="V89" i="64"/>
  <c r="T89" i="64"/>
  <c r="P89" i="64"/>
  <c r="P88" i="64" s="1"/>
  <c r="H89" i="64"/>
  <c r="F89" i="64"/>
  <c r="D89" i="64"/>
  <c r="B89" i="64"/>
  <c r="H88" i="64"/>
  <c r="F88" i="64"/>
  <c r="X86" i="64"/>
  <c r="Z86" i="64" s="1"/>
  <c r="N86" i="64"/>
  <c r="L86" i="64"/>
  <c r="B86" i="64"/>
  <c r="Z85" i="64"/>
  <c r="X85" i="64"/>
  <c r="V85" i="64"/>
  <c r="T85" i="64"/>
  <c r="R85" i="64"/>
  <c r="P85" i="64"/>
  <c r="L85" i="64"/>
  <c r="H85" i="64"/>
  <c r="N85" i="64" s="1"/>
  <c r="D85" i="64"/>
  <c r="B85" i="64"/>
  <c r="Z84" i="64"/>
  <c r="X84" i="64"/>
  <c r="R84" i="64"/>
  <c r="L84" i="64"/>
  <c r="N84" i="64" s="1"/>
  <c r="B84" i="64"/>
  <c r="X83" i="64"/>
  <c r="Z83" i="64" s="1"/>
  <c r="V83" i="64"/>
  <c r="R83" i="64"/>
  <c r="N83" i="64"/>
  <c r="L83" i="64"/>
  <c r="B83" i="64"/>
  <c r="T82" i="64"/>
  <c r="P82" i="64"/>
  <c r="X82" i="64" s="1"/>
  <c r="Z82" i="64" s="1"/>
  <c r="N82" i="64"/>
  <c r="H82" i="64"/>
  <c r="L82" i="64" s="1"/>
  <c r="D82" i="64"/>
  <c r="B82" i="64"/>
  <c r="Z81" i="64"/>
  <c r="X81" i="64"/>
  <c r="L81" i="64"/>
  <c r="N81" i="64" s="1"/>
  <c r="B81" i="64"/>
  <c r="V80" i="64"/>
  <c r="T80" i="64"/>
  <c r="P80" i="64"/>
  <c r="L80" i="64"/>
  <c r="H80" i="64"/>
  <c r="D80" i="64"/>
  <c r="B80" i="64"/>
  <c r="X79" i="64"/>
  <c r="Z79" i="64" s="1"/>
  <c r="L79" i="64"/>
  <c r="N79" i="64" s="1"/>
  <c r="F79" i="64"/>
  <c r="B79" i="64"/>
  <c r="X78" i="64"/>
  <c r="T78" i="64"/>
  <c r="Z78" i="64" s="1"/>
  <c r="R78" i="64"/>
  <c r="P78" i="64"/>
  <c r="H78" i="64"/>
  <c r="F78" i="64"/>
  <c r="D78" i="64"/>
  <c r="L78" i="64" s="1"/>
  <c r="B78" i="64"/>
  <c r="Z77" i="64"/>
  <c r="X77" i="64"/>
  <c r="R77" i="64"/>
  <c r="N77" i="64"/>
  <c r="L77" i="64"/>
  <c r="B77" i="64"/>
  <c r="Z76" i="64"/>
  <c r="X76" i="64"/>
  <c r="R76" i="64"/>
  <c r="L76" i="64"/>
  <c r="N76" i="64" s="1"/>
  <c r="B76" i="64"/>
  <c r="X75" i="64"/>
  <c r="Z75" i="64" s="1"/>
  <c r="V75" i="64"/>
  <c r="R75" i="64"/>
  <c r="N75" i="64"/>
  <c r="L75" i="64"/>
  <c r="B75" i="64"/>
  <c r="Z74" i="64"/>
  <c r="X74" i="64"/>
  <c r="L74" i="64"/>
  <c r="N74" i="64" s="1"/>
  <c r="B74" i="64"/>
  <c r="Z73" i="64"/>
  <c r="X73" i="64"/>
  <c r="R73" i="64"/>
  <c r="N73" i="64"/>
  <c r="L73" i="64"/>
  <c r="B73" i="64"/>
  <c r="Z72" i="64"/>
  <c r="T72" i="64"/>
  <c r="X72" i="64" s="1"/>
  <c r="P72" i="64"/>
  <c r="H72" i="64"/>
  <c r="D72" i="64"/>
  <c r="L72" i="64" s="1"/>
  <c r="N72" i="64" s="1"/>
  <c r="B72" i="64"/>
  <c r="Z71" i="64"/>
  <c r="X71" i="64"/>
  <c r="V71" i="64"/>
  <c r="L71" i="64"/>
  <c r="N71" i="64" s="1"/>
  <c r="B71" i="64"/>
  <c r="X70" i="64"/>
  <c r="V70" i="64"/>
  <c r="T70" i="64"/>
  <c r="Z70" i="64" s="1"/>
  <c r="P70" i="64"/>
  <c r="H70" i="64"/>
  <c r="N70" i="64" s="1"/>
  <c r="D70" i="64"/>
  <c r="L70" i="64" s="1"/>
  <c r="B70" i="64"/>
  <c r="Z69" i="64"/>
  <c r="X69" i="64"/>
  <c r="V69" i="64"/>
  <c r="N69" i="64"/>
  <c r="L69" i="64"/>
  <c r="B69" i="64"/>
  <c r="Z68" i="64"/>
  <c r="X68" i="64"/>
  <c r="R68" i="64"/>
  <c r="N68" i="64"/>
  <c r="L68" i="64"/>
  <c r="F68" i="64"/>
  <c r="B68" i="64"/>
  <c r="X67" i="64"/>
  <c r="Z67" i="64" s="1"/>
  <c r="L67" i="64"/>
  <c r="N67" i="64" s="1"/>
  <c r="F67" i="64"/>
  <c r="B67" i="64"/>
  <c r="X66" i="64"/>
  <c r="T66" i="64"/>
  <c r="R66" i="64"/>
  <c r="P66" i="64"/>
  <c r="H66" i="64"/>
  <c r="F66" i="64"/>
  <c r="D66" i="64"/>
  <c r="L66" i="64" s="1"/>
  <c r="B66" i="64"/>
  <c r="Z65" i="64"/>
  <c r="X65" i="64"/>
  <c r="R65" i="64"/>
  <c r="N65" i="64"/>
  <c r="L65" i="64"/>
  <c r="B65" i="64"/>
  <c r="Z64" i="64"/>
  <c r="X64" i="64"/>
  <c r="R64" i="64"/>
  <c r="L64" i="64"/>
  <c r="N64" i="64" s="1"/>
  <c r="B64" i="64"/>
  <c r="X63" i="64"/>
  <c r="Z63" i="64" s="1"/>
  <c r="V63" i="64"/>
  <c r="R63" i="64"/>
  <c r="N63" i="64"/>
  <c r="L63" i="64"/>
  <c r="J63" i="64"/>
  <c r="B63" i="64"/>
  <c r="T62" i="64"/>
  <c r="P62" i="64"/>
  <c r="X62" i="64" s="1"/>
  <c r="Z62" i="64" s="1"/>
  <c r="H62" i="64"/>
  <c r="L62" i="64" s="1"/>
  <c r="D62" i="64"/>
  <c r="B62" i="64"/>
  <c r="Z61" i="64"/>
  <c r="X61" i="64"/>
  <c r="N61" i="64"/>
  <c r="L61" i="64"/>
  <c r="B61" i="64"/>
  <c r="V60" i="64"/>
  <c r="T60" i="64"/>
  <c r="P60" i="64"/>
  <c r="X60" i="64" s="1"/>
  <c r="L60" i="64"/>
  <c r="H60" i="64"/>
  <c r="N60" i="64" s="1"/>
  <c r="D60" i="64"/>
  <c r="B60" i="64"/>
  <c r="X59" i="64"/>
  <c r="Z59" i="64" s="1"/>
  <c r="N59" i="64"/>
  <c r="L59" i="64"/>
  <c r="J59" i="64"/>
  <c r="F59" i="64"/>
  <c r="B59" i="64"/>
  <c r="X58" i="64"/>
  <c r="T58" i="64"/>
  <c r="R58" i="64"/>
  <c r="P58" i="64"/>
  <c r="H58" i="64"/>
  <c r="N58" i="64" s="1"/>
  <c r="F58" i="64"/>
  <c r="D58" i="64"/>
  <c r="L58" i="64" s="1"/>
  <c r="B58" i="64"/>
  <c r="Z57" i="64"/>
  <c r="X57" i="64"/>
  <c r="R57" i="64"/>
  <c r="N57" i="64"/>
  <c r="L57" i="64"/>
  <c r="B57" i="64"/>
  <c r="Z56" i="64"/>
  <c r="T56" i="64"/>
  <c r="X56" i="64" s="1"/>
  <c r="P56" i="64"/>
  <c r="H56" i="64"/>
  <c r="D56" i="64"/>
  <c r="L56" i="64" s="1"/>
  <c r="N56" i="64" s="1"/>
  <c r="B56" i="64"/>
  <c r="Z55" i="64"/>
  <c r="X55" i="64"/>
  <c r="V55" i="64"/>
  <c r="N55" i="64"/>
  <c r="L55" i="64"/>
  <c r="B55" i="64"/>
  <c r="V54" i="64"/>
  <c r="T54" i="64"/>
  <c r="P54" i="64"/>
  <c r="X54" i="64" s="1"/>
  <c r="H54" i="64"/>
  <c r="N54" i="64" s="1"/>
  <c r="D54" i="64"/>
  <c r="L54" i="64" s="1"/>
  <c r="B54" i="64"/>
  <c r="Z53" i="64"/>
  <c r="X53" i="64"/>
  <c r="V53" i="64"/>
  <c r="N53" i="64"/>
  <c r="L53" i="64"/>
  <c r="B53" i="64"/>
  <c r="T52" i="64"/>
  <c r="R52" i="64"/>
  <c r="P52" i="64"/>
  <c r="X52" i="64" s="1"/>
  <c r="L52" i="64"/>
  <c r="H52" i="64"/>
  <c r="N52" i="64" s="1"/>
  <c r="D52" i="64"/>
  <c r="B52" i="64"/>
  <c r="X51" i="64"/>
  <c r="Z51" i="64" s="1"/>
  <c r="V51" i="64"/>
  <c r="R51" i="64"/>
  <c r="N51" i="64"/>
  <c r="L51" i="64"/>
  <c r="B51" i="64"/>
  <c r="T50" i="64"/>
  <c r="P50" i="64"/>
  <c r="X50" i="64" s="1"/>
  <c r="Z50" i="64" s="1"/>
  <c r="N50" i="64"/>
  <c r="H50" i="64"/>
  <c r="L50" i="64" s="1"/>
  <c r="D50" i="64"/>
  <c r="B50" i="64"/>
  <c r="Z49" i="64"/>
  <c r="X49" i="64"/>
  <c r="L49" i="64"/>
  <c r="N49" i="64" s="1"/>
  <c r="B49" i="64"/>
  <c r="V48" i="64"/>
  <c r="T48" i="64"/>
  <c r="Z48" i="64" s="1"/>
  <c r="P48" i="64"/>
  <c r="X48" i="64" s="1"/>
  <c r="L48" i="64"/>
  <c r="H48" i="64"/>
  <c r="N48" i="64" s="1"/>
  <c r="D48" i="64"/>
  <c r="B48" i="64"/>
  <c r="X47" i="64"/>
  <c r="Z47" i="64" s="1"/>
  <c r="L47" i="64"/>
  <c r="N47" i="64" s="1"/>
  <c r="F47" i="64"/>
  <c r="B47" i="64"/>
  <c r="Z46" i="64"/>
  <c r="X46" i="64"/>
  <c r="N46" i="64"/>
  <c r="L46" i="64"/>
  <c r="B46" i="64"/>
  <c r="Z45" i="64"/>
  <c r="X45" i="64"/>
  <c r="V45" i="64"/>
  <c r="T45" i="64"/>
  <c r="R45" i="64"/>
  <c r="P45" i="64"/>
  <c r="L45" i="64"/>
  <c r="H45" i="64"/>
  <c r="N45" i="64" s="1"/>
  <c r="D45" i="64"/>
  <c r="B45" i="64"/>
  <c r="Z44" i="64"/>
  <c r="X44" i="64"/>
  <c r="R44" i="64"/>
  <c r="L44" i="64"/>
  <c r="N44" i="64" s="1"/>
  <c r="B44" i="64"/>
  <c r="X43" i="64"/>
  <c r="Z43" i="64" s="1"/>
  <c r="V43" i="64"/>
  <c r="R43" i="64"/>
  <c r="N43" i="64"/>
  <c r="L43" i="64"/>
  <c r="B43" i="64"/>
  <c r="T42" i="64"/>
  <c r="P42" i="64"/>
  <c r="X42" i="64" s="1"/>
  <c r="Z42" i="64" s="1"/>
  <c r="N42" i="64"/>
  <c r="H42" i="64"/>
  <c r="L42" i="64" s="1"/>
  <c r="D42" i="64"/>
  <c r="B42" i="64"/>
  <c r="Z41" i="64"/>
  <c r="X41" i="64"/>
  <c r="L41" i="64"/>
  <c r="N41" i="64" s="1"/>
  <c r="B41" i="64"/>
  <c r="V40" i="64"/>
  <c r="T40" i="64"/>
  <c r="P40" i="64"/>
  <c r="X40" i="64" s="1"/>
  <c r="L40" i="64"/>
  <c r="H40" i="64"/>
  <c r="D40" i="64"/>
  <c r="B40" i="64"/>
  <c r="X39" i="64"/>
  <c r="Z39" i="64" s="1"/>
  <c r="L39" i="64"/>
  <c r="N39" i="64" s="1"/>
  <c r="F39" i="64"/>
  <c r="B39" i="64"/>
  <c r="X38" i="64"/>
  <c r="T38" i="64"/>
  <c r="Z38" i="64" s="1"/>
  <c r="R38" i="64"/>
  <c r="P38" i="64"/>
  <c r="H38" i="64"/>
  <c r="F38" i="64"/>
  <c r="D38" i="64"/>
  <c r="L38" i="64" s="1"/>
  <c r="B38" i="64"/>
  <c r="Z37" i="64"/>
  <c r="X37" i="64"/>
  <c r="R37" i="64"/>
  <c r="N37" i="64"/>
  <c r="L37" i="64"/>
  <c r="B37" i="64"/>
  <c r="Z36" i="64"/>
  <c r="T36" i="64"/>
  <c r="X36" i="64" s="1"/>
  <c r="P36" i="64"/>
  <c r="H36" i="64"/>
  <c r="D36" i="64"/>
  <c r="L36" i="64" s="1"/>
  <c r="N36" i="64" s="1"/>
  <c r="B36" i="64"/>
  <c r="Z35" i="64"/>
  <c r="X35" i="64"/>
  <c r="V35" i="64"/>
  <c r="L35" i="64"/>
  <c r="N35" i="64" s="1"/>
  <c r="B35" i="64"/>
  <c r="X34" i="64"/>
  <c r="Z34" i="64" s="1"/>
  <c r="V34" i="64"/>
  <c r="R34" i="64"/>
  <c r="L34" i="64"/>
  <c r="N34" i="64" s="1"/>
  <c r="B34" i="64"/>
  <c r="Z33" i="64"/>
  <c r="X33" i="64"/>
  <c r="L33" i="64"/>
  <c r="N33" i="64" s="1"/>
  <c r="B33" i="64"/>
  <c r="X32" i="64"/>
  <c r="Z32" i="64" s="1"/>
  <c r="V32" i="64"/>
  <c r="N32" i="64"/>
  <c r="L32" i="64"/>
  <c r="F32" i="64"/>
  <c r="B32" i="64"/>
  <c r="Z31" i="64"/>
  <c r="X31" i="64"/>
  <c r="V31" i="64"/>
  <c r="N31" i="64"/>
  <c r="L31" i="64"/>
  <c r="B31" i="64"/>
  <c r="X30" i="64"/>
  <c r="Z30" i="64" s="1"/>
  <c r="V30" i="64"/>
  <c r="R30" i="64"/>
  <c r="L30" i="64"/>
  <c r="N30" i="64" s="1"/>
  <c r="B30" i="64"/>
  <c r="Z29" i="64"/>
  <c r="X29" i="64"/>
  <c r="N29" i="64"/>
  <c r="L29" i="64"/>
  <c r="B29" i="64"/>
  <c r="V28" i="64"/>
  <c r="T28" i="64"/>
  <c r="P28" i="64"/>
  <c r="X28" i="64" s="1"/>
  <c r="L28" i="64"/>
  <c r="J28" i="64"/>
  <c r="H28" i="64"/>
  <c r="N28" i="64" s="1"/>
  <c r="D28" i="64"/>
  <c r="B28" i="64"/>
  <c r="X27" i="64"/>
  <c r="Z27" i="64" s="1"/>
  <c r="V27" i="64"/>
  <c r="L27" i="64"/>
  <c r="N27" i="64" s="1"/>
  <c r="F27" i="64"/>
  <c r="B27" i="64"/>
  <c r="X26" i="64"/>
  <c r="Z26" i="64" s="1"/>
  <c r="N26" i="64"/>
  <c r="L26" i="64"/>
  <c r="B26" i="64"/>
  <c r="X25" i="64"/>
  <c r="Z25" i="64" s="1"/>
  <c r="V25" i="64"/>
  <c r="N25" i="64"/>
  <c r="L25" i="64"/>
  <c r="B25" i="64"/>
  <c r="Z24" i="64"/>
  <c r="X24" i="64"/>
  <c r="V24" i="64"/>
  <c r="R24" i="64"/>
  <c r="N24" i="64"/>
  <c r="L24" i="64"/>
  <c r="F24" i="64"/>
  <c r="B24" i="64"/>
  <c r="X23" i="64"/>
  <c r="Z23" i="64" s="1"/>
  <c r="V23" i="64"/>
  <c r="L23" i="64"/>
  <c r="N23" i="64" s="1"/>
  <c r="F23" i="64"/>
  <c r="B23" i="64"/>
  <c r="X22" i="64"/>
  <c r="Z22" i="64" s="1"/>
  <c r="N22" i="64"/>
  <c r="L22" i="64"/>
  <c r="B22" i="64"/>
  <c r="X21" i="64"/>
  <c r="Z21" i="64" s="1"/>
  <c r="V21" i="64"/>
  <c r="N21" i="64"/>
  <c r="L21" i="64"/>
  <c r="B21" i="64"/>
  <c r="Z20" i="64"/>
  <c r="X20" i="64"/>
  <c r="V20" i="64"/>
  <c r="R20" i="64"/>
  <c r="N20" i="64"/>
  <c r="L20" i="64"/>
  <c r="F20" i="64"/>
  <c r="B20" i="64"/>
  <c r="X19" i="64"/>
  <c r="V19" i="64"/>
  <c r="T19" i="64"/>
  <c r="Z19" i="64" s="1"/>
  <c r="P19" i="64"/>
  <c r="N19" i="64"/>
  <c r="L19" i="64"/>
  <c r="H19" i="64"/>
  <c r="F19" i="64"/>
  <c r="D19" i="64"/>
  <c r="B19" i="64"/>
  <c r="T18" i="64"/>
  <c r="P18" i="64"/>
  <c r="X18" i="64" s="1"/>
  <c r="Z18" i="64" s="1"/>
  <c r="H18" i="64"/>
  <c r="L18" i="64" s="1"/>
  <c r="D18" i="64"/>
  <c r="Z14" i="64"/>
  <c r="T14" i="64"/>
  <c r="T16" i="64" s="1"/>
  <c r="Z16" i="64" s="1"/>
  <c r="P14" i="64"/>
  <c r="N14" i="64"/>
  <c r="H14" i="64"/>
  <c r="L14" i="64" s="1"/>
  <c r="D14" i="64"/>
  <c r="Z12" i="64"/>
  <c r="T12" i="64"/>
  <c r="V79" i="64" s="1"/>
  <c r="P12" i="64"/>
  <c r="R94" i="64" s="1"/>
  <c r="H12" i="64"/>
  <c r="J83" i="64" s="1"/>
  <c r="D12" i="64"/>
  <c r="F84" i="64" s="1"/>
  <c r="D6" i="64"/>
  <c r="D4" i="64"/>
  <c r="V58" i="61"/>
  <c r="J58" i="61"/>
  <c r="V55" i="61"/>
  <c r="Z53" i="61"/>
  <c r="X53" i="61"/>
  <c r="V53" i="61"/>
  <c r="N53" i="61"/>
  <c r="L53" i="61"/>
  <c r="Z49" i="61"/>
  <c r="T49" i="61"/>
  <c r="X49" i="61" s="1"/>
  <c r="P49" i="61"/>
  <c r="N49" i="61"/>
  <c r="H49" i="61"/>
  <c r="D49" i="61"/>
  <c r="L49" i="61" s="1"/>
  <c r="Z47" i="61"/>
  <c r="X47" i="61"/>
  <c r="R47" i="61"/>
  <c r="L47" i="61"/>
  <c r="N47" i="61" s="1"/>
  <c r="B47" i="61"/>
  <c r="V46" i="61"/>
  <c r="T46" i="61"/>
  <c r="R46" i="61"/>
  <c r="P46" i="61"/>
  <c r="H46" i="61"/>
  <c r="D46" i="61"/>
  <c r="L46" i="61" s="1"/>
  <c r="N46" i="61" s="1"/>
  <c r="B46" i="61"/>
  <c r="X45" i="61"/>
  <c r="Z45" i="61" s="1"/>
  <c r="V45" i="61"/>
  <c r="R45" i="61"/>
  <c r="L45" i="61"/>
  <c r="N45" i="61" s="1"/>
  <c r="B45" i="61"/>
  <c r="V44" i="61"/>
  <c r="T44" i="61"/>
  <c r="R44" i="61"/>
  <c r="P44" i="61"/>
  <c r="X44" i="61" s="1"/>
  <c r="H44" i="61"/>
  <c r="D44" i="61"/>
  <c r="L44" i="61" s="1"/>
  <c r="N44" i="61" s="1"/>
  <c r="B44" i="61"/>
  <c r="Z43" i="61"/>
  <c r="X43" i="61"/>
  <c r="R43" i="61"/>
  <c r="N43" i="61"/>
  <c r="L43" i="61"/>
  <c r="B43" i="61"/>
  <c r="X42" i="61"/>
  <c r="Z42" i="61" s="1"/>
  <c r="N42" i="61"/>
  <c r="L42" i="61"/>
  <c r="F42" i="61"/>
  <c r="B42" i="61"/>
  <c r="X41" i="61"/>
  <c r="T41" i="61"/>
  <c r="R41" i="61"/>
  <c r="P41" i="61"/>
  <c r="H41" i="61"/>
  <c r="F41" i="61"/>
  <c r="D41" i="61"/>
  <c r="L41" i="61" s="1"/>
  <c r="B41" i="61"/>
  <c r="Z40" i="61"/>
  <c r="X40" i="61"/>
  <c r="V40" i="61"/>
  <c r="R40" i="61"/>
  <c r="N40" i="61"/>
  <c r="L40" i="61"/>
  <c r="B40" i="61"/>
  <c r="Z39" i="61"/>
  <c r="T39" i="61"/>
  <c r="X39" i="61" s="1"/>
  <c r="P39" i="61"/>
  <c r="N39" i="61"/>
  <c r="H39" i="61"/>
  <c r="D39" i="61"/>
  <c r="L39" i="61" s="1"/>
  <c r="B39" i="61"/>
  <c r="Z38" i="61"/>
  <c r="X38" i="61"/>
  <c r="V38" i="61"/>
  <c r="L38" i="61"/>
  <c r="N38" i="61" s="1"/>
  <c r="B38" i="61"/>
  <c r="X37" i="61"/>
  <c r="V37" i="61"/>
  <c r="T37" i="61"/>
  <c r="Z37" i="61" s="1"/>
  <c r="P37" i="61"/>
  <c r="H37" i="61"/>
  <c r="D37" i="61"/>
  <c r="L37" i="61" s="1"/>
  <c r="B37" i="61"/>
  <c r="Z36" i="61"/>
  <c r="X36" i="61"/>
  <c r="V36" i="61"/>
  <c r="N36" i="61"/>
  <c r="L36" i="61"/>
  <c r="B36" i="61"/>
  <c r="T35" i="61"/>
  <c r="R35" i="61"/>
  <c r="P35" i="61"/>
  <c r="X35" i="61" s="1"/>
  <c r="L35" i="61"/>
  <c r="H35" i="61"/>
  <c r="N35" i="61" s="1"/>
  <c r="D35" i="61"/>
  <c r="B35" i="61"/>
  <c r="Z34" i="61"/>
  <c r="X34" i="61"/>
  <c r="V34" i="61"/>
  <c r="R34" i="61"/>
  <c r="N34" i="61"/>
  <c r="L34" i="61"/>
  <c r="J34" i="61"/>
  <c r="B34" i="61"/>
  <c r="Z33" i="61"/>
  <c r="X33" i="61"/>
  <c r="R33" i="61"/>
  <c r="L33" i="61"/>
  <c r="N33" i="61" s="1"/>
  <c r="B33" i="61"/>
  <c r="Z32" i="61"/>
  <c r="X32" i="61"/>
  <c r="V32" i="61"/>
  <c r="R32" i="61"/>
  <c r="N32" i="61"/>
  <c r="L32" i="61"/>
  <c r="B32" i="61"/>
  <c r="Z31" i="61"/>
  <c r="X31" i="61"/>
  <c r="R31" i="61"/>
  <c r="L31" i="61"/>
  <c r="N31" i="61" s="1"/>
  <c r="B31" i="61"/>
  <c r="Z30" i="61"/>
  <c r="X30" i="61"/>
  <c r="V30" i="61"/>
  <c r="R30" i="61"/>
  <c r="N30" i="61"/>
  <c r="L30" i="61"/>
  <c r="B30" i="61"/>
  <c r="Z29" i="61"/>
  <c r="X29" i="61"/>
  <c r="V29" i="61"/>
  <c r="R29" i="61"/>
  <c r="L29" i="61"/>
  <c r="N29" i="61" s="1"/>
  <c r="B29" i="61"/>
  <c r="Z28" i="61"/>
  <c r="V28" i="61"/>
  <c r="T28" i="61"/>
  <c r="P28" i="61"/>
  <c r="X28" i="61" s="1"/>
  <c r="H28" i="61"/>
  <c r="D28" i="61"/>
  <c r="B28" i="61"/>
  <c r="X27" i="61"/>
  <c r="Z27" i="61" s="1"/>
  <c r="V27" i="61"/>
  <c r="L27" i="61"/>
  <c r="N27" i="61" s="1"/>
  <c r="F27" i="61"/>
  <c r="B27" i="61"/>
  <c r="Z26" i="61"/>
  <c r="X26" i="61"/>
  <c r="V26" i="61"/>
  <c r="L26" i="61"/>
  <c r="N26" i="61" s="1"/>
  <c r="B26" i="61"/>
  <c r="X25" i="61"/>
  <c r="Z25" i="61" s="1"/>
  <c r="V25" i="61"/>
  <c r="R25" i="61"/>
  <c r="L25" i="61"/>
  <c r="N25" i="61" s="1"/>
  <c r="B25" i="61"/>
  <c r="X24" i="61"/>
  <c r="Z24" i="61" s="1"/>
  <c r="V24" i="61"/>
  <c r="N24" i="61"/>
  <c r="L24" i="61"/>
  <c r="B24" i="61"/>
  <c r="X23" i="61"/>
  <c r="Z23" i="61" s="1"/>
  <c r="V23" i="61"/>
  <c r="L23" i="61"/>
  <c r="N23" i="61" s="1"/>
  <c r="B23" i="61"/>
  <c r="Z22" i="61"/>
  <c r="X22" i="61"/>
  <c r="V22" i="61"/>
  <c r="L22" i="61"/>
  <c r="N22" i="61" s="1"/>
  <c r="B22" i="61"/>
  <c r="X21" i="61"/>
  <c r="Z21" i="61" s="1"/>
  <c r="V21" i="61"/>
  <c r="R21" i="61"/>
  <c r="N21" i="61"/>
  <c r="L21" i="61"/>
  <c r="B21" i="61"/>
  <c r="X20" i="61"/>
  <c r="Z20" i="61" s="1"/>
  <c r="V20" i="61"/>
  <c r="L20" i="61"/>
  <c r="N20" i="61" s="1"/>
  <c r="B20" i="61"/>
  <c r="V19" i="61"/>
  <c r="T19" i="61"/>
  <c r="Z19" i="61" s="1"/>
  <c r="P19" i="61"/>
  <c r="X19" i="61" s="1"/>
  <c r="L19" i="61"/>
  <c r="H19" i="61"/>
  <c r="N19" i="61" s="1"/>
  <c r="D19" i="61"/>
  <c r="B19" i="61"/>
  <c r="X18" i="61"/>
  <c r="T18" i="61"/>
  <c r="Z18" i="61" s="1"/>
  <c r="R18" i="61"/>
  <c r="P18" i="61"/>
  <c r="N18" i="61"/>
  <c r="L18" i="61"/>
  <c r="H18" i="61"/>
  <c r="F18" i="61"/>
  <c r="D18" i="61"/>
  <c r="R16" i="61"/>
  <c r="F16" i="61"/>
  <c r="X14" i="61"/>
  <c r="T14" i="61"/>
  <c r="T16" i="61" s="1"/>
  <c r="Z16" i="61" s="1"/>
  <c r="R14" i="61"/>
  <c r="P14" i="61"/>
  <c r="N14" i="61"/>
  <c r="L14" i="61"/>
  <c r="H14" i="61"/>
  <c r="F14" i="61"/>
  <c r="D14" i="61"/>
  <c r="Z12" i="61"/>
  <c r="X12" i="61"/>
  <c r="T12" i="61"/>
  <c r="V42" i="61" s="1"/>
  <c r="P12" i="61"/>
  <c r="R53" i="61" s="1"/>
  <c r="H12" i="61"/>
  <c r="J55" i="61" s="1"/>
  <c r="D12" i="61"/>
  <c r="F53" i="61" s="1"/>
  <c r="D6" i="61"/>
  <c r="D4" i="61"/>
  <c r="J56" i="60"/>
  <c r="F56" i="60"/>
  <c r="J53" i="60"/>
  <c r="F53" i="60"/>
  <c r="Z51" i="60"/>
  <c r="X51" i="60"/>
  <c r="R51" i="60"/>
  <c r="N51" i="60"/>
  <c r="L51" i="60"/>
  <c r="J51" i="60"/>
  <c r="V49" i="60"/>
  <c r="R49" i="60"/>
  <c r="Z47" i="60"/>
  <c r="X47" i="60"/>
  <c r="V47" i="60"/>
  <c r="T47" i="60"/>
  <c r="R47" i="60"/>
  <c r="P47" i="60"/>
  <c r="L47" i="60"/>
  <c r="H47" i="60"/>
  <c r="N47" i="60" s="1"/>
  <c r="D47" i="60"/>
  <c r="Z45" i="60"/>
  <c r="X45" i="60"/>
  <c r="V45" i="60"/>
  <c r="N45" i="60"/>
  <c r="L45" i="60"/>
  <c r="F45" i="60"/>
  <c r="B45" i="60"/>
  <c r="T44" i="60"/>
  <c r="Z44" i="60" s="1"/>
  <c r="R44" i="60"/>
  <c r="P44" i="60"/>
  <c r="L44" i="60"/>
  <c r="H44" i="60"/>
  <c r="N44" i="60" s="1"/>
  <c r="F44" i="60"/>
  <c r="D44" i="60"/>
  <c r="B44" i="60"/>
  <c r="Z43" i="60"/>
  <c r="X43" i="60"/>
  <c r="V43" i="60"/>
  <c r="R43" i="60"/>
  <c r="N43" i="60"/>
  <c r="L43" i="60"/>
  <c r="J43" i="60"/>
  <c r="B43" i="60"/>
  <c r="Z42" i="60"/>
  <c r="T42" i="60"/>
  <c r="P42" i="60"/>
  <c r="X42" i="60" s="1"/>
  <c r="N42" i="60"/>
  <c r="H42" i="60"/>
  <c r="L42" i="60" s="1"/>
  <c r="D42" i="60"/>
  <c r="B42" i="60"/>
  <c r="X41" i="60"/>
  <c r="Z41" i="60" s="1"/>
  <c r="V41" i="60"/>
  <c r="N41" i="60"/>
  <c r="L41" i="60"/>
  <c r="J41" i="60"/>
  <c r="B41" i="60"/>
  <c r="X40" i="60"/>
  <c r="Z40" i="60" s="1"/>
  <c r="V40" i="60"/>
  <c r="L40" i="60"/>
  <c r="N40" i="60" s="1"/>
  <c r="F40" i="60"/>
  <c r="B40" i="60"/>
  <c r="Z39" i="60"/>
  <c r="V39" i="60"/>
  <c r="T39" i="60"/>
  <c r="P39" i="60"/>
  <c r="X39" i="60" s="1"/>
  <c r="J39" i="60"/>
  <c r="H39" i="60"/>
  <c r="F39" i="60"/>
  <c r="D39" i="60"/>
  <c r="L39" i="60" s="1"/>
  <c r="B39" i="60"/>
  <c r="X38" i="60"/>
  <c r="Z38" i="60" s="1"/>
  <c r="N38" i="60"/>
  <c r="L38" i="60"/>
  <c r="B38" i="60"/>
  <c r="X37" i="60"/>
  <c r="Z37" i="60" s="1"/>
  <c r="V37" i="60"/>
  <c r="T37" i="60"/>
  <c r="R37" i="60"/>
  <c r="P37" i="60"/>
  <c r="N37" i="60"/>
  <c r="L37" i="60"/>
  <c r="H37" i="60"/>
  <c r="D37" i="60"/>
  <c r="B37" i="60"/>
  <c r="Z36" i="60"/>
  <c r="X36" i="60"/>
  <c r="R36" i="60"/>
  <c r="N36" i="60"/>
  <c r="L36" i="60"/>
  <c r="J36" i="60"/>
  <c r="B36" i="60"/>
  <c r="Z35" i="60"/>
  <c r="X35" i="60"/>
  <c r="V35" i="60"/>
  <c r="R35" i="60"/>
  <c r="N35" i="60"/>
  <c r="L35" i="60"/>
  <c r="J35" i="60"/>
  <c r="B35" i="60"/>
  <c r="V34" i="60"/>
  <c r="T34" i="60"/>
  <c r="P34" i="60"/>
  <c r="X34" i="60" s="1"/>
  <c r="Z34" i="60" s="1"/>
  <c r="H34" i="60"/>
  <c r="D34" i="60"/>
  <c r="B34" i="60"/>
  <c r="X33" i="60"/>
  <c r="Z33" i="60" s="1"/>
  <c r="V33" i="60"/>
  <c r="N33" i="60"/>
  <c r="L33" i="60"/>
  <c r="J33" i="60"/>
  <c r="B33" i="60"/>
  <c r="V32" i="60"/>
  <c r="T32" i="60"/>
  <c r="Z32" i="60" s="1"/>
  <c r="P32" i="60"/>
  <c r="X32" i="60" s="1"/>
  <c r="L32" i="60"/>
  <c r="J32" i="60"/>
  <c r="H32" i="60"/>
  <c r="D32" i="60"/>
  <c r="B32" i="60"/>
  <c r="X31" i="60"/>
  <c r="Z31" i="60" s="1"/>
  <c r="N31" i="60"/>
  <c r="L31" i="60"/>
  <c r="J31" i="60"/>
  <c r="F31" i="60"/>
  <c r="B31" i="60"/>
  <c r="X30" i="60"/>
  <c r="T30" i="60"/>
  <c r="Z30" i="60" s="1"/>
  <c r="R30" i="60"/>
  <c r="P30" i="60"/>
  <c r="H30" i="60"/>
  <c r="F30" i="60"/>
  <c r="D30" i="60"/>
  <c r="L30" i="60" s="1"/>
  <c r="B30" i="60"/>
  <c r="Z29" i="60"/>
  <c r="X29" i="60"/>
  <c r="V29" i="60"/>
  <c r="R29" i="60"/>
  <c r="L29" i="60"/>
  <c r="N29" i="60" s="1"/>
  <c r="J29" i="60"/>
  <c r="B29" i="60"/>
  <c r="X28" i="60"/>
  <c r="T28" i="60"/>
  <c r="Z28" i="60" s="1"/>
  <c r="P28" i="60"/>
  <c r="H28" i="60"/>
  <c r="D28" i="60"/>
  <c r="L28" i="60" s="1"/>
  <c r="N28" i="60" s="1"/>
  <c r="B28" i="60"/>
  <c r="Z27" i="60"/>
  <c r="X27" i="60"/>
  <c r="V27" i="60"/>
  <c r="L27" i="60"/>
  <c r="N27" i="60" s="1"/>
  <c r="B27" i="60"/>
  <c r="X26" i="60"/>
  <c r="Z26" i="60" s="1"/>
  <c r="V26" i="60"/>
  <c r="R26" i="60"/>
  <c r="L26" i="60"/>
  <c r="N26" i="60" s="1"/>
  <c r="B26" i="60"/>
  <c r="X25" i="60"/>
  <c r="Z25" i="60" s="1"/>
  <c r="V25" i="60"/>
  <c r="N25" i="60"/>
  <c r="L25" i="60"/>
  <c r="J25" i="60"/>
  <c r="B25" i="60"/>
  <c r="X24" i="60"/>
  <c r="Z24" i="60" s="1"/>
  <c r="V24" i="60"/>
  <c r="L24" i="60"/>
  <c r="N24" i="60" s="1"/>
  <c r="F24" i="60"/>
  <c r="B24" i="60"/>
  <c r="Z23" i="60"/>
  <c r="X23" i="60"/>
  <c r="V23" i="60"/>
  <c r="L23" i="60"/>
  <c r="N23" i="60" s="1"/>
  <c r="B23" i="60"/>
  <c r="X22" i="60"/>
  <c r="Z22" i="60" s="1"/>
  <c r="V22" i="60"/>
  <c r="R22" i="60"/>
  <c r="L22" i="60"/>
  <c r="N22" i="60" s="1"/>
  <c r="B22" i="60"/>
  <c r="X21" i="60"/>
  <c r="Z21" i="60" s="1"/>
  <c r="V21" i="60"/>
  <c r="N21" i="60"/>
  <c r="L21" i="60"/>
  <c r="J21" i="60"/>
  <c r="B21" i="60"/>
  <c r="X20" i="60"/>
  <c r="Z20" i="60" s="1"/>
  <c r="V20" i="60"/>
  <c r="L20" i="60"/>
  <c r="N20" i="60" s="1"/>
  <c r="F20" i="60"/>
  <c r="B20" i="60"/>
  <c r="Z19" i="60"/>
  <c r="V19" i="60"/>
  <c r="T19" i="60"/>
  <c r="P19" i="60"/>
  <c r="X19" i="60" s="1"/>
  <c r="J19" i="60"/>
  <c r="H19" i="60"/>
  <c r="N19" i="60" s="1"/>
  <c r="F19" i="60"/>
  <c r="D19" i="60"/>
  <c r="L19" i="60" s="1"/>
  <c r="B19" i="60"/>
  <c r="X18" i="60"/>
  <c r="T18" i="60"/>
  <c r="R18" i="60"/>
  <c r="P18" i="60"/>
  <c r="H18" i="60"/>
  <c r="F18" i="60"/>
  <c r="D18" i="60"/>
  <c r="R16" i="60"/>
  <c r="F16" i="60"/>
  <c r="D16" i="60"/>
  <c r="X14" i="60"/>
  <c r="T14" i="60"/>
  <c r="Z14" i="60" s="1"/>
  <c r="R14" i="60"/>
  <c r="P14" i="60"/>
  <c r="H14" i="60"/>
  <c r="N14" i="60" s="1"/>
  <c r="F14" i="60"/>
  <c r="D14" i="60"/>
  <c r="Z12" i="60"/>
  <c r="X12" i="60"/>
  <c r="T12" i="60"/>
  <c r="V31" i="60" s="1"/>
  <c r="P12" i="60"/>
  <c r="R56" i="60" s="1"/>
  <c r="N12" i="60"/>
  <c r="H12" i="60"/>
  <c r="J49" i="60" s="1"/>
  <c r="D12" i="60"/>
  <c r="F36" i="60" s="1"/>
  <c r="D6" i="60"/>
  <c r="D4" i="60"/>
  <c r="Z64" i="59"/>
  <c r="X64" i="59"/>
  <c r="R64" i="59"/>
  <c r="N64" i="59"/>
  <c r="L64" i="59"/>
  <c r="J64" i="59"/>
  <c r="R62" i="59"/>
  <c r="T60" i="59"/>
  <c r="Z60" i="59" s="1"/>
  <c r="R60" i="59"/>
  <c r="P60" i="59"/>
  <c r="X60" i="59" s="1"/>
  <c r="L60" i="59"/>
  <c r="H60" i="59"/>
  <c r="N60" i="59" s="1"/>
  <c r="D60" i="59"/>
  <c r="Z58" i="59"/>
  <c r="X58" i="59"/>
  <c r="R58" i="59"/>
  <c r="N58" i="59"/>
  <c r="L58" i="59"/>
  <c r="B58" i="59"/>
  <c r="X57" i="59"/>
  <c r="Z57" i="59" s="1"/>
  <c r="N57" i="59"/>
  <c r="L57" i="59"/>
  <c r="J57" i="59"/>
  <c r="B57" i="59"/>
  <c r="X56" i="59"/>
  <c r="T56" i="59"/>
  <c r="R56" i="59"/>
  <c r="P56" i="59"/>
  <c r="H56" i="59"/>
  <c r="F56" i="59"/>
  <c r="D56" i="59"/>
  <c r="L56" i="59" s="1"/>
  <c r="B56" i="59"/>
  <c r="Z55" i="59"/>
  <c r="X55" i="59"/>
  <c r="R55" i="59"/>
  <c r="L55" i="59"/>
  <c r="N55" i="59" s="1"/>
  <c r="J55" i="59"/>
  <c r="B55" i="59"/>
  <c r="Z54" i="59"/>
  <c r="X54" i="59"/>
  <c r="T54" i="59"/>
  <c r="P54" i="59"/>
  <c r="N54" i="59"/>
  <c r="H54" i="59"/>
  <c r="D54" i="59"/>
  <c r="L54" i="59" s="1"/>
  <c r="B54" i="59"/>
  <c r="Z53" i="59"/>
  <c r="X53" i="59"/>
  <c r="V53" i="59"/>
  <c r="L53" i="59"/>
  <c r="N53" i="59" s="1"/>
  <c r="B53" i="59"/>
  <c r="X52" i="59"/>
  <c r="Z52" i="59" s="1"/>
  <c r="R52" i="59"/>
  <c r="L52" i="59"/>
  <c r="N52" i="59" s="1"/>
  <c r="B52" i="59"/>
  <c r="T51" i="59"/>
  <c r="R51" i="59"/>
  <c r="P51" i="59"/>
  <c r="X51" i="59" s="1"/>
  <c r="J51" i="59"/>
  <c r="H51" i="59"/>
  <c r="D51" i="59"/>
  <c r="L51" i="59" s="1"/>
  <c r="N51" i="59" s="1"/>
  <c r="B51" i="59"/>
  <c r="X50" i="59"/>
  <c r="Z50" i="59" s="1"/>
  <c r="R50" i="59"/>
  <c r="L50" i="59"/>
  <c r="N50" i="59" s="1"/>
  <c r="B50" i="59"/>
  <c r="X49" i="59"/>
  <c r="Z49" i="59" s="1"/>
  <c r="N49" i="59"/>
  <c r="L49" i="59"/>
  <c r="J49" i="59"/>
  <c r="F49" i="59"/>
  <c r="B49" i="59"/>
  <c r="X48" i="59"/>
  <c r="T48" i="59"/>
  <c r="Z48" i="59" s="1"/>
  <c r="R48" i="59"/>
  <c r="P48" i="59"/>
  <c r="H48" i="59"/>
  <c r="D48" i="59"/>
  <c r="L48" i="59" s="1"/>
  <c r="B48" i="59"/>
  <c r="Z47" i="59"/>
  <c r="X47" i="59"/>
  <c r="R47" i="59"/>
  <c r="N47" i="59"/>
  <c r="L47" i="59"/>
  <c r="J47" i="59"/>
  <c r="B47" i="59"/>
  <c r="Z46" i="59"/>
  <c r="X46" i="59"/>
  <c r="R46" i="59"/>
  <c r="L46" i="59"/>
  <c r="N46" i="59" s="1"/>
  <c r="J46" i="59"/>
  <c r="B46" i="59"/>
  <c r="Z45" i="59"/>
  <c r="X45" i="59"/>
  <c r="R45" i="59"/>
  <c r="N45" i="59"/>
  <c r="L45" i="59"/>
  <c r="J45" i="59"/>
  <c r="B45" i="59"/>
  <c r="T44" i="59"/>
  <c r="P44" i="59"/>
  <c r="X44" i="59" s="1"/>
  <c r="Z44" i="59" s="1"/>
  <c r="H44" i="59"/>
  <c r="D44" i="59"/>
  <c r="B44" i="59"/>
  <c r="Z43" i="59"/>
  <c r="X43" i="59"/>
  <c r="N43" i="59"/>
  <c r="L43" i="59"/>
  <c r="J43" i="59"/>
  <c r="B43" i="59"/>
  <c r="T42" i="59"/>
  <c r="Z42" i="59" s="1"/>
  <c r="P42" i="59"/>
  <c r="X42" i="59" s="1"/>
  <c r="L42" i="59"/>
  <c r="J42" i="59"/>
  <c r="H42" i="59"/>
  <c r="D42" i="59"/>
  <c r="B42" i="59"/>
  <c r="X41" i="59"/>
  <c r="Z41" i="59" s="1"/>
  <c r="N41" i="59"/>
  <c r="L41" i="59"/>
  <c r="J41" i="59"/>
  <c r="B41" i="59"/>
  <c r="X40" i="59"/>
  <c r="T40" i="59"/>
  <c r="Z40" i="59" s="1"/>
  <c r="R40" i="59"/>
  <c r="P40" i="59"/>
  <c r="L40" i="59"/>
  <c r="H40" i="59"/>
  <c r="F40" i="59"/>
  <c r="D40" i="59"/>
  <c r="B40" i="59"/>
  <c r="Z39" i="59"/>
  <c r="X39" i="59"/>
  <c r="R39" i="59"/>
  <c r="N39" i="59"/>
  <c r="L39" i="59"/>
  <c r="J39" i="59"/>
  <c r="B39" i="59"/>
  <c r="Z38" i="59"/>
  <c r="X38" i="59"/>
  <c r="R38" i="59"/>
  <c r="L38" i="59"/>
  <c r="N38" i="59" s="1"/>
  <c r="J38" i="59"/>
  <c r="B38" i="59"/>
  <c r="Z37" i="59"/>
  <c r="V37" i="59"/>
  <c r="T37" i="59"/>
  <c r="X37" i="59" s="1"/>
  <c r="R37" i="59"/>
  <c r="P37" i="59"/>
  <c r="H37" i="59"/>
  <c r="D37" i="59"/>
  <c r="B37" i="59"/>
  <c r="X36" i="59"/>
  <c r="Z36" i="59" s="1"/>
  <c r="R36" i="59"/>
  <c r="N36" i="59"/>
  <c r="L36" i="59"/>
  <c r="B36" i="59"/>
  <c r="V35" i="59"/>
  <c r="T35" i="59"/>
  <c r="R35" i="59"/>
  <c r="P35" i="59"/>
  <c r="X35" i="59" s="1"/>
  <c r="N35" i="59"/>
  <c r="J35" i="59"/>
  <c r="H35" i="59"/>
  <c r="D35" i="59"/>
  <c r="L35" i="59" s="1"/>
  <c r="B35" i="59"/>
  <c r="Z34" i="59"/>
  <c r="X34" i="59"/>
  <c r="R34" i="59"/>
  <c r="N34" i="59"/>
  <c r="L34" i="59"/>
  <c r="B34" i="59"/>
  <c r="X33" i="59"/>
  <c r="Z33" i="59" s="1"/>
  <c r="N33" i="59"/>
  <c r="L33" i="59"/>
  <c r="J33" i="59"/>
  <c r="B33" i="59"/>
  <c r="X32" i="59"/>
  <c r="Z32" i="59" s="1"/>
  <c r="N32" i="59"/>
  <c r="L32" i="59"/>
  <c r="B32" i="59"/>
  <c r="Z31" i="59"/>
  <c r="X31" i="59"/>
  <c r="V31" i="59"/>
  <c r="N31" i="59"/>
  <c r="L31" i="59"/>
  <c r="B31" i="59"/>
  <c r="X30" i="59"/>
  <c r="Z30" i="59" s="1"/>
  <c r="R30" i="59"/>
  <c r="N30" i="59"/>
  <c r="L30" i="59"/>
  <c r="B30" i="59"/>
  <c r="X29" i="59"/>
  <c r="Z29" i="59" s="1"/>
  <c r="T29" i="59"/>
  <c r="R29" i="59"/>
  <c r="P29" i="59"/>
  <c r="N29" i="59"/>
  <c r="L29" i="59"/>
  <c r="J29" i="59"/>
  <c r="H29" i="59"/>
  <c r="F29" i="59"/>
  <c r="D29" i="59"/>
  <c r="B29" i="59"/>
  <c r="Z28" i="59"/>
  <c r="X28" i="59"/>
  <c r="R28" i="59"/>
  <c r="L28" i="59"/>
  <c r="N28" i="59" s="1"/>
  <c r="J28" i="59"/>
  <c r="B28" i="59"/>
  <c r="Z27" i="59"/>
  <c r="X27" i="59"/>
  <c r="R27" i="59"/>
  <c r="L27" i="59"/>
  <c r="N27" i="59" s="1"/>
  <c r="J27" i="59"/>
  <c r="B27" i="59"/>
  <c r="X26" i="59"/>
  <c r="Z26" i="59" s="1"/>
  <c r="R26" i="59"/>
  <c r="L26" i="59"/>
  <c r="N26" i="59" s="1"/>
  <c r="J26" i="59"/>
  <c r="B26" i="59"/>
  <c r="Z25" i="59"/>
  <c r="X25" i="59"/>
  <c r="V25" i="59"/>
  <c r="R25" i="59"/>
  <c r="N25" i="59"/>
  <c r="L25" i="59"/>
  <c r="J25" i="59"/>
  <c r="B25" i="59"/>
  <c r="Z24" i="59"/>
  <c r="X24" i="59"/>
  <c r="R24" i="59"/>
  <c r="L24" i="59"/>
  <c r="N24" i="59" s="1"/>
  <c r="J24" i="59"/>
  <c r="B24" i="59"/>
  <c r="Z23" i="59"/>
  <c r="X23" i="59"/>
  <c r="R23" i="59"/>
  <c r="L23" i="59"/>
  <c r="N23" i="59" s="1"/>
  <c r="J23" i="59"/>
  <c r="B23" i="59"/>
  <c r="X22" i="59"/>
  <c r="Z22" i="59" s="1"/>
  <c r="R22" i="59"/>
  <c r="L22" i="59"/>
  <c r="N22" i="59" s="1"/>
  <c r="J22" i="59"/>
  <c r="B22" i="59"/>
  <c r="Z21" i="59"/>
  <c r="X21" i="59"/>
  <c r="V21" i="59"/>
  <c r="R21" i="59"/>
  <c r="N21" i="59"/>
  <c r="L21" i="59"/>
  <c r="J21" i="59"/>
  <c r="B21" i="59"/>
  <c r="Z20" i="59"/>
  <c r="X20" i="59"/>
  <c r="R20" i="59"/>
  <c r="L20" i="59"/>
  <c r="N20" i="59" s="1"/>
  <c r="J20" i="59"/>
  <c r="B20" i="59"/>
  <c r="T19" i="59"/>
  <c r="P19" i="59"/>
  <c r="J19" i="59"/>
  <c r="H19" i="59"/>
  <c r="L19" i="59" s="1"/>
  <c r="F19" i="59"/>
  <c r="D19" i="59"/>
  <c r="B19" i="59"/>
  <c r="T18" i="59"/>
  <c r="P18" i="59"/>
  <c r="X18" i="59" s="1"/>
  <c r="J18" i="59"/>
  <c r="H18" i="59"/>
  <c r="D18" i="59"/>
  <c r="P16" i="59"/>
  <c r="P62" i="59" s="1"/>
  <c r="J16" i="59"/>
  <c r="H16" i="59"/>
  <c r="V14" i="59"/>
  <c r="T14" i="59"/>
  <c r="Z14" i="59" s="1"/>
  <c r="P14" i="59"/>
  <c r="X14" i="59" s="1"/>
  <c r="L14" i="59"/>
  <c r="J14" i="59"/>
  <c r="H14" i="59"/>
  <c r="N14" i="59" s="1"/>
  <c r="D14" i="59"/>
  <c r="T12" i="59"/>
  <c r="V45" i="59" s="1"/>
  <c r="P12" i="59"/>
  <c r="R19" i="59" s="1"/>
  <c r="N12" i="59"/>
  <c r="L12" i="59"/>
  <c r="H12" i="59"/>
  <c r="J53" i="59" s="1"/>
  <c r="D12" i="59"/>
  <c r="F50" i="59" s="1"/>
  <c r="D6" i="59"/>
  <c r="D4" i="59"/>
  <c r="R75" i="58"/>
  <c r="F75" i="58"/>
  <c r="Z73" i="58"/>
  <c r="X73" i="58"/>
  <c r="N73" i="58"/>
  <c r="L73" i="58"/>
  <c r="T71" i="58"/>
  <c r="V69" i="58"/>
  <c r="T69" i="58"/>
  <c r="Z69" i="58" s="1"/>
  <c r="P69" i="58"/>
  <c r="H69" i="58"/>
  <c r="N69" i="58" s="1"/>
  <c r="D69" i="58"/>
  <c r="L69" i="58" s="1"/>
  <c r="X67" i="58"/>
  <c r="Z67" i="58" s="1"/>
  <c r="V67" i="58"/>
  <c r="N67" i="58"/>
  <c r="L67" i="58"/>
  <c r="B67" i="58"/>
  <c r="V66" i="58"/>
  <c r="T66" i="58"/>
  <c r="P66" i="58"/>
  <c r="X66" i="58" s="1"/>
  <c r="Z66" i="58" s="1"/>
  <c r="N66" i="58"/>
  <c r="H66" i="58"/>
  <c r="D66" i="58"/>
  <c r="L66" i="58" s="1"/>
  <c r="B66" i="58"/>
  <c r="X65" i="58"/>
  <c r="Z65" i="58" s="1"/>
  <c r="R65" i="58"/>
  <c r="L65" i="58"/>
  <c r="N65" i="58" s="1"/>
  <c r="B65" i="58"/>
  <c r="X64" i="58"/>
  <c r="Z64" i="58" s="1"/>
  <c r="T64" i="58"/>
  <c r="P64" i="58"/>
  <c r="N64" i="58"/>
  <c r="L64" i="58"/>
  <c r="H64" i="58"/>
  <c r="D64" i="58"/>
  <c r="B64" i="58"/>
  <c r="Z63" i="58"/>
  <c r="X63" i="58"/>
  <c r="L63" i="58"/>
  <c r="N63" i="58" s="1"/>
  <c r="F63" i="58"/>
  <c r="B63" i="58"/>
  <c r="T62" i="58"/>
  <c r="P62" i="58"/>
  <c r="N62" i="58"/>
  <c r="H62" i="58"/>
  <c r="D62" i="58"/>
  <c r="L62" i="58" s="1"/>
  <c r="B62" i="58"/>
  <c r="X61" i="58"/>
  <c r="Z61" i="58" s="1"/>
  <c r="V61" i="58"/>
  <c r="L61" i="58"/>
  <c r="N61" i="58" s="1"/>
  <c r="B61" i="58"/>
  <c r="Z60" i="58"/>
  <c r="X60" i="58"/>
  <c r="L60" i="58"/>
  <c r="N60" i="58" s="1"/>
  <c r="B60" i="58"/>
  <c r="X59" i="58"/>
  <c r="Z59" i="58" s="1"/>
  <c r="V59" i="58"/>
  <c r="L59" i="58"/>
  <c r="N59" i="58" s="1"/>
  <c r="B59" i="58"/>
  <c r="T58" i="58"/>
  <c r="P58" i="58"/>
  <c r="X58" i="58" s="1"/>
  <c r="Z58" i="58" s="1"/>
  <c r="H58" i="58"/>
  <c r="D58" i="58"/>
  <c r="L58" i="58" s="1"/>
  <c r="N58" i="58" s="1"/>
  <c r="B58" i="58"/>
  <c r="X57" i="58"/>
  <c r="Z57" i="58" s="1"/>
  <c r="R57" i="58"/>
  <c r="L57" i="58"/>
  <c r="N57" i="58" s="1"/>
  <c r="F57" i="58"/>
  <c r="B57" i="58"/>
  <c r="X56" i="58"/>
  <c r="Z56" i="58" s="1"/>
  <c r="T56" i="58"/>
  <c r="P56" i="58"/>
  <c r="L56" i="58"/>
  <c r="N56" i="58" s="1"/>
  <c r="H56" i="58"/>
  <c r="D56" i="58"/>
  <c r="B56" i="58"/>
  <c r="Z55" i="58"/>
  <c r="X55" i="58"/>
  <c r="L55" i="58"/>
  <c r="N55" i="58" s="1"/>
  <c r="B55" i="58"/>
  <c r="Z54" i="58"/>
  <c r="X54" i="58"/>
  <c r="N54" i="58"/>
  <c r="L54" i="58"/>
  <c r="B54" i="58"/>
  <c r="T53" i="58"/>
  <c r="Z53" i="58" s="1"/>
  <c r="P53" i="58"/>
  <c r="X53" i="58" s="1"/>
  <c r="L53" i="58"/>
  <c r="H53" i="58"/>
  <c r="N53" i="58" s="1"/>
  <c r="D53" i="58"/>
  <c r="B53" i="58"/>
  <c r="Z52" i="58"/>
  <c r="X52" i="58"/>
  <c r="N52" i="58"/>
  <c r="L52" i="58"/>
  <c r="B52" i="58"/>
  <c r="Z51" i="58"/>
  <c r="X51" i="58"/>
  <c r="N51" i="58"/>
  <c r="L51" i="58"/>
  <c r="F51" i="58"/>
  <c r="B51" i="58"/>
  <c r="X50" i="58"/>
  <c r="Z50" i="58" s="1"/>
  <c r="R50" i="58"/>
  <c r="L50" i="58"/>
  <c r="N50" i="58" s="1"/>
  <c r="B50" i="58"/>
  <c r="X49" i="58"/>
  <c r="Z49" i="58" s="1"/>
  <c r="T49" i="58"/>
  <c r="P49" i="58"/>
  <c r="J49" i="58"/>
  <c r="H49" i="58"/>
  <c r="D49" i="58"/>
  <c r="L49" i="58" s="1"/>
  <c r="N49" i="58" s="1"/>
  <c r="B49" i="58"/>
  <c r="Z48" i="58"/>
  <c r="X48" i="58"/>
  <c r="L48" i="58"/>
  <c r="N48" i="58" s="1"/>
  <c r="F48" i="58"/>
  <c r="B48" i="58"/>
  <c r="T47" i="58"/>
  <c r="P47" i="58"/>
  <c r="L47" i="58"/>
  <c r="N47" i="58" s="1"/>
  <c r="H47" i="58"/>
  <c r="F47" i="58"/>
  <c r="D47" i="58"/>
  <c r="B47" i="58"/>
  <c r="Z46" i="58"/>
  <c r="X46" i="58"/>
  <c r="V46" i="58"/>
  <c r="N46" i="58"/>
  <c r="L46" i="58"/>
  <c r="F46" i="58"/>
  <c r="B46" i="58"/>
  <c r="Z45" i="58"/>
  <c r="T45" i="58"/>
  <c r="P45" i="58"/>
  <c r="X45" i="58" s="1"/>
  <c r="H45" i="58"/>
  <c r="N45" i="58" s="1"/>
  <c r="F45" i="58"/>
  <c r="D45" i="58"/>
  <c r="L45" i="58" s="1"/>
  <c r="B45" i="58"/>
  <c r="X44" i="58"/>
  <c r="Z44" i="58" s="1"/>
  <c r="V44" i="58"/>
  <c r="N44" i="58"/>
  <c r="L44" i="58"/>
  <c r="B44" i="58"/>
  <c r="V43" i="58"/>
  <c r="T43" i="58"/>
  <c r="P43" i="58"/>
  <c r="X43" i="58" s="1"/>
  <c r="Z43" i="58" s="1"/>
  <c r="L43" i="58"/>
  <c r="N43" i="58" s="1"/>
  <c r="H43" i="58"/>
  <c r="D43" i="58"/>
  <c r="B43" i="58"/>
  <c r="X42" i="58"/>
  <c r="Z42" i="58" s="1"/>
  <c r="N42" i="58"/>
  <c r="L42" i="58"/>
  <c r="B42" i="58"/>
  <c r="X41" i="58"/>
  <c r="Z41" i="58" s="1"/>
  <c r="V41" i="58"/>
  <c r="T41" i="58"/>
  <c r="R41" i="58"/>
  <c r="P41" i="58"/>
  <c r="H41" i="58"/>
  <c r="D41" i="58"/>
  <c r="B41" i="58"/>
  <c r="X40" i="58"/>
  <c r="Z40" i="58" s="1"/>
  <c r="R40" i="58"/>
  <c r="L40" i="58"/>
  <c r="N40" i="58" s="1"/>
  <c r="B40" i="58"/>
  <c r="T39" i="58"/>
  <c r="R39" i="58"/>
  <c r="P39" i="58"/>
  <c r="X39" i="58" s="1"/>
  <c r="H39" i="58"/>
  <c r="D39" i="58"/>
  <c r="L39" i="58" s="1"/>
  <c r="N39" i="58" s="1"/>
  <c r="B39" i="58"/>
  <c r="X38" i="58"/>
  <c r="Z38" i="58" s="1"/>
  <c r="R38" i="58"/>
  <c r="L38" i="58"/>
  <c r="N38" i="58" s="1"/>
  <c r="B38" i="58"/>
  <c r="X37" i="58"/>
  <c r="Z37" i="58" s="1"/>
  <c r="T37" i="58"/>
  <c r="P37" i="58"/>
  <c r="J37" i="58"/>
  <c r="H37" i="58"/>
  <c r="D37" i="58"/>
  <c r="L37" i="58" s="1"/>
  <c r="N37" i="58" s="1"/>
  <c r="B37" i="58"/>
  <c r="Z36" i="58"/>
  <c r="X36" i="58"/>
  <c r="L36" i="58"/>
  <c r="N36" i="58" s="1"/>
  <c r="F36" i="58"/>
  <c r="B36" i="58"/>
  <c r="T35" i="58"/>
  <c r="P35" i="58"/>
  <c r="L35" i="58"/>
  <c r="N35" i="58" s="1"/>
  <c r="H35" i="58"/>
  <c r="F35" i="58"/>
  <c r="D35" i="58"/>
  <c r="B35" i="58"/>
  <c r="Z34" i="58"/>
  <c r="X34" i="58"/>
  <c r="V34" i="58"/>
  <c r="L34" i="58"/>
  <c r="N34" i="58" s="1"/>
  <c r="F34" i="58"/>
  <c r="B34" i="58"/>
  <c r="Z33" i="58"/>
  <c r="X33" i="58"/>
  <c r="V33" i="58"/>
  <c r="R33" i="58"/>
  <c r="L33" i="58"/>
  <c r="N33" i="58" s="1"/>
  <c r="B33" i="58"/>
  <c r="X32" i="58"/>
  <c r="Z32" i="58" s="1"/>
  <c r="R32" i="58"/>
  <c r="L32" i="58"/>
  <c r="N32" i="58" s="1"/>
  <c r="B32" i="58"/>
  <c r="X31" i="58"/>
  <c r="Z31" i="58" s="1"/>
  <c r="N31" i="58"/>
  <c r="L31" i="58"/>
  <c r="J31" i="58"/>
  <c r="B31" i="58"/>
  <c r="V30" i="58"/>
  <c r="T30" i="58"/>
  <c r="P30" i="58"/>
  <c r="X30" i="58" s="1"/>
  <c r="Z30" i="58" s="1"/>
  <c r="H30" i="58"/>
  <c r="D30" i="58"/>
  <c r="B30" i="58"/>
  <c r="X29" i="58"/>
  <c r="Z29" i="58" s="1"/>
  <c r="N29" i="58"/>
  <c r="L29" i="58"/>
  <c r="B29" i="58"/>
  <c r="X28" i="58"/>
  <c r="Z28" i="58" s="1"/>
  <c r="V28" i="58"/>
  <c r="N28" i="58"/>
  <c r="L28" i="58"/>
  <c r="B28" i="58"/>
  <c r="Z27" i="58"/>
  <c r="X27" i="58"/>
  <c r="V27" i="58"/>
  <c r="L27" i="58"/>
  <c r="N27" i="58" s="1"/>
  <c r="F27" i="58"/>
  <c r="B27" i="58"/>
  <c r="X26" i="58"/>
  <c r="Z26" i="58" s="1"/>
  <c r="V26" i="58"/>
  <c r="R26" i="58"/>
  <c r="L26" i="58"/>
  <c r="N26" i="58" s="1"/>
  <c r="B26" i="58"/>
  <c r="Z25" i="58"/>
  <c r="X25" i="58"/>
  <c r="N25" i="58"/>
  <c r="L25" i="58"/>
  <c r="B25" i="58"/>
  <c r="X24" i="58"/>
  <c r="Z24" i="58" s="1"/>
  <c r="V24" i="58"/>
  <c r="N24" i="58"/>
  <c r="L24" i="58"/>
  <c r="B24" i="58"/>
  <c r="Z23" i="58"/>
  <c r="X23" i="58"/>
  <c r="V23" i="58"/>
  <c r="L23" i="58"/>
  <c r="N23" i="58" s="1"/>
  <c r="F23" i="58"/>
  <c r="B23" i="58"/>
  <c r="X22" i="58"/>
  <c r="Z22" i="58" s="1"/>
  <c r="V22" i="58"/>
  <c r="R22" i="58"/>
  <c r="L22" i="58"/>
  <c r="N22" i="58" s="1"/>
  <c r="B22" i="58"/>
  <c r="X21" i="58"/>
  <c r="Z21" i="58" s="1"/>
  <c r="V21" i="58"/>
  <c r="N21" i="58"/>
  <c r="L21" i="58"/>
  <c r="B21" i="58"/>
  <c r="X20" i="58"/>
  <c r="Z20" i="58" s="1"/>
  <c r="V20" i="58"/>
  <c r="N20" i="58"/>
  <c r="L20" i="58"/>
  <c r="B20" i="58"/>
  <c r="V19" i="58"/>
  <c r="T19" i="58"/>
  <c r="P19" i="58"/>
  <c r="X19" i="58" s="1"/>
  <c r="Z19" i="58" s="1"/>
  <c r="L19" i="58"/>
  <c r="N19" i="58" s="1"/>
  <c r="H19" i="58"/>
  <c r="D19" i="58"/>
  <c r="B19" i="58"/>
  <c r="X18" i="58"/>
  <c r="T18" i="58"/>
  <c r="Z18" i="58" s="1"/>
  <c r="R18" i="58"/>
  <c r="P18" i="58"/>
  <c r="H18" i="58"/>
  <c r="D18" i="58"/>
  <c r="L18" i="58" s="1"/>
  <c r="N18" i="58" s="1"/>
  <c r="R16" i="58"/>
  <c r="X14" i="58"/>
  <c r="T14" i="58"/>
  <c r="T16" i="58" s="1"/>
  <c r="Z16" i="58" s="1"/>
  <c r="R14" i="58"/>
  <c r="P14" i="58"/>
  <c r="N14" i="58"/>
  <c r="H14" i="58"/>
  <c r="D14" i="58"/>
  <c r="L14" i="58" s="1"/>
  <c r="X12" i="58"/>
  <c r="T12" i="58"/>
  <c r="P12" i="58"/>
  <c r="R58" i="58" s="1"/>
  <c r="H12" i="58"/>
  <c r="J62" i="58" s="1"/>
  <c r="D12" i="58"/>
  <c r="F33" i="58" s="1"/>
  <c r="D6" i="58"/>
  <c r="D4" i="58"/>
  <c r="J69" i="57"/>
  <c r="J66" i="57"/>
  <c r="Z64" i="57"/>
  <c r="X64" i="57"/>
  <c r="R64" i="57"/>
  <c r="N64" i="57"/>
  <c r="L64" i="57"/>
  <c r="J64" i="57"/>
  <c r="F62" i="57"/>
  <c r="Z60" i="57"/>
  <c r="T60" i="57"/>
  <c r="P60" i="57"/>
  <c r="X60" i="57" s="1"/>
  <c r="L60" i="57"/>
  <c r="H60" i="57"/>
  <c r="N60" i="57" s="1"/>
  <c r="F60" i="57"/>
  <c r="D60" i="57"/>
  <c r="Z58" i="57"/>
  <c r="X58" i="57"/>
  <c r="L58" i="57"/>
  <c r="N58" i="57" s="1"/>
  <c r="F58" i="57"/>
  <c r="B58" i="57"/>
  <c r="T57" i="57"/>
  <c r="P57" i="57"/>
  <c r="N57" i="57"/>
  <c r="L57" i="57"/>
  <c r="J57" i="57"/>
  <c r="H57" i="57"/>
  <c r="F57" i="57"/>
  <c r="D57" i="57"/>
  <c r="B57" i="57"/>
  <c r="Z56" i="57"/>
  <c r="X56" i="57"/>
  <c r="L56" i="57"/>
  <c r="N56" i="57" s="1"/>
  <c r="F56" i="57"/>
  <c r="B56" i="57"/>
  <c r="T55" i="57"/>
  <c r="P55" i="57"/>
  <c r="X55" i="57" s="1"/>
  <c r="Z55" i="57" s="1"/>
  <c r="H55" i="57"/>
  <c r="F55" i="57"/>
  <c r="D55" i="57"/>
  <c r="L55" i="57" s="1"/>
  <c r="N55" i="57" s="1"/>
  <c r="B55" i="57"/>
  <c r="Z54" i="57"/>
  <c r="X54" i="57"/>
  <c r="N54" i="57"/>
  <c r="L54" i="57"/>
  <c r="B54" i="57"/>
  <c r="Z53" i="57"/>
  <c r="X53" i="57"/>
  <c r="V53" i="57"/>
  <c r="L53" i="57"/>
  <c r="N53" i="57" s="1"/>
  <c r="F53" i="57"/>
  <c r="B53" i="57"/>
  <c r="T52" i="57"/>
  <c r="P52" i="57"/>
  <c r="X52" i="57" s="1"/>
  <c r="L52" i="57"/>
  <c r="J52" i="57"/>
  <c r="H52" i="57"/>
  <c r="N52" i="57" s="1"/>
  <c r="F52" i="57"/>
  <c r="D52" i="57"/>
  <c r="B52" i="57"/>
  <c r="Z51" i="57"/>
  <c r="X51" i="57"/>
  <c r="V51" i="57"/>
  <c r="N51" i="57"/>
  <c r="L51" i="57"/>
  <c r="F51" i="57"/>
  <c r="B51" i="57"/>
  <c r="Z50" i="57"/>
  <c r="T50" i="57"/>
  <c r="P50" i="57"/>
  <c r="X50" i="57" s="1"/>
  <c r="L50" i="57"/>
  <c r="H50" i="57"/>
  <c r="N50" i="57" s="1"/>
  <c r="F50" i="57"/>
  <c r="D50" i="57"/>
  <c r="B50" i="57"/>
  <c r="Z49" i="57"/>
  <c r="X49" i="57"/>
  <c r="N49" i="57"/>
  <c r="L49" i="57"/>
  <c r="J49" i="57"/>
  <c r="B49" i="57"/>
  <c r="T48" i="57"/>
  <c r="P48" i="57"/>
  <c r="X48" i="57" s="1"/>
  <c r="Z48" i="57" s="1"/>
  <c r="H48" i="57"/>
  <c r="D48" i="57"/>
  <c r="B48" i="57"/>
  <c r="X47" i="57"/>
  <c r="Z47" i="57" s="1"/>
  <c r="N47" i="57"/>
  <c r="L47" i="57"/>
  <c r="J47" i="57"/>
  <c r="B47" i="57"/>
  <c r="X46" i="57"/>
  <c r="Z46" i="57" s="1"/>
  <c r="N46" i="57"/>
  <c r="L46" i="57"/>
  <c r="B46" i="57"/>
  <c r="V45" i="57"/>
  <c r="T45" i="57"/>
  <c r="P45" i="57"/>
  <c r="X45" i="57" s="1"/>
  <c r="Z45" i="57" s="1"/>
  <c r="L45" i="57"/>
  <c r="N45" i="57" s="1"/>
  <c r="H45" i="57"/>
  <c r="D45" i="57"/>
  <c r="B45" i="57"/>
  <c r="Z44" i="57"/>
  <c r="X44" i="57"/>
  <c r="N44" i="57"/>
  <c r="L44" i="57"/>
  <c r="J44" i="57"/>
  <c r="B44" i="57"/>
  <c r="Z43" i="57"/>
  <c r="X43" i="57"/>
  <c r="V43" i="57"/>
  <c r="T43" i="57"/>
  <c r="R43" i="57"/>
  <c r="P43" i="57"/>
  <c r="H43" i="57"/>
  <c r="N43" i="57" s="1"/>
  <c r="D43" i="57"/>
  <c r="B43" i="57"/>
  <c r="X42" i="57"/>
  <c r="Z42" i="57" s="1"/>
  <c r="R42" i="57"/>
  <c r="L42" i="57"/>
  <c r="N42" i="57" s="1"/>
  <c r="J42" i="57"/>
  <c r="B42" i="57"/>
  <c r="T41" i="57"/>
  <c r="R41" i="57"/>
  <c r="P41" i="57"/>
  <c r="N41" i="57"/>
  <c r="H41" i="57"/>
  <c r="D41" i="57"/>
  <c r="L41" i="57" s="1"/>
  <c r="B41" i="57"/>
  <c r="X40" i="57"/>
  <c r="Z40" i="57" s="1"/>
  <c r="R40" i="57"/>
  <c r="L40" i="57"/>
  <c r="N40" i="57" s="1"/>
  <c r="B40" i="57"/>
  <c r="X39" i="57"/>
  <c r="Z39" i="57" s="1"/>
  <c r="T39" i="57"/>
  <c r="P39" i="57"/>
  <c r="J39" i="57"/>
  <c r="H39" i="57"/>
  <c r="D39" i="57"/>
  <c r="L39" i="57" s="1"/>
  <c r="N39" i="57" s="1"/>
  <c r="B39" i="57"/>
  <c r="Z38" i="57"/>
  <c r="X38" i="57"/>
  <c r="L38" i="57"/>
  <c r="N38" i="57" s="1"/>
  <c r="F38" i="57"/>
  <c r="B38" i="57"/>
  <c r="T37" i="57"/>
  <c r="P37" i="57"/>
  <c r="N37" i="57"/>
  <c r="L37" i="57"/>
  <c r="J37" i="57"/>
  <c r="H37" i="57"/>
  <c r="F37" i="57"/>
  <c r="D37" i="57"/>
  <c r="B37" i="57"/>
  <c r="Z36" i="57"/>
  <c r="X36" i="57"/>
  <c r="V36" i="57"/>
  <c r="L36" i="57"/>
  <c r="N36" i="57" s="1"/>
  <c r="F36" i="57"/>
  <c r="B36" i="57"/>
  <c r="Z35" i="57"/>
  <c r="T35" i="57"/>
  <c r="P35" i="57"/>
  <c r="X35" i="57" s="1"/>
  <c r="J35" i="57"/>
  <c r="H35" i="57"/>
  <c r="N35" i="57" s="1"/>
  <c r="F35" i="57"/>
  <c r="D35" i="57"/>
  <c r="L35" i="57" s="1"/>
  <c r="B35" i="57"/>
  <c r="X34" i="57"/>
  <c r="Z34" i="57" s="1"/>
  <c r="N34" i="57"/>
  <c r="L34" i="57"/>
  <c r="B34" i="57"/>
  <c r="V33" i="57"/>
  <c r="T33" i="57"/>
  <c r="P33" i="57"/>
  <c r="X33" i="57" s="1"/>
  <c r="Z33" i="57" s="1"/>
  <c r="L33" i="57"/>
  <c r="N33" i="57" s="1"/>
  <c r="H33" i="57"/>
  <c r="D33" i="57"/>
  <c r="B33" i="57"/>
  <c r="Z32" i="57"/>
  <c r="X32" i="57"/>
  <c r="N32" i="57"/>
  <c r="L32" i="57"/>
  <c r="J32" i="57"/>
  <c r="B32" i="57"/>
  <c r="Z31" i="57"/>
  <c r="X31" i="57"/>
  <c r="V31" i="57"/>
  <c r="N31" i="57"/>
  <c r="L31" i="57"/>
  <c r="J31" i="57"/>
  <c r="F31" i="57"/>
  <c r="B31" i="57"/>
  <c r="Z30" i="57"/>
  <c r="X30" i="57"/>
  <c r="L30" i="57"/>
  <c r="N30" i="57" s="1"/>
  <c r="F30" i="57"/>
  <c r="B30" i="57"/>
  <c r="X29" i="57"/>
  <c r="Z29" i="57" s="1"/>
  <c r="R29" i="57"/>
  <c r="N29" i="57"/>
  <c r="L29" i="57"/>
  <c r="J29" i="57"/>
  <c r="B29" i="57"/>
  <c r="X28" i="57"/>
  <c r="T28" i="57"/>
  <c r="R28" i="57"/>
  <c r="P28" i="57"/>
  <c r="H28" i="57"/>
  <c r="D28" i="57"/>
  <c r="L28" i="57" s="1"/>
  <c r="N28" i="57" s="1"/>
  <c r="B28" i="57"/>
  <c r="Z27" i="57"/>
  <c r="X27" i="57"/>
  <c r="R27" i="57"/>
  <c r="L27" i="57"/>
  <c r="N27" i="57" s="1"/>
  <c r="B27" i="57"/>
  <c r="X26" i="57"/>
  <c r="Z26" i="57" s="1"/>
  <c r="R26" i="57"/>
  <c r="L26" i="57"/>
  <c r="N26" i="57" s="1"/>
  <c r="J26" i="57"/>
  <c r="B26" i="57"/>
  <c r="Z25" i="57"/>
  <c r="X25" i="57"/>
  <c r="N25" i="57"/>
  <c r="L25" i="57"/>
  <c r="J25" i="57"/>
  <c r="B25" i="57"/>
  <c r="Z24" i="57"/>
  <c r="X24" i="57"/>
  <c r="V24" i="57"/>
  <c r="L24" i="57"/>
  <c r="N24" i="57" s="1"/>
  <c r="J24" i="57"/>
  <c r="F24" i="57"/>
  <c r="B24" i="57"/>
  <c r="Z23" i="57"/>
  <c r="X23" i="57"/>
  <c r="R23" i="57"/>
  <c r="L23" i="57"/>
  <c r="N23" i="57" s="1"/>
  <c r="B23" i="57"/>
  <c r="X22" i="57"/>
  <c r="Z22" i="57" s="1"/>
  <c r="R22" i="57"/>
  <c r="L22" i="57"/>
  <c r="N22" i="57" s="1"/>
  <c r="J22" i="57"/>
  <c r="B22" i="57"/>
  <c r="Z21" i="57"/>
  <c r="X21" i="57"/>
  <c r="N21" i="57"/>
  <c r="L21" i="57"/>
  <c r="J21" i="57"/>
  <c r="B21" i="57"/>
  <c r="Z20" i="57"/>
  <c r="X20" i="57"/>
  <c r="V20" i="57"/>
  <c r="L20" i="57"/>
  <c r="N20" i="57" s="1"/>
  <c r="J20" i="57"/>
  <c r="F20" i="57"/>
  <c r="B20" i="57"/>
  <c r="Z19" i="57"/>
  <c r="T19" i="57"/>
  <c r="P19" i="57"/>
  <c r="X19" i="57" s="1"/>
  <c r="J19" i="57"/>
  <c r="H19" i="57"/>
  <c r="F19" i="57"/>
  <c r="D19" i="57"/>
  <c r="L19" i="57" s="1"/>
  <c r="B19" i="57"/>
  <c r="X18" i="57"/>
  <c r="T18" i="57"/>
  <c r="Z18" i="57" s="1"/>
  <c r="R18" i="57"/>
  <c r="P18" i="57"/>
  <c r="J18" i="57"/>
  <c r="H18" i="57"/>
  <c r="D18" i="57"/>
  <c r="L18" i="57" s="1"/>
  <c r="R16" i="57"/>
  <c r="J16" i="57"/>
  <c r="D16" i="57"/>
  <c r="X14" i="57"/>
  <c r="T14" i="57"/>
  <c r="Z14" i="57" s="1"/>
  <c r="R14" i="57"/>
  <c r="P14" i="57"/>
  <c r="J14" i="57"/>
  <c r="H14" i="57"/>
  <c r="N14" i="57" s="1"/>
  <c r="D14" i="57"/>
  <c r="T12" i="57"/>
  <c r="V55" i="57" s="1"/>
  <c r="P12" i="57"/>
  <c r="R45" i="57" s="1"/>
  <c r="N12" i="57"/>
  <c r="H12" i="57"/>
  <c r="J51" i="57" s="1"/>
  <c r="D12" i="57"/>
  <c r="F40" i="57" s="1"/>
  <c r="D6" i="57"/>
  <c r="D4" i="57"/>
  <c r="R78" i="56"/>
  <c r="R75" i="56"/>
  <c r="Z73" i="56"/>
  <c r="X73" i="56"/>
  <c r="N73" i="56"/>
  <c r="L73" i="56"/>
  <c r="J73" i="56"/>
  <c r="J71" i="56"/>
  <c r="T69" i="56"/>
  <c r="Z69" i="56" s="1"/>
  <c r="P69" i="56"/>
  <c r="X69" i="56" s="1"/>
  <c r="J69" i="56"/>
  <c r="H69" i="56"/>
  <c r="L69" i="56" s="1"/>
  <c r="D69" i="56"/>
  <c r="X67" i="56"/>
  <c r="Z67" i="56" s="1"/>
  <c r="R67" i="56"/>
  <c r="N67" i="56"/>
  <c r="L67" i="56"/>
  <c r="B67" i="56"/>
  <c r="X66" i="56"/>
  <c r="Z66" i="56" s="1"/>
  <c r="N66" i="56"/>
  <c r="L66" i="56"/>
  <c r="J66" i="56"/>
  <c r="B66" i="56"/>
  <c r="T65" i="56"/>
  <c r="X65" i="56" s="1"/>
  <c r="R65" i="56"/>
  <c r="P65" i="56"/>
  <c r="H65" i="56"/>
  <c r="D65" i="56"/>
  <c r="L65" i="56" s="1"/>
  <c r="B65" i="56"/>
  <c r="X64" i="56"/>
  <c r="Z64" i="56" s="1"/>
  <c r="R64" i="56"/>
  <c r="N64" i="56"/>
  <c r="L64" i="56"/>
  <c r="B64" i="56"/>
  <c r="X63" i="56"/>
  <c r="T63" i="56"/>
  <c r="Z63" i="56" s="1"/>
  <c r="R63" i="56"/>
  <c r="P63" i="56"/>
  <c r="H63" i="56"/>
  <c r="D63" i="56"/>
  <c r="L63" i="56" s="1"/>
  <c r="N63" i="56" s="1"/>
  <c r="B63" i="56"/>
  <c r="Z62" i="56"/>
  <c r="X62" i="56"/>
  <c r="R62" i="56"/>
  <c r="L62" i="56"/>
  <c r="N62" i="56" s="1"/>
  <c r="B62" i="56"/>
  <c r="T61" i="56"/>
  <c r="P61" i="56"/>
  <c r="J61" i="56"/>
  <c r="H61" i="56"/>
  <c r="D61" i="56"/>
  <c r="L61" i="56" s="1"/>
  <c r="N61" i="56" s="1"/>
  <c r="B61" i="56"/>
  <c r="Z60" i="56"/>
  <c r="X60" i="56"/>
  <c r="L60" i="56"/>
  <c r="N60" i="56" s="1"/>
  <c r="B60" i="56"/>
  <c r="X59" i="56"/>
  <c r="Z59" i="56" s="1"/>
  <c r="R59" i="56"/>
  <c r="L59" i="56"/>
  <c r="N59" i="56" s="1"/>
  <c r="B59" i="56"/>
  <c r="X58" i="56"/>
  <c r="Z58" i="56" s="1"/>
  <c r="N58" i="56"/>
  <c r="L58" i="56"/>
  <c r="J58" i="56"/>
  <c r="B58" i="56"/>
  <c r="T57" i="56"/>
  <c r="X57" i="56" s="1"/>
  <c r="R57" i="56"/>
  <c r="P57" i="56"/>
  <c r="H57" i="56"/>
  <c r="D57" i="56"/>
  <c r="L57" i="56" s="1"/>
  <c r="B57" i="56"/>
  <c r="X56" i="56"/>
  <c r="Z56" i="56" s="1"/>
  <c r="R56" i="56"/>
  <c r="N56" i="56"/>
  <c r="L56" i="56"/>
  <c r="B56" i="56"/>
  <c r="X55" i="56"/>
  <c r="T55" i="56"/>
  <c r="R55" i="56"/>
  <c r="P55" i="56"/>
  <c r="N55" i="56"/>
  <c r="H55" i="56"/>
  <c r="D55" i="56"/>
  <c r="L55" i="56" s="1"/>
  <c r="B55" i="56"/>
  <c r="Z54" i="56"/>
  <c r="X54" i="56"/>
  <c r="R54" i="56"/>
  <c r="N54" i="56"/>
  <c r="L54" i="56"/>
  <c r="B54" i="56"/>
  <c r="X53" i="56"/>
  <c r="Z53" i="56" s="1"/>
  <c r="R53" i="56"/>
  <c r="L53" i="56"/>
  <c r="N53" i="56" s="1"/>
  <c r="J53" i="56"/>
  <c r="B53" i="56"/>
  <c r="Z52" i="56"/>
  <c r="X52" i="56"/>
  <c r="N52" i="56"/>
  <c r="L52" i="56"/>
  <c r="J52" i="56"/>
  <c r="B52" i="56"/>
  <c r="T51" i="56"/>
  <c r="P51" i="56"/>
  <c r="X51" i="56" s="1"/>
  <c r="Z51" i="56" s="1"/>
  <c r="L51" i="56"/>
  <c r="H51" i="56"/>
  <c r="D51" i="56"/>
  <c r="B51" i="56"/>
  <c r="X50" i="56"/>
  <c r="Z50" i="56" s="1"/>
  <c r="N50" i="56"/>
  <c r="L50" i="56"/>
  <c r="J50" i="56"/>
  <c r="B50" i="56"/>
  <c r="X49" i="56"/>
  <c r="Z49" i="56" s="1"/>
  <c r="N49" i="56"/>
  <c r="L49" i="56"/>
  <c r="B49" i="56"/>
  <c r="Z48" i="56"/>
  <c r="X48" i="56"/>
  <c r="V48" i="56"/>
  <c r="N48" i="56"/>
  <c r="L48" i="56"/>
  <c r="B48" i="56"/>
  <c r="T47" i="56"/>
  <c r="P47" i="56"/>
  <c r="L47" i="56"/>
  <c r="J47" i="56"/>
  <c r="H47" i="56"/>
  <c r="N47" i="56" s="1"/>
  <c r="D47" i="56"/>
  <c r="B47" i="56"/>
  <c r="Z46" i="56"/>
  <c r="X46" i="56"/>
  <c r="N46" i="56"/>
  <c r="L46" i="56"/>
  <c r="B46" i="56"/>
  <c r="T45" i="56"/>
  <c r="P45" i="56"/>
  <c r="X45" i="56" s="1"/>
  <c r="Z45" i="56" s="1"/>
  <c r="L45" i="56"/>
  <c r="H45" i="56"/>
  <c r="N45" i="56" s="1"/>
  <c r="D45" i="56"/>
  <c r="B45" i="56"/>
  <c r="Z44" i="56"/>
  <c r="X44" i="56"/>
  <c r="N44" i="56"/>
  <c r="L44" i="56"/>
  <c r="J44" i="56"/>
  <c r="B44" i="56"/>
  <c r="T43" i="56"/>
  <c r="P43" i="56"/>
  <c r="X43" i="56" s="1"/>
  <c r="Z43" i="56" s="1"/>
  <c r="H43" i="56"/>
  <c r="D43" i="56"/>
  <c r="B43" i="56"/>
  <c r="X42" i="56"/>
  <c r="Z42" i="56" s="1"/>
  <c r="N42" i="56"/>
  <c r="L42" i="56"/>
  <c r="J42" i="56"/>
  <c r="B42" i="56"/>
  <c r="X41" i="56"/>
  <c r="T41" i="56"/>
  <c r="Z41" i="56" s="1"/>
  <c r="R41" i="56"/>
  <c r="P41" i="56"/>
  <c r="H41" i="56"/>
  <c r="N41" i="56" s="1"/>
  <c r="D41" i="56"/>
  <c r="B41" i="56"/>
  <c r="X40" i="56"/>
  <c r="Z40" i="56" s="1"/>
  <c r="R40" i="56"/>
  <c r="N40" i="56"/>
  <c r="L40" i="56"/>
  <c r="B40" i="56"/>
  <c r="X39" i="56"/>
  <c r="T39" i="56"/>
  <c r="R39" i="56"/>
  <c r="P39" i="56"/>
  <c r="N39" i="56"/>
  <c r="H39" i="56"/>
  <c r="D39" i="56"/>
  <c r="L39" i="56" s="1"/>
  <c r="B39" i="56"/>
  <c r="Z38" i="56"/>
  <c r="X38" i="56"/>
  <c r="R38" i="56"/>
  <c r="L38" i="56"/>
  <c r="N38" i="56" s="1"/>
  <c r="B38" i="56"/>
  <c r="X37" i="56"/>
  <c r="T37" i="56"/>
  <c r="P37" i="56"/>
  <c r="J37" i="56"/>
  <c r="H37" i="56"/>
  <c r="D37" i="56"/>
  <c r="L37" i="56" s="1"/>
  <c r="N37" i="56" s="1"/>
  <c r="B37" i="56"/>
  <c r="Z36" i="56"/>
  <c r="X36" i="56"/>
  <c r="V36" i="56"/>
  <c r="L36" i="56"/>
  <c r="N36" i="56" s="1"/>
  <c r="F36" i="56"/>
  <c r="B36" i="56"/>
  <c r="T35" i="56"/>
  <c r="P35" i="56"/>
  <c r="X35" i="56" s="1"/>
  <c r="L35" i="56"/>
  <c r="J35" i="56"/>
  <c r="H35" i="56"/>
  <c r="N35" i="56" s="1"/>
  <c r="F35" i="56"/>
  <c r="D35" i="56"/>
  <c r="B35" i="56"/>
  <c r="Z34" i="56"/>
  <c r="X34" i="56"/>
  <c r="N34" i="56"/>
  <c r="L34" i="56"/>
  <c r="B34" i="56"/>
  <c r="Z33" i="56"/>
  <c r="T33" i="56"/>
  <c r="P33" i="56"/>
  <c r="X33" i="56" s="1"/>
  <c r="L33" i="56"/>
  <c r="H33" i="56"/>
  <c r="D33" i="56"/>
  <c r="B33" i="56"/>
  <c r="Z32" i="56"/>
  <c r="X32" i="56"/>
  <c r="N32" i="56"/>
  <c r="L32" i="56"/>
  <c r="J32" i="56"/>
  <c r="B32" i="56"/>
  <c r="Z31" i="56"/>
  <c r="X31" i="56"/>
  <c r="V31" i="56"/>
  <c r="L31" i="56"/>
  <c r="N31" i="56" s="1"/>
  <c r="F31" i="56"/>
  <c r="B31" i="56"/>
  <c r="Z30" i="56"/>
  <c r="X30" i="56"/>
  <c r="R30" i="56"/>
  <c r="L30" i="56"/>
  <c r="N30" i="56" s="1"/>
  <c r="B30" i="56"/>
  <c r="X29" i="56"/>
  <c r="T29" i="56"/>
  <c r="P29" i="56"/>
  <c r="J29" i="56"/>
  <c r="H29" i="56"/>
  <c r="D29" i="56"/>
  <c r="L29" i="56" s="1"/>
  <c r="N29" i="56" s="1"/>
  <c r="B29" i="56"/>
  <c r="Z28" i="56"/>
  <c r="X28" i="56"/>
  <c r="L28" i="56"/>
  <c r="N28" i="56" s="1"/>
  <c r="F28" i="56"/>
  <c r="B28" i="56"/>
  <c r="X27" i="56"/>
  <c r="Z27" i="56" s="1"/>
  <c r="R27" i="56"/>
  <c r="L27" i="56"/>
  <c r="N27" i="56" s="1"/>
  <c r="B27" i="56"/>
  <c r="X26" i="56"/>
  <c r="Z26" i="56" s="1"/>
  <c r="N26" i="56"/>
  <c r="L26" i="56"/>
  <c r="J26" i="56"/>
  <c r="B26" i="56"/>
  <c r="X25" i="56"/>
  <c r="Z25" i="56" s="1"/>
  <c r="N25" i="56"/>
  <c r="L25" i="56"/>
  <c r="B25" i="56"/>
  <c r="Z24" i="56"/>
  <c r="X24" i="56"/>
  <c r="L24" i="56"/>
  <c r="N24" i="56" s="1"/>
  <c r="F24" i="56"/>
  <c r="B24" i="56"/>
  <c r="X23" i="56"/>
  <c r="Z23" i="56" s="1"/>
  <c r="R23" i="56"/>
  <c r="L23" i="56"/>
  <c r="N23" i="56" s="1"/>
  <c r="B23" i="56"/>
  <c r="X22" i="56"/>
  <c r="Z22" i="56" s="1"/>
  <c r="N22" i="56"/>
  <c r="L22" i="56"/>
  <c r="J22" i="56"/>
  <c r="B22" i="56"/>
  <c r="X21" i="56"/>
  <c r="Z21" i="56" s="1"/>
  <c r="N21" i="56"/>
  <c r="L21" i="56"/>
  <c r="B21" i="56"/>
  <c r="Z20" i="56"/>
  <c r="X20" i="56"/>
  <c r="L20" i="56"/>
  <c r="N20" i="56" s="1"/>
  <c r="F20" i="56"/>
  <c r="B20" i="56"/>
  <c r="T19" i="56"/>
  <c r="P19" i="56"/>
  <c r="L19" i="56"/>
  <c r="J19" i="56"/>
  <c r="H19" i="56"/>
  <c r="N19" i="56" s="1"/>
  <c r="F19" i="56"/>
  <c r="D19" i="56"/>
  <c r="B19" i="56"/>
  <c r="T18" i="56"/>
  <c r="R18" i="56"/>
  <c r="P18" i="56"/>
  <c r="X18" i="56" s="1"/>
  <c r="Z18" i="56" s="1"/>
  <c r="H18" i="56"/>
  <c r="D18" i="56"/>
  <c r="R16" i="56"/>
  <c r="H16" i="56"/>
  <c r="Z14" i="56"/>
  <c r="T14" i="56"/>
  <c r="R14" i="56"/>
  <c r="P14" i="56"/>
  <c r="X14" i="56" s="1"/>
  <c r="H14" i="56"/>
  <c r="D14" i="56"/>
  <c r="T12" i="56"/>
  <c r="P12" i="56"/>
  <c r="R73" i="56" s="1"/>
  <c r="N12" i="56"/>
  <c r="H12" i="56"/>
  <c r="J46" i="56" s="1"/>
  <c r="D12" i="56"/>
  <c r="F67" i="56" s="1"/>
  <c r="D6" i="56"/>
  <c r="D4" i="56"/>
  <c r="R38" i="55"/>
  <c r="R35" i="55"/>
  <c r="Z33" i="55"/>
  <c r="X33" i="55"/>
  <c r="N33" i="55"/>
  <c r="L33" i="55"/>
  <c r="J33" i="55"/>
  <c r="J31" i="55"/>
  <c r="T29" i="55"/>
  <c r="P29" i="55"/>
  <c r="N29" i="55"/>
  <c r="J29" i="55"/>
  <c r="H29" i="55"/>
  <c r="D29" i="55"/>
  <c r="L29" i="55" s="1"/>
  <c r="Z27" i="55"/>
  <c r="X27" i="55"/>
  <c r="R27" i="55"/>
  <c r="N27" i="55"/>
  <c r="L27" i="55"/>
  <c r="J27" i="55"/>
  <c r="B27" i="55"/>
  <c r="X26" i="55"/>
  <c r="Z26" i="55" s="1"/>
  <c r="N26" i="55"/>
  <c r="L26" i="55"/>
  <c r="J26" i="55"/>
  <c r="B26" i="55"/>
  <c r="V25" i="55"/>
  <c r="T25" i="55"/>
  <c r="R25" i="55"/>
  <c r="P25" i="55"/>
  <c r="X25" i="55" s="1"/>
  <c r="Z25" i="55" s="1"/>
  <c r="H25" i="55"/>
  <c r="D25" i="55"/>
  <c r="B25" i="55"/>
  <c r="X24" i="55"/>
  <c r="Z24" i="55" s="1"/>
  <c r="R24" i="55"/>
  <c r="L24" i="55"/>
  <c r="N24" i="55" s="1"/>
  <c r="J24" i="55"/>
  <c r="B24" i="55"/>
  <c r="T23" i="55"/>
  <c r="R23" i="55"/>
  <c r="P23" i="55"/>
  <c r="X23" i="55" s="1"/>
  <c r="Z23" i="55" s="1"/>
  <c r="H23" i="55"/>
  <c r="N23" i="55" s="1"/>
  <c r="D23" i="55"/>
  <c r="L23" i="55" s="1"/>
  <c r="B23" i="55"/>
  <c r="X22" i="55"/>
  <c r="Z22" i="55" s="1"/>
  <c r="R22" i="55"/>
  <c r="L22" i="55"/>
  <c r="N22" i="55" s="1"/>
  <c r="B22" i="55"/>
  <c r="X21" i="55"/>
  <c r="T21" i="55"/>
  <c r="R21" i="55"/>
  <c r="P21" i="55"/>
  <c r="N21" i="55"/>
  <c r="J21" i="55"/>
  <c r="H21" i="55"/>
  <c r="D21" i="55"/>
  <c r="L21" i="55" s="1"/>
  <c r="B21" i="55"/>
  <c r="Z20" i="55"/>
  <c r="X20" i="55"/>
  <c r="R20" i="55"/>
  <c r="L20" i="55"/>
  <c r="N20" i="55" s="1"/>
  <c r="J20" i="55"/>
  <c r="B20" i="55"/>
  <c r="T19" i="55"/>
  <c r="P19" i="55"/>
  <c r="J19" i="55"/>
  <c r="H19" i="55"/>
  <c r="F19" i="55"/>
  <c r="D19" i="55"/>
  <c r="L19" i="55" s="1"/>
  <c r="N19" i="55" s="1"/>
  <c r="B19" i="55"/>
  <c r="Z18" i="55"/>
  <c r="V18" i="55"/>
  <c r="T18" i="55"/>
  <c r="P18" i="55"/>
  <c r="X18" i="55" s="1"/>
  <c r="J18" i="55"/>
  <c r="H18" i="55"/>
  <c r="D18" i="55"/>
  <c r="V16" i="55"/>
  <c r="J16" i="55"/>
  <c r="H16" i="55"/>
  <c r="Z14" i="55"/>
  <c r="V14" i="55"/>
  <c r="T14" i="55"/>
  <c r="P14" i="55"/>
  <c r="X14" i="55" s="1"/>
  <c r="L14" i="55"/>
  <c r="J14" i="55"/>
  <c r="H14" i="55"/>
  <c r="N14" i="55" s="1"/>
  <c r="D14" i="55"/>
  <c r="Z12" i="55"/>
  <c r="T12" i="55"/>
  <c r="P12" i="55"/>
  <c r="R26" i="55" s="1"/>
  <c r="N12" i="55"/>
  <c r="H12" i="55"/>
  <c r="J38" i="55" s="1"/>
  <c r="D12" i="55"/>
  <c r="F31" i="55" s="1"/>
  <c r="D6" i="55"/>
  <c r="D4" i="55"/>
  <c r="V31" i="54"/>
  <c r="R31" i="54"/>
  <c r="V29" i="54"/>
  <c r="T29" i="54"/>
  <c r="P29" i="54"/>
  <c r="X29" i="54" s="1"/>
  <c r="H29" i="54"/>
  <c r="D29" i="54"/>
  <c r="V28" i="54"/>
  <c r="T28" i="54"/>
  <c r="P28" i="54"/>
  <c r="X28" i="54" s="1"/>
  <c r="H28" i="54"/>
  <c r="D28" i="54"/>
  <c r="V26" i="54"/>
  <c r="Z24" i="54"/>
  <c r="X24" i="54"/>
  <c r="V24" i="54"/>
  <c r="N24" i="54"/>
  <c r="L24" i="54"/>
  <c r="F24" i="54"/>
  <c r="T20" i="54"/>
  <c r="P20" i="54"/>
  <c r="N20" i="54"/>
  <c r="H20" i="54"/>
  <c r="D20" i="54"/>
  <c r="L20" i="54" s="1"/>
  <c r="X18" i="54"/>
  <c r="T18" i="54"/>
  <c r="Z18" i="54" s="1"/>
  <c r="P18" i="54"/>
  <c r="N18" i="54"/>
  <c r="H18" i="54"/>
  <c r="D18" i="54"/>
  <c r="L18" i="54" s="1"/>
  <c r="T14" i="54"/>
  <c r="Z14" i="54" s="1"/>
  <c r="P14" i="54"/>
  <c r="N14" i="54"/>
  <c r="J14" i="54"/>
  <c r="H14" i="54"/>
  <c r="D14" i="54"/>
  <c r="L14" i="54" s="1"/>
  <c r="X12" i="54"/>
  <c r="T12" i="54"/>
  <c r="Z12" i="54" s="1"/>
  <c r="P12" i="54"/>
  <c r="R28" i="54" s="1"/>
  <c r="H12" i="54"/>
  <c r="J16" i="54" s="1"/>
  <c r="D12" i="54"/>
  <c r="F22" i="54" s="1"/>
  <c r="D6" i="54"/>
  <c r="D4" i="54"/>
  <c r="X97" i="51"/>
  <c r="Z97" i="51" s="1"/>
  <c r="N97" i="51"/>
  <c r="L97" i="51"/>
  <c r="F97" i="51"/>
  <c r="T93" i="51"/>
  <c r="P93" i="51"/>
  <c r="X93" i="51" s="1"/>
  <c r="Z93" i="51" s="1"/>
  <c r="H93" i="51"/>
  <c r="D93" i="51"/>
  <c r="L93" i="51" s="1"/>
  <c r="N93" i="51" s="1"/>
  <c r="B93" i="51"/>
  <c r="Z92" i="51"/>
  <c r="X92" i="51"/>
  <c r="T92" i="51"/>
  <c r="P92" i="51"/>
  <c r="N92" i="51"/>
  <c r="L92" i="51"/>
  <c r="H92" i="51"/>
  <c r="F92" i="51"/>
  <c r="D92" i="51"/>
  <c r="B92" i="51"/>
  <c r="T91" i="51"/>
  <c r="P91" i="51"/>
  <c r="H91" i="51"/>
  <c r="H90" i="51" s="1"/>
  <c r="D91" i="51"/>
  <c r="D90" i="51" s="1"/>
  <c r="L90" i="51" s="1"/>
  <c r="B91" i="51"/>
  <c r="P90" i="51"/>
  <c r="Z88" i="51"/>
  <c r="X88" i="51"/>
  <c r="L88" i="51"/>
  <c r="N88" i="51" s="1"/>
  <c r="B88" i="51"/>
  <c r="T87" i="51"/>
  <c r="P87" i="51"/>
  <c r="X87" i="51" s="1"/>
  <c r="Z87" i="51" s="1"/>
  <c r="H87" i="51"/>
  <c r="D87" i="51"/>
  <c r="L87" i="51" s="1"/>
  <c r="N87" i="51" s="1"/>
  <c r="B87" i="51"/>
  <c r="Z86" i="51"/>
  <c r="X86" i="51"/>
  <c r="N86" i="51"/>
  <c r="L86" i="51"/>
  <c r="F86" i="51"/>
  <c r="B86" i="51"/>
  <c r="X85" i="51"/>
  <c r="Z85" i="51" s="1"/>
  <c r="N85" i="51"/>
  <c r="L85" i="51"/>
  <c r="B85" i="51"/>
  <c r="X84" i="51"/>
  <c r="Z84" i="51" s="1"/>
  <c r="T84" i="51"/>
  <c r="P84" i="51"/>
  <c r="N84" i="51"/>
  <c r="L84" i="51"/>
  <c r="H84" i="51"/>
  <c r="D84" i="51"/>
  <c r="B84" i="51"/>
  <c r="Z83" i="51"/>
  <c r="X83" i="51"/>
  <c r="N83" i="51"/>
  <c r="L83" i="51"/>
  <c r="B83" i="51"/>
  <c r="T82" i="51"/>
  <c r="P82" i="51"/>
  <c r="N82" i="51"/>
  <c r="L82" i="51"/>
  <c r="H82" i="51"/>
  <c r="D82" i="51"/>
  <c r="B82" i="51"/>
  <c r="Z81" i="51"/>
  <c r="X81" i="51"/>
  <c r="L81" i="51"/>
  <c r="N81" i="51" s="1"/>
  <c r="B81" i="51"/>
  <c r="T80" i="51"/>
  <c r="P80" i="51"/>
  <c r="X80" i="51" s="1"/>
  <c r="Z80" i="51" s="1"/>
  <c r="H80" i="51"/>
  <c r="D80" i="51"/>
  <c r="L80" i="51" s="1"/>
  <c r="B80" i="51"/>
  <c r="X79" i="51"/>
  <c r="Z79" i="51" s="1"/>
  <c r="N79" i="51"/>
  <c r="L79" i="51"/>
  <c r="F79" i="51"/>
  <c r="B79" i="51"/>
  <c r="Z78" i="51"/>
  <c r="X78" i="51"/>
  <c r="T78" i="51"/>
  <c r="P78" i="51"/>
  <c r="L78" i="51"/>
  <c r="N78" i="51" s="1"/>
  <c r="H78" i="51"/>
  <c r="F78" i="51"/>
  <c r="D78" i="51"/>
  <c r="B78" i="51"/>
  <c r="Z77" i="51"/>
  <c r="X77" i="51"/>
  <c r="N77" i="51"/>
  <c r="L77" i="51"/>
  <c r="B77" i="51"/>
  <c r="Z76" i="51"/>
  <c r="X76" i="51"/>
  <c r="T76" i="51"/>
  <c r="P76" i="51"/>
  <c r="H76" i="51"/>
  <c r="D76" i="51"/>
  <c r="B76" i="51"/>
  <c r="Z75" i="51"/>
  <c r="X75" i="51"/>
  <c r="L75" i="51"/>
  <c r="N75" i="51" s="1"/>
  <c r="B75" i="51"/>
  <c r="T74" i="51"/>
  <c r="Z74" i="51" s="1"/>
  <c r="P74" i="51"/>
  <c r="X74" i="51" s="1"/>
  <c r="H74" i="51"/>
  <c r="D74" i="51"/>
  <c r="L74" i="51" s="1"/>
  <c r="N74" i="51" s="1"/>
  <c r="B74" i="51"/>
  <c r="X73" i="51"/>
  <c r="Z73" i="51" s="1"/>
  <c r="N73" i="51"/>
  <c r="L73" i="51"/>
  <c r="B73" i="51"/>
  <c r="X72" i="51"/>
  <c r="Z72" i="51" s="1"/>
  <c r="T72" i="51"/>
  <c r="P72" i="51"/>
  <c r="N72" i="51"/>
  <c r="L72" i="51"/>
  <c r="H72" i="51"/>
  <c r="D72" i="51"/>
  <c r="B72" i="51"/>
  <c r="Z71" i="51"/>
  <c r="X71" i="51"/>
  <c r="N71" i="51"/>
  <c r="L71" i="51"/>
  <c r="B71" i="51"/>
  <c r="T70" i="51"/>
  <c r="P70" i="51"/>
  <c r="N70" i="51"/>
  <c r="L70" i="51"/>
  <c r="H70" i="51"/>
  <c r="D70" i="51"/>
  <c r="B70" i="51"/>
  <c r="Z69" i="51"/>
  <c r="X69" i="51"/>
  <c r="L69" i="51"/>
  <c r="N69" i="51" s="1"/>
  <c r="B69" i="51"/>
  <c r="Z68" i="51"/>
  <c r="X68" i="51"/>
  <c r="N68" i="51"/>
  <c r="L68" i="51"/>
  <c r="B68" i="51"/>
  <c r="Z67" i="51"/>
  <c r="X67" i="51"/>
  <c r="L67" i="51"/>
  <c r="N67" i="51" s="1"/>
  <c r="B67" i="51"/>
  <c r="X66" i="51"/>
  <c r="Z66" i="51" s="1"/>
  <c r="N66" i="51"/>
  <c r="L66" i="51"/>
  <c r="B66" i="51"/>
  <c r="T65" i="51"/>
  <c r="P65" i="51"/>
  <c r="X65" i="51" s="1"/>
  <c r="Z65" i="51" s="1"/>
  <c r="H65" i="51"/>
  <c r="D65" i="51"/>
  <c r="L65" i="51" s="1"/>
  <c r="N65" i="51" s="1"/>
  <c r="B65" i="51"/>
  <c r="X64" i="51"/>
  <c r="Z64" i="51" s="1"/>
  <c r="N64" i="51"/>
  <c r="L64" i="51"/>
  <c r="B64" i="51"/>
  <c r="X63" i="51"/>
  <c r="Z63" i="51" s="1"/>
  <c r="N63" i="51"/>
  <c r="L63" i="51"/>
  <c r="F63" i="51"/>
  <c r="B63" i="51"/>
  <c r="Z62" i="51"/>
  <c r="X62" i="51"/>
  <c r="N62" i="51"/>
  <c r="L62" i="51"/>
  <c r="F62" i="51"/>
  <c r="B62" i="51"/>
  <c r="X61" i="51"/>
  <c r="Z61" i="51" s="1"/>
  <c r="N61" i="51"/>
  <c r="L61" i="51"/>
  <c r="B61" i="51"/>
  <c r="X60" i="51"/>
  <c r="Z60" i="51" s="1"/>
  <c r="N60" i="51"/>
  <c r="L60" i="51"/>
  <c r="B60" i="51"/>
  <c r="X59" i="51"/>
  <c r="Z59" i="51" s="1"/>
  <c r="N59" i="51"/>
  <c r="L59" i="51"/>
  <c r="F59" i="51"/>
  <c r="B59" i="51"/>
  <c r="Z58" i="51"/>
  <c r="X58" i="51"/>
  <c r="N58" i="51"/>
  <c r="L58" i="51"/>
  <c r="F58" i="51"/>
  <c r="B58" i="51"/>
  <c r="X57" i="51"/>
  <c r="Z57" i="51" s="1"/>
  <c r="N57" i="51"/>
  <c r="L57" i="51"/>
  <c r="B57" i="51"/>
  <c r="X56" i="51"/>
  <c r="Z56" i="51" s="1"/>
  <c r="N56" i="51"/>
  <c r="L56" i="51"/>
  <c r="B56" i="51"/>
  <c r="X55" i="51"/>
  <c r="Z55" i="51" s="1"/>
  <c r="T55" i="51"/>
  <c r="P55" i="51"/>
  <c r="L55" i="51"/>
  <c r="H55" i="51"/>
  <c r="D55" i="51"/>
  <c r="B55" i="51"/>
  <c r="T54" i="51"/>
  <c r="P54" i="51"/>
  <c r="N54" i="51"/>
  <c r="L54" i="51"/>
  <c r="H54" i="51"/>
  <c r="D54" i="51"/>
  <c r="Z50" i="51"/>
  <c r="X50" i="51"/>
  <c r="L50" i="51"/>
  <c r="N50" i="51" s="1"/>
  <c r="B50" i="51"/>
  <c r="Z49" i="51"/>
  <c r="X49" i="51"/>
  <c r="N49" i="51"/>
  <c r="L49" i="51"/>
  <c r="B49" i="51"/>
  <c r="Z48" i="51"/>
  <c r="X48" i="51"/>
  <c r="N48" i="51"/>
  <c r="L48" i="51"/>
  <c r="B48" i="51"/>
  <c r="Z47" i="51"/>
  <c r="X47" i="51"/>
  <c r="N47" i="51"/>
  <c r="L47" i="51"/>
  <c r="B47" i="51"/>
  <c r="Z46" i="51"/>
  <c r="X46" i="51"/>
  <c r="L46" i="51"/>
  <c r="N46" i="51" s="1"/>
  <c r="B46" i="51"/>
  <c r="Z45" i="51"/>
  <c r="X45" i="51"/>
  <c r="N45" i="51"/>
  <c r="L45" i="51"/>
  <c r="B45" i="51"/>
  <c r="Z44" i="51"/>
  <c r="X44" i="51"/>
  <c r="L44" i="51"/>
  <c r="N44" i="51" s="1"/>
  <c r="B44" i="51"/>
  <c r="Z43" i="51"/>
  <c r="X43" i="51"/>
  <c r="N43" i="51"/>
  <c r="L43" i="51"/>
  <c r="B43" i="51"/>
  <c r="Z42" i="51"/>
  <c r="X42" i="51"/>
  <c r="L42" i="51"/>
  <c r="N42" i="51" s="1"/>
  <c r="B42" i="51"/>
  <c r="Z41" i="51"/>
  <c r="X41" i="51"/>
  <c r="N41" i="51"/>
  <c r="L41" i="51"/>
  <c r="B41" i="51"/>
  <c r="Z40" i="51"/>
  <c r="X40" i="51"/>
  <c r="L40" i="51"/>
  <c r="N40" i="51" s="1"/>
  <c r="B40" i="51"/>
  <c r="Z39" i="51"/>
  <c r="X39" i="51"/>
  <c r="N39" i="51"/>
  <c r="L39" i="51"/>
  <c r="B39" i="51"/>
  <c r="Z38" i="51"/>
  <c r="X38" i="51"/>
  <c r="L38" i="51"/>
  <c r="N38" i="51" s="1"/>
  <c r="B38" i="51"/>
  <c r="T37" i="51"/>
  <c r="P37" i="51"/>
  <c r="H37" i="51"/>
  <c r="D37" i="51"/>
  <c r="Z35" i="51"/>
  <c r="T35" i="51"/>
  <c r="P35" i="51"/>
  <c r="X35" i="51" s="1"/>
  <c r="H35" i="51"/>
  <c r="D35" i="51"/>
  <c r="B35" i="51"/>
  <c r="Z34" i="51"/>
  <c r="X34" i="51"/>
  <c r="T34" i="51"/>
  <c r="P34" i="51"/>
  <c r="H34" i="51"/>
  <c r="N34" i="51" s="1"/>
  <c r="D34" i="51"/>
  <c r="B34" i="51"/>
  <c r="Z33" i="51"/>
  <c r="T33" i="51"/>
  <c r="P33" i="51"/>
  <c r="X33" i="51" s="1"/>
  <c r="N33" i="51"/>
  <c r="L33" i="51"/>
  <c r="H33" i="51"/>
  <c r="D33" i="51"/>
  <c r="B33" i="51"/>
  <c r="T32" i="51"/>
  <c r="P32" i="51"/>
  <c r="X32" i="51" s="1"/>
  <c r="Z32" i="51" s="1"/>
  <c r="H32" i="51"/>
  <c r="D32" i="51"/>
  <c r="L32" i="51" s="1"/>
  <c r="B32" i="51"/>
  <c r="Z31" i="51"/>
  <c r="T31" i="51"/>
  <c r="P31" i="51"/>
  <c r="X31" i="51" s="1"/>
  <c r="H31" i="51"/>
  <c r="D31" i="51"/>
  <c r="B31" i="51"/>
  <c r="Z30" i="51"/>
  <c r="X30" i="51"/>
  <c r="T30" i="51"/>
  <c r="P30" i="51"/>
  <c r="H30" i="51"/>
  <c r="N30" i="51" s="1"/>
  <c r="D30" i="51"/>
  <c r="B30" i="51"/>
  <c r="T29" i="51"/>
  <c r="P29" i="51"/>
  <c r="X29" i="51" s="1"/>
  <c r="Z29" i="51" s="1"/>
  <c r="N29" i="51"/>
  <c r="L29" i="51"/>
  <c r="H29" i="51"/>
  <c r="D29" i="51"/>
  <c r="B29" i="51"/>
  <c r="T28" i="51"/>
  <c r="P28" i="51"/>
  <c r="X28" i="51" s="1"/>
  <c r="Z28" i="51" s="1"/>
  <c r="H28" i="51"/>
  <c r="D28" i="51"/>
  <c r="L28" i="51" s="1"/>
  <c r="B28" i="51"/>
  <c r="T27" i="51"/>
  <c r="P27" i="51"/>
  <c r="X27" i="51" s="1"/>
  <c r="Z27" i="51" s="1"/>
  <c r="H27" i="51"/>
  <c r="D27" i="51"/>
  <c r="B27" i="51"/>
  <c r="Z26" i="51"/>
  <c r="X26" i="51"/>
  <c r="T26" i="51"/>
  <c r="P26" i="51"/>
  <c r="H26" i="51"/>
  <c r="N26" i="51" s="1"/>
  <c r="D26" i="51"/>
  <c r="B26" i="51"/>
  <c r="Z25" i="51"/>
  <c r="T25" i="51"/>
  <c r="P25" i="51"/>
  <c r="X25" i="51" s="1"/>
  <c r="N25" i="51"/>
  <c r="L25" i="51"/>
  <c r="H25" i="51"/>
  <c r="D25" i="51"/>
  <c r="B25" i="51"/>
  <c r="T24" i="51"/>
  <c r="P24" i="51"/>
  <c r="X24" i="51" s="1"/>
  <c r="Z24" i="51" s="1"/>
  <c r="H24" i="51"/>
  <c r="D24" i="51"/>
  <c r="B24" i="51"/>
  <c r="T23" i="51"/>
  <c r="P23" i="51"/>
  <c r="X23" i="51" s="1"/>
  <c r="Z23" i="51" s="1"/>
  <c r="H23" i="51"/>
  <c r="D23" i="51"/>
  <c r="B23" i="51"/>
  <c r="Z22" i="51"/>
  <c r="X22" i="51"/>
  <c r="T22" i="51"/>
  <c r="P22" i="51"/>
  <c r="H22" i="51"/>
  <c r="D22" i="51"/>
  <c r="B22" i="51"/>
  <c r="Z21" i="51"/>
  <c r="T21" i="51"/>
  <c r="P21" i="51"/>
  <c r="X21" i="51" s="1"/>
  <c r="N21" i="51"/>
  <c r="L21" i="51"/>
  <c r="H21" i="51"/>
  <c r="D21" i="51"/>
  <c r="B21" i="51"/>
  <c r="T20" i="51"/>
  <c r="P20" i="51"/>
  <c r="X20" i="51" s="1"/>
  <c r="Z20" i="51" s="1"/>
  <c r="H20" i="51"/>
  <c r="D20" i="51"/>
  <c r="L20" i="51" s="1"/>
  <c r="B20" i="51"/>
  <c r="T19" i="51"/>
  <c r="P19" i="51"/>
  <c r="X19" i="51" s="1"/>
  <c r="Z19" i="51" s="1"/>
  <c r="H19" i="51"/>
  <c r="D19" i="51"/>
  <c r="B19" i="51"/>
  <c r="Z18" i="51"/>
  <c r="X18" i="51"/>
  <c r="T18" i="51"/>
  <c r="P18" i="51"/>
  <c r="H18" i="51"/>
  <c r="D18" i="51"/>
  <c r="B18" i="51"/>
  <c r="T17" i="51"/>
  <c r="P17" i="51"/>
  <c r="X17" i="51" s="1"/>
  <c r="Z17" i="51" s="1"/>
  <c r="N17" i="51"/>
  <c r="L17" i="51"/>
  <c r="H17" i="51"/>
  <c r="D17" i="51"/>
  <c r="B17" i="51"/>
  <c r="T16" i="51"/>
  <c r="P16" i="51"/>
  <c r="X16" i="51" s="1"/>
  <c r="Z16" i="51" s="1"/>
  <c r="H16" i="51"/>
  <c r="N16" i="51" s="1"/>
  <c r="D16" i="51"/>
  <c r="L16" i="51" s="1"/>
  <c r="B16" i="51"/>
  <c r="T15" i="51"/>
  <c r="P15" i="51"/>
  <c r="X15" i="51" s="1"/>
  <c r="Z15" i="51" s="1"/>
  <c r="H15" i="51"/>
  <c r="D15" i="51"/>
  <c r="B15" i="51"/>
  <c r="Z14" i="51"/>
  <c r="X14" i="51"/>
  <c r="T14" i="51"/>
  <c r="T12" i="51" s="1"/>
  <c r="P14" i="51"/>
  <c r="H14" i="51"/>
  <c r="D14" i="51"/>
  <c r="B14" i="51"/>
  <c r="Z13" i="51"/>
  <c r="T13" i="51"/>
  <c r="P13" i="51"/>
  <c r="X13" i="51" s="1"/>
  <c r="N13" i="51"/>
  <c r="L13" i="51"/>
  <c r="H13" i="51"/>
  <c r="D13" i="51"/>
  <c r="B13" i="51"/>
  <c r="D12" i="51"/>
  <c r="F91" i="51" s="1"/>
  <c r="D4" i="51"/>
  <c r="X68" i="48"/>
  <c r="Z68" i="48" s="1"/>
  <c r="N68" i="48"/>
  <c r="L68" i="48"/>
  <c r="F68" i="48"/>
  <c r="Z64" i="48"/>
  <c r="T64" i="48"/>
  <c r="P64" i="48"/>
  <c r="X64" i="48" s="1"/>
  <c r="H64" i="48"/>
  <c r="D64" i="48"/>
  <c r="L64" i="48" s="1"/>
  <c r="N64" i="48" s="1"/>
  <c r="B64" i="48"/>
  <c r="T63" i="48"/>
  <c r="H63" i="48"/>
  <c r="Z61" i="48"/>
  <c r="X61" i="48"/>
  <c r="N61" i="48"/>
  <c r="L61" i="48"/>
  <c r="F61" i="48"/>
  <c r="B61" i="48"/>
  <c r="X60" i="48"/>
  <c r="V60" i="48"/>
  <c r="T60" i="48"/>
  <c r="Z60" i="48" s="1"/>
  <c r="P60" i="48"/>
  <c r="L60" i="48"/>
  <c r="N60" i="48" s="1"/>
  <c r="H60" i="48"/>
  <c r="F60" i="48"/>
  <c r="D60" i="48"/>
  <c r="B60" i="48"/>
  <c r="Z59" i="48"/>
  <c r="X59" i="48"/>
  <c r="L59" i="48"/>
  <c r="N59" i="48" s="1"/>
  <c r="B59" i="48"/>
  <c r="Z58" i="48"/>
  <c r="X58" i="48"/>
  <c r="N58" i="48"/>
  <c r="L58" i="48"/>
  <c r="B58" i="48"/>
  <c r="Z57" i="48"/>
  <c r="X57" i="48"/>
  <c r="L57" i="48"/>
  <c r="N57" i="48" s="1"/>
  <c r="F57" i="48"/>
  <c r="B57" i="48"/>
  <c r="Z56" i="48"/>
  <c r="X56" i="48"/>
  <c r="N56" i="48"/>
  <c r="L56" i="48"/>
  <c r="B56" i="48"/>
  <c r="X55" i="48"/>
  <c r="Z55" i="48" s="1"/>
  <c r="T55" i="48"/>
  <c r="P55" i="48"/>
  <c r="H55" i="48"/>
  <c r="D55" i="48"/>
  <c r="L55" i="48" s="1"/>
  <c r="B55" i="48"/>
  <c r="Z54" i="48"/>
  <c r="X54" i="48"/>
  <c r="N54" i="48"/>
  <c r="L54" i="48"/>
  <c r="B54" i="48"/>
  <c r="Z53" i="48"/>
  <c r="X53" i="48"/>
  <c r="N53" i="48"/>
  <c r="L53" i="48"/>
  <c r="B53" i="48"/>
  <c r="V52" i="48"/>
  <c r="T52" i="48"/>
  <c r="P52" i="48"/>
  <c r="X52" i="48" s="1"/>
  <c r="Z52" i="48" s="1"/>
  <c r="N52" i="48"/>
  <c r="H52" i="48"/>
  <c r="D52" i="48"/>
  <c r="L52" i="48" s="1"/>
  <c r="B52" i="48"/>
  <c r="X51" i="48"/>
  <c r="Z51" i="48" s="1"/>
  <c r="N51" i="48"/>
  <c r="L51" i="48"/>
  <c r="B51" i="48"/>
  <c r="X50" i="48"/>
  <c r="Z50" i="48" s="1"/>
  <c r="T50" i="48"/>
  <c r="P50" i="48"/>
  <c r="L50" i="48"/>
  <c r="H50" i="48"/>
  <c r="D50" i="48"/>
  <c r="B50" i="48"/>
  <c r="Z49" i="48"/>
  <c r="X49" i="48"/>
  <c r="R49" i="48"/>
  <c r="L49" i="48"/>
  <c r="N49" i="48" s="1"/>
  <c r="F49" i="48"/>
  <c r="B49" i="48"/>
  <c r="T48" i="48"/>
  <c r="P48" i="48"/>
  <c r="H48" i="48"/>
  <c r="F48" i="48"/>
  <c r="D48" i="48"/>
  <c r="B48" i="48"/>
  <c r="X47" i="48"/>
  <c r="Z47" i="48" s="1"/>
  <c r="L47" i="48"/>
  <c r="N47" i="48" s="1"/>
  <c r="B47" i="48"/>
  <c r="T46" i="48"/>
  <c r="P46" i="48"/>
  <c r="X46" i="48" s="1"/>
  <c r="Z46" i="48" s="1"/>
  <c r="H46" i="48"/>
  <c r="D46" i="48"/>
  <c r="L46" i="48" s="1"/>
  <c r="B46" i="48"/>
  <c r="Z45" i="48"/>
  <c r="X45" i="48"/>
  <c r="N45" i="48"/>
  <c r="L45" i="48"/>
  <c r="F45" i="48"/>
  <c r="B45" i="48"/>
  <c r="X44" i="48"/>
  <c r="T44" i="48"/>
  <c r="P44" i="48"/>
  <c r="L44" i="48"/>
  <c r="N44" i="48" s="1"/>
  <c r="H44" i="48"/>
  <c r="F44" i="48"/>
  <c r="D44" i="48"/>
  <c r="B44" i="48"/>
  <c r="X43" i="48"/>
  <c r="Z43" i="48" s="1"/>
  <c r="N43" i="48"/>
  <c r="L43" i="48"/>
  <c r="B43" i="48"/>
  <c r="T42" i="48"/>
  <c r="P42" i="48"/>
  <c r="H42" i="48"/>
  <c r="N42" i="48" s="1"/>
  <c r="D42" i="48"/>
  <c r="B42" i="48"/>
  <c r="Z41" i="48"/>
  <c r="X41" i="48"/>
  <c r="N41" i="48"/>
  <c r="L41" i="48"/>
  <c r="B41" i="48"/>
  <c r="T40" i="48"/>
  <c r="Z40" i="48" s="1"/>
  <c r="P40" i="48"/>
  <c r="X40" i="48" s="1"/>
  <c r="N40" i="48"/>
  <c r="H40" i="48"/>
  <c r="D40" i="48"/>
  <c r="L40" i="48" s="1"/>
  <c r="B40" i="48"/>
  <c r="X39" i="48"/>
  <c r="Z39" i="48" s="1"/>
  <c r="L39" i="48"/>
  <c r="N39" i="48" s="1"/>
  <c r="B39" i="48"/>
  <c r="X38" i="48"/>
  <c r="Z38" i="48" s="1"/>
  <c r="T38" i="48"/>
  <c r="P38" i="48"/>
  <c r="L38" i="48"/>
  <c r="H38" i="48"/>
  <c r="N38" i="48" s="1"/>
  <c r="D38" i="48"/>
  <c r="B38" i="48"/>
  <c r="Z37" i="48"/>
  <c r="X37" i="48"/>
  <c r="L37" i="48"/>
  <c r="N37" i="48" s="1"/>
  <c r="F37" i="48"/>
  <c r="B37" i="48"/>
  <c r="T36" i="48"/>
  <c r="P36" i="48"/>
  <c r="H36" i="48"/>
  <c r="F36" i="48"/>
  <c r="D36" i="48"/>
  <c r="B36" i="48"/>
  <c r="Z35" i="48"/>
  <c r="X35" i="48"/>
  <c r="N35" i="48"/>
  <c r="L35" i="48"/>
  <c r="B35" i="48"/>
  <c r="Z34" i="48"/>
  <c r="X34" i="48"/>
  <c r="L34" i="48"/>
  <c r="N34" i="48" s="1"/>
  <c r="B34" i="48"/>
  <c r="X33" i="48"/>
  <c r="Z33" i="48" s="1"/>
  <c r="N33" i="48"/>
  <c r="L33" i="48"/>
  <c r="B33" i="48"/>
  <c r="X32" i="48"/>
  <c r="Z32" i="48" s="1"/>
  <c r="L32" i="48"/>
  <c r="N32" i="48" s="1"/>
  <c r="F32" i="48"/>
  <c r="B32" i="48"/>
  <c r="X31" i="48"/>
  <c r="Z31" i="48" s="1"/>
  <c r="L31" i="48"/>
  <c r="N31" i="48" s="1"/>
  <c r="B31" i="48"/>
  <c r="Z30" i="48"/>
  <c r="X30" i="48"/>
  <c r="L30" i="48"/>
  <c r="N30" i="48" s="1"/>
  <c r="B30" i="48"/>
  <c r="V29" i="48"/>
  <c r="T29" i="48"/>
  <c r="P29" i="48"/>
  <c r="X29" i="48" s="1"/>
  <c r="H29" i="48"/>
  <c r="D29" i="48"/>
  <c r="L29" i="48" s="1"/>
  <c r="N29" i="48" s="1"/>
  <c r="B29" i="48"/>
  <c r="X28" i="48"/>
  <c r="Z28" i="48" s="1"/>
  <c r="N28" i="48"/>
  <c r="L28" i="48"/>
  <c r="F28" i="48"/>
  <c r="B28" i="48"/>
  <c r="X27" i="48"/>
  <c r="Z27" i="48" s="1"/>
  <c r="N27" i="48"/>
  <c r="L27" i="48"/>
  <c r="F27" i="48"/>
  <c r="B27" i="48"/>
  <c r="X26" i="48"/>
  <c r="Z26" i="48" s="1"/>
  <c r="N26" i="48"/>
  <c r="L26" i="48"/>
  <c r="F26" i="48"/>
  <c r="B26" i="48"/>
  <c r="Z25" i="48"/>
  <c r="X25" i="48"/>
  <c r="N25" i="48"/>
  <c r="L25" i="48"/>
  <c r="F25" i="48"/>
  <c r="B25" i="48"/>
  <c r="X24" i="48"/>
  <c r="Z24" i="48" s="1"/>
  <c r="N24" i="48"/>
  <c r="L24" i="48"/>
  <c r="F24" i="48"/>
  <c r="B24" i="48"/>
  <c r="X23" i="48"/>
  <c r="Z23" i="48" s="1"/>
  <c r="N23" i="48"/>
  <c r="L23" i="48"/>
  <c r="F23" i="48"/>
  <c r="B23" i="48"/>
  <c r="X22" i="48"/>
  <c r="Z22" i="48" s="1"/>
  <c r="N22" i="48"/>
  <c r="L22" i="48"/>
  <c r="F22" i="48"/>
  <c r="B22" i="48"/>
  <c r="Z21" i="48"/>
  <c r="X21" i="48"/>
  <c r="N21" i="48"/>
  <c r="L21" i="48"/>
  <c r="F21" i="48"/>
  <c r="B21" i="48"/>
  <c r="X20" i="48"/>
  <c r="T20" i="48"/>
  <c r="Z20" i="48" s="1"/>
  <c r="P20" i="48"/>
  <c r="L20" i="48"/>
  <c r="N20" i="48" s="1"/>
  <c r="H20" i="48"/>
  <c r="F20" i="48"/>
  <c r="D20" i="48"/>
  <c r="B20" i="48"/>
  <c r="Z19" i="48"/>
  <c r="X19" i="48"/>
  <c r="T19" i="48"/>
  <c r="P19" i="48"/>
  <c r="H19" i="48"/>
  <c r="D19" i="48"/>
  <c r="Z15" i="48"/>
  <c r="X15" i="48"/>
  <c r="T15" i="48"/>
  <c r="P15" i="48"/>
  <c r="H15" i="48"/>
  <c r="N15" i="48" s="1"/>
  <c r="D15" i="48"/>
  <c r="L15" i="48" s="1"/>
  <c r="X13" i="48"/>
  <c r="Z13" i="48" s="1"/>
  <c r="T13" i="48"/>
  <c r="T12" i="48" s="1"/>
  <c r="V53" i="48" s="1"/>
  <c r="P13" i="48"/>
  <c r="H13" i="48"/>
  <c r="D13" i="48"/>
  <c r="B13" i="48"/>
  <c r="P12" i="48"/>
  <c r="R50" i="48" s="1"/>
  <c r="D12" i="48"/>
  <c r="D4" i="48"/>
  <c r="X93" i="45"/>
  <c r="Z93" i="45" s="1"/>
  <c r="N93" i="45"/>
  <c r="L93" i="45"/>
  <c r="Z89" i="45"/>
  <c r="X89" i="45"/>
  <c r="T89" i="45"/>
  <c r="P89" i="45"/>
  <c r="H89" i="45"/>
  <c r="N89" i="45" s="1"/>
  <c r="D89" i="45"/>
  <c r="L89" i="45" s="1"/>
  <c r="X87" i="45"/>
  <c r="Z87" i="45" s="1"/>
  <c r="L87" i="45"/>
  <c r="N87" i="45" s="1"/>
  <c r="B87" i="45"/>
  <c r="Z86" i="45"/>
  <c r="X86" i="45"/>
  <c r="N86" i="45"/>
  <c r="L86" i="45"/>
  <c r="B86" i="45"/>
  <c r="T85" i="45"/>
  <c r="P85" i="45"/>
  <c r="L85" i="45"/>
  <c r="N85" i="45" s="1"/>
  <c r="H85" i="45"/>
  <c r="D85" i="45"/>
  <c r="B85" i="45"/>
  <c r="X84" i="45"/>
  <c r="Z84" i="45" s="1"/>
  <c r="N84" i="45"/>
  <c r="L84" i="45"/>
  <c r="B84" i="45"/>
  <c r="X83" i="45"/>
  <c r="T83" i="45"/>
  <c r="Z83" i="45" s="1"/>
  <c r="P83" i="45"/>
  <c r="H83" i="45"/>
  <c r="L83" i="45" s="1"/>
  <c r="N83" i="45" s="1"/>
  <c r="D83" i="45"/>
  <c r="B83" i="45"/>
  <c r="Z82" i="45"/>
  <c r="X82" i="45"/>
  <c r="N82" i="45"/>
  <c r="L82" i="45"/>
  <c r="B82" i="45"/>
  <c r="T81" i="45"/>
  <c r="P81" i="45"/>
  <c r="N81" i="45"/>
  <c r="H81" i="45"/>
  <c r="D81" i="45"/>
  <c r="L81" i="45" s="1"/>
  <c r="B81" i="45"/>
  <c r="Z80" i="45"/>
  <c r="X80" i="45"/>
  <c r="N80" i="45"/>
  <c r="L80" i="45"/>
  <c r="B80" i="45"/>
  <c r="X79" i="45"/>
  <c r="Z79" i="45" s="1"/>
  <c r="L79" i="45"/>
  <c r="N79" i="45" s="1"/>
  <c r="B79" i="45"/>
  <c r="X78" i="45"/>
  <c r="Z78" i="45" s="1"/>
  <c r="L78" i="45"/>
  <c r="N78" i="45" s="1"/>
  <c r="B78" i="45"/>
  <c r="X77" i="45"/>
  <c r="Z77" i="45" s="1"/>
  <c r="L77" i="45"/>
  <c r="N77" i="45" s="1"/>
  <c r="B77" i="45"/>
  <c r="Z76" i="45"/>
  <c r="X76" i="45"/>
  <c r="L76" i="45"/>
  <c r="N76" i="45" s="1"/>
  <c r="B76" i="45"/>
  <c r="X75" i="45"/>
  <c r="Z75" i="45" s="1"/>
  <c r="L75" i="45"/>
  <c r="N75" i="45" s="1"/>
  <c r="B75" i="45"/>
  <c r="Z74" i="45"/>
  <c r="X74" i="45"/>
  <c r="L74" i="45"/>
  <c r="N74" i="45" s="1"/>
  <c r="B74" i="45"/>
  <c r="T73" i="45"/>
  <c r="P73" i="45"/>
  <c r="X73" i="45" s="1"/>
  <c r="L73" i="45"/>
  <c r="H73" i="45"/>
  <c r="D73" i="45"/>
  <c r="B73" i="45"/>
  <c r="X72" i="45"/>
  <c r="Z72" i="45" s="1"/>
  <c r="N72" i="45"/>
  <c r="L72" i="45"/>
  <c r="B72" i="45"/>
  <c r="X71" i="45"/>
  <c r="Z71" i="45" s="1"/>
  <c r="N71" i="45"/>
  <c r="L71" i="45"/>
  <c r="B71" i="45"/>
  <c r="X70" i="45"/>
  <c r="Z70" i="45" s="1"/>
  <c r="L70" i="45"/>
  <c r="N70" i="45" s="1"/>
  <c r="B70" i="45"/>
  <c r="T69" i="45"/>
  <c r="X69" i="45" s="1"/>
  <c r="Z69" i="45" s="1"/>
  <c r="P69" i="45"/>
  <c r="H69" i="45"/>
  <c r="D69" i="45"/>
  <c r="L69" i="45" s="1"/>
  <c r="B69" i="45"/>
  <c r="Z68" i="45"/>
  <c r="X68" i="45"/>
  <c r="N68" i="45"/>
  <c r="L68" i="45"/>
  <c r="B68" i="45"/>
  <c r="X67" i="45"/>
  <c r="Z67" i="45" s="1"/>
  <c r="L67" i="45"/>
  <c r="N67" i="45" s="1"/>
  <c r="B67" i="45"/>
  <c r="X66" i="45"/>
  <c r="Z66" i="45" s="1"/>
  <c r="N66" i="45"/>
  <c r="L66" i="45"/>
  <c r="B66" i="45"/>
  <c r="X65" i="45"/>
  <c r="Z65" i="45" s="1"/>
  <c r="T65" i="45"/>
  <c r="P65" i="45"/>
  <c r="H65" i="45"/>
  <c r="D65" i="45"/>
  <c r="B65" i="45"/>
  <c r="Z64" i="45"/>
  <c r="X64" i="45"/>
  <c r="N64" i="45"/>
  <c r="L64" i="45"/>
  <c r="B64" i="45"/>
  <c r="X63" i="45"/>
  <c r="T63" i="45"/>
  <c r="Z63" i="45" s="1"/>
  <c r="P63" i="45"/>
  <c r="H63" i="45"/>
  <c r="D63" i="45"/>
  <c r="L63" i="45" s="1"/>
  <c r="B63" i="45"/>
  <c r="Z62" i="45"/>
  <c r="X62" i="45"/>
  <c r="L62" i="45"/>
  <c r="N62" i="45" s="1"/>
  <c r="B62" i="45"/>
  <c r="T61" i="45"/>
  <c r="P61" i="45"/>
  <c r="H61" i="45"/>
  <c r="D61" i="45"/>
  <c r="L61" i="45" s="1"/>
  <c r="N61" i="45" s="1"/>
  <c r="B61" i="45"/>
  <c r="Z60" i="45"/>
  <c r="X60" i="45"/>
  <c r="L60" i="45"/>
  <c r="N60" i="45" s="1"/>
  <c r="B60" i="45"/>
  <c r="T59" i="45"/>
  <c r="P59" i="45"/>
  <c r="X59" i="45" s="1"/>
  <c r="H59" i="45"/>
  <c r="D59" i="45"/>
  <c r="L59" i="45" s="1"/>
  <c r="N59" i="45" s="1"/>
  <c r="B59" i="45"/>
  <c r="Z58" i="45"/>
  <c r="X58" i="45"/>
  <c r="N58" i="45"/>
  <c r="L58" i="45"/>
  <c r="B58" i="45"/>
  <c r="T57" i="45"/>
  <c r="Z57" i="45" s="1"/>
  <c r="P57" i="45"/>
  <c r="X57" i="45" s="1"/>
  <c r="L57" i="45"/>
  <c r="H57" i="45"/>
  <c r="N57" i="45" s="1"/>
  <c r="D57" i="45"/>
  <c r="B57" i="45"/>
  <c r="Z56" i="45"/>
  <c r="X56" i="45"/>
  <c r="N56" i="45"/>
  <c r="L56" i="45"/>
  <c r="B56" i="45"/>
  <c r="T55" i="45"/>
  <c r="P55" i="45"/>
  <c r="X55" i="45" s="1"/>
  <c r="Z55" i="45" s="1"/>
  <c r="H55" i="45"/>
  <c r="D55" i="45"/>
  <c r="B55" i="45"/>
  <c r="Z54" i="45"/>
  <c r="X54" i="45"/>
  <c r="N54" i="45"/>
  <c r="L54" i="45"/>
  <c r="B54" i="45"/>
  <c r="T53" i="45"/>
  <c r="Z53" i="45" s="1"/>
  <c r="P53" i="45"/>
  <c r="X53" i="45" s="1"/>
  <c r="H53" i="45"/>
  <c r="N53" i="45" s="1"/>
  <c r="D53" i="45"/>
  <c r="L53" i="45" s="1"/>
  <c r="B53" i="45"/>
  <c r="X52" i="45"/>
  <c r="Z52" i="45" s="1"/>
  <c r="N52" i="45"/>
  <c r="L52" i="45"/>
  <c r="B52" i="45"/>
  <c r="X51" i="45"/>
  <c r="T51" i="45"/>
  <c r="P51" i="45"/>
  <c r="H51" i="45"/>
  <c r="N51" i="45" s="1"/>
  <c r="D51" i="45"/>
  <c r="L51" i="45" s="1"/>
  <c r="B51" i="45"/>
  <c r="Z50" i="45"/>
  <c r="X50" i="45"/>
  <c r="N50" i="45"/>
  <c r="L50" i="45"/>
  <c r="B50" i="45"/>
  <c r="X49" i="45"/>
  <c r="T49" i="45"/>
  <c r="P49" i="45"/>
  <c r="H49" i="45"/>
  <c r="D49" i="45"/>
  <c r="L49" i="45" s="1"/>
  <c r="N49" i="45" s="1"/>
  <c r="B49" i="45"/>
  <c r="Z48" i="45"/>
  <c r="X48" i="45"/>
  <c r="L48" i="45"/>
  <c r="N48" i="45" s="1"/>
  <c r="B48" i="45"/>
  <c r="T47" i="45"/>
  <c r="P47" i="45"/>
  <c r="X47" i="45" s="1"/>
  <c r="H47" i="45"/>
  <c r="D47" i="45"/>
  <c r="L47" i="45" s="1"/>
  <c r="N47" i="45" s="1"/>
  <c r="B47" i="45"/>
  <c r="Z46" i="45"/>
  <c r="X46" i="45"/>
  <c r="N46" i="45"/>
  <c r="L46" i="45"/>
  <c r="B46" i="45"/>
  <c r="T45" i="45"/>
  <c r="P45" i="45"/>
  <c r="X45" i="45" s="1"/>
  <c r="L45" i="45"/>
  <c r="H45" i="45"/>
  <c r="D45" i="45"/>
  <c r="B45" i="45"/>
  <c r="Z44" i="45"/>
  <c r="X44" i="45"/>
  <c r="N44" i="45"/>
  <c r="L44" i="45"/>
  <c r="B44" i="45"/>
  <c r="Z43" i="45"/>
  <c r="X43" i="45"/>
  <c r="L43" i="45"/>
  <c r="N43" i="45" s="1"/>
  <c r="B43" i="45"/>
  <c r="Z42" i="45"/>
  <c r="X42" i="45"/>
  <c r="N42" i="45"/>
  <c r="L42" i="45"/>
  <c r="B42" i="45"/>
  <c r="X41" i="45"/>
  <c r="Z41" i="45" s="1"/>
  <c r="L41" i="45"/>
  <c r="N41" i="45" s="1"/>
  <c r="B41" i="45"/>
  <c r="Z40" i="45"/>
  <c r="X40" i="45"/>
  <c r="N40" i="45"/>
  <c r="L40" i="45"/>
  <c r="B40" i="45"/>
  <c r="Z39" i="45"/>
  <c r="X39" i="45"/>
  <c r="L39" i="45"/>
  <c r="N39" i="45" s="1"/>
  <c r="B39" i="45"/>
  <c r="Z38" i="45"/>
  <c r="X38" i="45"/>
  <c r="N38" i="45"/>
  <c r="L38" i="45"/>
  <c r="B38" i="45"/>
  <c r="X37" i="45"/>
  <c r="T37" i="45"/>
  <c r="P37" i="45"/>
  <c r="H37" i="45"/>
  <c r="D37" i="45"/>
  <c r="L37" i="45" s="1"/>
  <c r="N37" i="45" s="1"/>
  <c r="B37" i="45"/>
  <c r="Z36" i="45"/>
  <c r="X36" i="45"/>
  <c r="L36" i="45"/>
  <c r="N36" i="45" s="1"/>
  <c r="B36" i="45"/>
  <c r="X35" i="45"/>
  <c r="Z35" i="45" s="1"/>
  <c r="R35" i="45"/>
  <c r="L35" i="45"/>
  <c r="N35" i="45" s="1"/>
  <c r="B35" i="45"/>
  <c r="Z34" i="45"/>
  <c r="X34" i="45"/>
  <c r="N34" i="45"/>
  <c r="L34" i="45"/>
  <c r="J34" i="45"/>
  <c r="B34" i="45"/>
  <c r="X33" i="45"/>
  <c r="Z33" i="45" s="1"/>
  <c r="L33" i="45"/>
  <c r="N33" i="45" s="1"/>
  <c r="B33" i="45"/>
  <c r="Z32" i="45"/>
  <c r="X32" i="45"/>
  <c r="L32" i="45"/>
  <c r="N32" i="45" s="1"/>
  <c r="B32" i="45"/>
  <c r="X31" i="45"/>
  <c r="Z31" i="45" s="1"/>
  <c r="R31" i="45"/>
  <c r="L31" i="45"/>
  <c r="N31" i="45" s="1"/>
  <c r="B31" i="45"/>
  <c r="Z30" i="45"/>
  <c r="X30" i="45"/>
  <c r="N30" i="45"/>
  <c r="L30" i="45"/>
  <c r="B30" i="45"/>
  <c r="X29" i="45"/>
  <c r="Z29" i="45" s="1"/>
  <c r="N29" i="45"/>
  <c r="L29" i="45"/>
  <c r="B29" i="45"/>
  <c r="Z28" i="45"/>
  <c r="X28" i="45"/>
  <c r="L28" i="45"/>
  <c r="N28" i="45" s="1"/>
  <c r="B28" i="45"/>
  <c r="T27" i="45"/>
  <c r="P27" i="45"/>
  <c r="H27" i="45"/>
  <c r="D27" i="45"/>
  <c r="L27" i="45" s="1"/>
  <c r="B27" i="45"/>
  <c r="T26" i="45"/>
  <c r="R26" i="45"/>
  <c r="P26" i="45"/>
  <c r="X26" i="45" s="1"/>
  <c r="Z26" i="45" s="1"/>
  <c r="L26" i="45"/>
  <c r="N26" i="45" s="1"/>
  <c r="H26" i="45"/>
  <c r="D26" i="45"/>
  <c r="Z22" i="45"/>
  <c r="X22" i="45"/>
  <c r="N22" i="45"/>
  <c r="L22" i="45"/>
  <c r="B22" i="45"/>
  <c r="X21" i="45"/>
  <c r="Z21" i="45" s="1"/>
  <c r="L21" i="45"/>
  <c r="N21" i="45" s="1"/>
  <c r="B21" i="45"/>
  <c r="X20" i="45"/>
  <c r="Z20" i="45" s="1"/>
  <c r="T20" i="45"/>
  <c r="P20" i="45"/>
  <c r="J20" i="45"/>
  <c r="H20" i="45"/>
  <c r="D20" i="45"/>
  <c r="L20" i="45" s="1"/>
  <c r="N20" i="45" s="1"/>
  <c r="X18" i="45"/>
  <c r="Z18" i="45" s="1"/>
  <c r="T18" i="45"/>
  <c r="P18" i="45"/>
  <c r="N18" i="45"/>
  <c r="H18" i="45"/>
  <c r="L18" i="45" s="1"/>
  <c r="D18" i="45"/>
  <c r="B18" i="45"/>
  <c r="X17" i="45"/>
  <c r="Z17" i="45" s="1"/>
  <c r="T17" i="45"/>
  <c r="P17" i="45"/>
  <c r="H17" i="45"/>
  <c r="D17" i="45"/>
  <c r="L17" i="45" s="1"/>
  <c r="N17" i="45" s="1"/>
  <c r="B17" i="45"/>
  <c r="T16" i="45"/>
  <c r="P16" i="45"/>
  <c r="H16" i="45"/>
  <c r="D16" i="45"/>
  <c r="L16" i="45" s="1"/>
  <c r="N16" i="45" s="1"/>
  <c r="B16" i="45"/>
  <c r="X15" i="45"/>
  <c r="Z15" i="45" s="1"/>
  <c r="T15" i="45"/>
  <c r="P15" i="45"/>
  <c r="P12" i="45" s="1"/>
  <c r="R41" i="45" s="1"/>
  <c r="H15" i="45"/>
  <c r="D15" i="45"/>
  <c r="B15" i="45"/>
  <c r="X14" i="45"/>
  <c r="Z14" i="45" s="1"/>
  <c r="T14" i="45"/>
  <c r="P14" i="45"/>
  <c r="H14" i="45"/>
  <c r="H12" i="45" s="1"/>
  <c r="J30" i="45" s="1"/>
  <c r="D14" i="45"/>
  <c r="B14" i="45"/>
  <c r="X13" i="45"/>
  <c r="T13" i="45"/>
  <c r="P13" i="45"/>
  <c r="H13" i="45"/>
  <c r="D13" i="45"/>
  <c r="L13" i="45" s="1"/>
  <c r="N13" i="45" s="1"/>
  <c r="B13" i="45"/>
  <c r="D4" i="45"/>
  <c r="X118" i="42"/>
  <c r="Z118" i="42" s="1"/>
  <c r="L118" i="42"/>
  <c r="N118" i="42" s="1"/>
  <c r="T114" i="42"/>
  <c r="P114" i="42"/>
  <c r="X114" i="42" s="1"/>
  <c r="Z114" i="42" s="1"/>
  <c r="L114" i="42"/>
  <c r="H114" i="42"/>
  <c r="D114" i="42"/>
  <c r="B114" i="42"/>
  <c r="X113" i="42"/>
  <c r="Z113" i="42" s="1"/>
  <c r="T113" i="42"/>
  <c r="P113" i="42"/>
  <c r="H113" i="42"/>
  <c r="D113" i="42"/>
  <c r="D111" i="42" s="1"/>
  <c r="B113" i="42"/>
  <c r="T112" i="42"/>
  <c r="P112" i="42"/>
  <c r="L112" i="42"/>
  <c r="N112" i="42" s="1"/>
  <c r="H112" i="42"/>
  <c r="D112" i="42"/>
  <c r="B112" i="42"/>
  <c r="Z109" i="42"/>
  <c r="X109" i="42"/>
  <c r="N109" i="42"/>
  <c r="L109" i="42"/>
  <c r="B109" i="42"/>
  <c r="T108" i="42"/>
  <c r="P108" i="42"/>
  <c r="X108" i="42" s="1"/>
  <c r="Z108" i="42" s="1"/>
  <c r="H108" i="42"/>
  <c r="L108" i="42" s="1"/>
  <c r="D108" i="42"/>
  <c r="B108" i="42"/>
  <c r="X107" i="42"/>
  <c r="Z107" i="42" s="1"/>
  <c r="N107" i="42"/>
  <c r="L107" i="42"/>
  <c r="B107" i="42"/>
  <c r="X106" i="42"/>
  <c r="Z106" i="42" s="1"/>
  <c r="N106" i="42"/>
  <c r="L106" i="42"/>
  <c r="B106" i="42"/>
  <c r="Z105" i="42"/>
  <c r="X105" i="42"/>
  <c r="L105" i="42"/>
  <c r="N105" i="42" s="1"/>
  <c r="B105" i="42"/>
  <c r="T104" i="42"/>
  <c r="P104" i="42"/>
  <c r="X104" i="42" s="1"/>
  <c r="H104" i="42"/>
  <c r="D104" i="42"/>
  <c r="L104" i="42" s="1"/>
  <c r="N104" i="42" s="1"/>
  <c r="B104" i="42"/>
  <c r="Z103" i="42"/>
  <c r="X103" i="42"/>
  <c r="N103" i="42"/>
  <c r="L103" i="42"/>
  <c r="B103" i="42"/>
  <c r="T102" i="42"/>
  <c r="Z102" i="42" s="1"/>
  <c r="P102" i="42"/>
  <c r="X102" i="42" s="1"/>
  <c r="L102" i="42"/>
  <c r="H102" i="42"/>
  <c r="N102" i="42" s="1"/>
  <c r="D102" i="42"/>
  <c r="B102" i="42"/>
  <c r="Z101" i="42"/>
  <c r="X101" i="42"/>
  <c r="N101" i="42"/>
  <c r="L101" i="42"/>
  <c r="B101" i="42"/>
  <c r="T100" i="42"/>
  <c r="P100" i="42"/>
  <c r="X100" i="42" s="1"/>
  <c r="Z100" i="42" s="1"/>
  <c r="H100" i="42"/>
  <c r="D100" i="42"/>
  <c r="B100" i="42"/>
  <c r="X99" i="42"/>
  <c r="Z99" i="42" s="1"/>
  <c r="N99" i="42"/>
  <c r="L99" i="42"/>
  <c r="B99" i="42"/>
  <c r="X98" i="42"/>
  <c r="Z98" i="42" s="1"/>
  <c r="L98" i="42"/>
  <c r="N98" i="42" s="1"/>
  <c r="B98" i="42"/>
  <c r="Z97" i="42"/>
  <c r="X97" i="42"/>
  <c r="N97" i="42"/>
  <c r="L97" i="42"/>
  <c r="B97" i="42"/>
  <c r="X96" i="42"/>
  <c r="Z96" i="42" s="1"/>
  <c r="L96" i="42"/>
  <c r="N96" i="42" s="1"/>
  <c r="B96" i="42"/>
  <c r="X95" i="42"/>
  <c r="Z95" i="42" s="1"/>
  <c r="N95" i="42"/>
  <c r="L95" i="42"/>
  <c r="B95" i="42"/>
  <c r="X94" i="42"/>
  <c r="Z94" i="42" s="1"/>
  <c r="L94" i="42"/>
  <c r="N94" i="42" s="1"/>
  <c r="B94" i="42"/>
  <c r="Z93" i="42"/>
  <c r="X93" i="42"/>
  <c r="L93" i="42"/>
  <c r="N93" i="42" s="1"/>
  <c r="B93" i="42"/>
  <c r="X92" i="42"/>
  <c r="Z92" i="42" s="1"/>
  <c r="L92" i="42"/>
  <c r="N92" i="42" s="1"/>
  <c r="B92" i="42"/>
  <c r="X91" i="42"/>
  <c r="T91" i="42"/>
  <c r="Z91" i="42" s="1"/>
  <c r="P91" i="42"/>
  <c r="N91" i="42"/>
  <c r="H91" i="42"/>
  <c r="D91" i="42"/>
  <c r="L91" i="42" s="1"/>
  <c r="B91" i="42"/>
  <c r="X90" i="42"/>
  <c r="Z90" i="42" s="1"/>
  <c r="L90" i="42"/>
  <c r="N90" i="42" s="1"/>
  <c r="B90" i="42"/>
  <c r="X89" i="42"/>
  <c r="T89" i="42"/>
  <c r="Z89" i="42" s="1"/>
  <c r="P89" i="42"/>
  <c r="H89" i="42"/>
  <c r="D89" i="42"/>
  <c r="L89" i="42" s="1"/>
  <c r="N89" i="42" s="1"/>
  <c r="B89" i="42"/>
  <c r="Z88" i="42"/>
  <c r="X88" i="42"/>
  <c r="L88" i="42"/>
  <c r="N88" i="42" s="1"/>
  <c r="B88" i="42"/>
  <c r="Z87" i="42"/>
  <c r="X87" i="42"/>
  <c r="L87" i="42"/>
  <c r="N87" i="42" s="1"/>
  <c r="B87" i="42"/>
  <c r="X86" i="42"/>
  <c r="Z86" i="42" s="1"/>
  <c r="L86" i="42"/>
  <c r="N86" i="42" s="1"/>
  <c r="B86" i="42"/>
  <c r="Z85" i="42"/>
  <c r="X85" i="42"/>
  <c r="N85" i="42"/>
  <c r="L85" i="42"/>
  <c r="B85" i="42"/>
  <c r="Z84" i="42"/>
  <c r="X84" i="42"/>
  <c r="L84" i="42"/>
  <c r="N84" i="42" s="1"/>
  <c r="B84" i="42"/>
  <c r="T83" i="42"/>
  <c r="P83" i="42"/>
  <c r="H83" i="42"/>
  <c r="D83" i="42"/>
  <c r="L83" i="42" s="1"/>
  <c r="N83" i="42" s="1"/>
  <c r="B83" i="42"/>
  <c r="X82" i="42"/>
  <c r="Z82" i="42" s="1"/>
  <c r="L82" i="42"/>
  <c r="N82" i="42" s="1"/>
  <c r="B82" i="42"/>
  <c r="Z81" i="42"/>
  <c r="X81" i="42"/>
  <c r="L81" i="42"/>
  <c r="N81" i="42" s="1"/>
  <c r="B81" i="42"/>
  <c r="T80" i="42"/>
  <c r="P80" i="42"/>
  <c r="X80" i="42" s="1"/>
  <c r="H80" i="42"/>
  <c r="D80" i="42"/>
  <c r="L80" i="42" s="1"/>
  <c r="N80" i="42" s="1"/>
  <c r="B80" i="42"/>
  <c r="Z79" i="42"/>
  <c r="X79" i="42"/>
  <c r="N79" i="42"/>
  <c r="L79" i="42"/>
  <c r="B79" i="42"/>
  <c r="X78" i="42"/>
  <c r="Z78" i="42" s="1"/>
  <c r="L78" i="42"/>
  <c r="N78" i="42" s="1"/>
  <c r="B78" i="42"/>
  <c r="X77" i="42"/>
  <c r="Z77" i="42" s="1"/>
  <c r="N77" i="42"/>
  <c r="L77" i="42"/>
  <c r="B77" i="42"/>
  <c r="X76" i="42"/>
  <c r="T76" i="42"/>
  <c r="P76" i="42"/>
  <c r="H76" i="42"/>
  <c r="N76" i="42" s="1"/>
  <c r="D76" i="42"/>
  <c r="L76" i="42" s="1"/>
  <c r="B76" i="42"/>
  <c r="Z75" i="42"/>
  <c r="X75" i="42"/>
  <c r="L75" i="42"/>
  <c r="N75" i="42" s="1"/>
  <c r="B75" i="42"/>
  <c r="X74" i="42"/>
  <c r="T74" i="42"/>
  <c r="P74" i="42"/>
  <c r="N74" i="42"/>
  <c r="H74" i="42"/>
  <c r="D74" i="42"/>
  <c r="L74" i="42" s="1"/>
  <c r="B74" i="42"/>
  <c r="Z73" i="42"/>
  <c r="X73" i="42"/>
  <c r="N73" i="42"/>
  <c r="L73" i="42"/>
  <c r="B73" i="42"/>
  <c r="T72" i="42"/>
  <c r="Z72" i="42" s="1"/>
  <c r="P72" i="42"/>
  <c r="X72" i="42" s="1"/>
  <c r="H72" i="42"/>
  <c r="N72" i="42" s="1"/>
  <c r="D72" i="42"/>
  <c r="L72" i="42" s="1"/>
  <c r="B72" i="42"/>
  <c r="Z71" i="42"/>
  <c r="X71" i="42"/>
  <c r="N71" i="42"/>
  <c r="L71" i="42"/>
  <c r="B71" i="42"/>
  <c r="T70" i="42"/>
  <c r="P70" i="42"/>
  <c r="X70" i="42" s="1"/>
  <c r="L70" i="42"/>
  <c r="H70" i="42"/>
  <c r="D70" i="42"/>
  <c r="B70" i="42"/>
  <c r="Z69" i="42"/>
  <c r="X69" i="42"/>
  <c r="N69" i="42"/>
  <c r="L69" i="42"/>
  <c r="B69" i="42"/>
  <c r="Z68" i="42"/>
  <c r="T68" i="42"/>
  <c r="P68" i="42"/>
  <c r="X68" i="42" s="1"/>
  <c r="H68" i="42"/>
  <c r="D68" i="42"/>
  <c r="B68" i="42"/>
  <c r="Z67" i="42"/>
  <c r="X67" i="42"/>
  <c r="N67" i="42"/>
  <c r="L67" i="42"/>
  <c r="B67" i="42"/>
  <c r="X66" i="42"/>
  <c r="Z66" i="42" s="1"/>
  <c r="L66" i="42"/>
  <c r="N66" i="42" s="1"/>
  <c r="B66" i="42"/>
  <c r="T65" i="42"/>
  <c r="P65" i="42"/>
  <c r="X65" i="42" s="1"/>
  <c r="Z65" i="42" s="1"/>
  <c r="N65" i="42"/>
  <c r="L65" i="42"/>
  <c r="H65" i="42"/>
  <c r="D65" i="42"/>
  <c r="B65" i="42"/>
  <c r="X64" i="42"/>
  <c r="Z64" i="42" s="1"/>
  <c r="N64" i="42"/>
  <c r="L64" i="42"/>
  <c r="B64" i="42"/>
  <c r="T63" i="42"/>
  <c r="P63" i="42"/>
  <c r="X63" i="42" s="1"/>
  <c r="Z63" i="42" s="1"/>
  <c r="L63" i="42"/>
  <c r="N63" i="42" s="1"/>
  <c r="H63" i="42"/>
  <c r="D63" i="42"/>
  <c r="B63" i="42"/>
  <c r="X62" i="42"/>
  <c r="Z62" i="42" s="1"/>
  <c r="L62" i="42"/>
  <c r="N62" i="42" s="1"/>
  <c r="B62" i="42"/>
  <c r="Z61" i="42"/>
  <c r="X61" i="42"/>
  <c r="T61" i="42"/>
  <c r="P61" i="42"/>
  <c r="H61" i="42"/>
  <c r="D61" i="42"/>
  <c r="B61" i="42"/>
  <c r="X60" i="42"/>
  <c r="Z60" i="42" s="1"/>
  <c r="L60" i="42"/>
  <c r="N60" i="42" s="1"/>
  <c r="B60" i="42"/>
  <c r="X59" i="42"/>
  <c r="T59" i="42"/>
  <c r="Z59" i="42" s="1"/>
  <c r="P59" i="42"/>
  <c r="H59" i="42"/>
  <c r="D59" i="42"/>
  <c r="L59" i="42" s="1"/>
  <c r="N59" i="42" s="1"/>
  <c r="B59" i="42"/>
  <c r="X58" i="42"/>
  <c r="Z58" i="42" s="1"/>
  <c r="L58" i="42"/>
  <c r="N58" i="42" s="1"/>
  <c r="B58" i="42"/>
  <c r="X57" i="42"/>
  <c r="Z57" i="42" s="1"/>
  <c r="N57" i="42"/>
  <c r="L57" i="42"/>
  <c r="B57" i="42"/>
  <c r="X56" i="42"/>
  <c r="Z56" i="42" s="1"/>
  <c r="N56" i="42"/>
  <c r="L56" i="42"/>
  <c r="B56" i="42"/>
  <c r="T55" i="42"/>
  <c r="P55" i="42"/>
  <c r="X55" i="42" s="1"/>
  <c r="Z55" i="42" s="1"/>
  <c r="L55" i="42"/>
  <c r="N55" i="42" s="1"/>
  <c r="H55" i="42"/>
  <c r="D55" i="42"/>
  <c r="B55" i="42"/>
  <c r="X54" i="42"/>
  <c r="Z54" i="42" s="1"/>
  <c r="L54" i="42"/>
  <c r="N54" i="42" s="1"/>
  <c r="B54" i="42"/>
  <c r="Z53" i="42"/>
  <c r="X53" i="42"/>
  <c r="T53" i="42"/>
  <c r="P53" i="42"/>
  <c r="H53" i="42"/>
  <c r="D53" i="42"/>
  <c r="B53" i="42"/>
  <c r="X52" i="42"/>
  <c r="Z52" i="42" s="1"/>
  <c r="L52" i="42"/>
  <c r="N52" i="42" s="1"/>
  <c r="B52" i="42"/>
  <c r="X51" i="42"/>
  <c r="T51" i="42"/>
  <c r="Z51" i="42" s="1"/>
  <c r="P51" i="42"/>
  <c r="N51" i="42"/>
  <c r="H51" i="42"/>
  <c r="D51" i="42"/>
  <c r="L51" i="42" s="1"/>
  <c r="B51" i="42"/>
  <c r="X50" i="42"/>
  <c r="Z50" i="42" s="1"/>
  <c r="L50" i="42"/>
  <c r="N50" i="42" s="1"/>
  <c r="B50" i="42"/>
  <c r="X49" i="42"/>
  <c r="T49" i="42"/>
  <c r="P49" i="42"/>
  <c r="H49" i="42"/>
  <c r="D49" i="42"/>
  <c r="L49" i="42" s="1"/>
  <c r="N49" i="42" s="1"/>
  <c r="B49" i="42"/>
  <c r="Z48" i="42"/>
  <c r="X48" i="42"/>
  <c r="L48" i="42"/>
  <c r="N48" i="42" s="1"/>
  <c r="B48" i="42"/>
  <c r="Z47" i="42"/>
  <c r="X47" i="42"/>
  <c r="L47" i="42"/>
  <c r="N47" i="42" s="1"/>
  <c r="B47" i="42"/>
  <c r="X46" i="42"/>
  <c r="Z46" i="42" s="1"/>
  <c r="N46" i="42"/>
  <c r="L46" i="42"/>
  <c r="B46" i="42"/>
  <c r="Z45" i="42"/>
  <c r="X45" i="42"/>
  <c r="N45" i="42"/>
  <c r="L45" i="42"/>
  <c r="B45" i="42"/>
  <c r="Z44" i="42"/>
  <c r="X44" i="42"/>
  <c r="L44" i="42"/>
  <c r="N44" i="42" s="1"/>
  <c r="B44" i="42"/>
  <c r="Z43" i="42"/>
  <c r="X43" i="42"/>
  <c r="L43" i="42"/>
  <c r="N43" i="42" s="1"/>
  <c r="B43" i="42"/>
  <c r="X42" i="42"/>
  <c r="Z42" i="42" s="1"/>
  <c r="L42" i="42"/>
  <c r="N42" i="42" s="1"/>
  <c r="B42" i="42"/>
  <c r="T41" i="42"/>
  <c r="P41" i="42"/>
  <c r="X41" i="42" s="1"/>
  <c r="Z41" i="42" s="1"/>
  <c r="H41" i="42"/>
  <c r="D41" i="42"/>
  <c r="B41" i="42"/>
  <c r="X40" i="42"/>
  <c r="Z40" i="42" s="1"/>
  <c r="L40" i="42"/>
  <c r="N40" i="42" s="1"/>
  <c r="B40" i="42"/>
  <c r="X39" i="42"/>
  <c r="Z39" i="42" s="1"/>
  <c r="N39" i="42"/>
  <c r="L39" i="42"/>
  <c r="B39" i="42"/>
  <c r="X38" i="42"/>
  <c r="Z38" i="42" s="1"/>
  <c r="L38" i="42"/>
  <c r="N38" i="42" s="1"/>
  <c r="B38" i="42"/>
  <c r="Z37" i="42"/>
  <c r="X37" i="42"/>
  <c r="L37" i="42"/>
  <c r="N37" i="42" s="1"/>
  <c r="B37" i="42"/>
  <c r="X36" i="42"/>
  <c r="Z36" i="42" s="1"/>
  <c r="L36" i="42"/>
  <c r="N36" i="42" s="1"/>
  <c r="B36" i="42"/>
  <c r="X35" i="42"/>
  <c r="Z35" i="42" s="1"/>
  <c r="N35" i="42"/>
  <c r="L35" i="42"/>
  <c r="B35" i="42"/>
  <c r="X34" i="42"/>
  <c r="Z34" i="42" s="1"/>
  <c r="L34" i="42"/>
  <c r="N34" i="42" s="1"/>
  <c r="B34" i="42"/>
  <c r="Z33" i="42"/>
  <c r="X33" i="42"/>
  <c r="N33" i="42"/>
  <c r="L33" i="42"/>
  <c r="B33" i="42"/>
  <c r="X32" i="42"/>
  <c r="Z32" i="42" s="1"/>
  <c r="L32" i="42"/>
  <c r="N32" i="42" s="1"/>
  <c r="B32" i="42"/>
  <c r="X31" i="42"/>
  <c r="T31" i="42"/>
  <c r="Z31" i="42" s="1"/>
  <c r="P31" i="42"/>
  <c r="N31" i="42"/>
  <c r="H31" i="42"/>
  <c r="D31" i="42"/>
  <c r="L31" i="42" s="1"/>
  <c r="B31" i="42"/>
  <c r="T30" i="42"/>
  <c r="P30" i="42"/>
  <c r="X30" i="42" s="1"/>
  <c r="L30" i="42"/>
  <c r="H30" i="42"/>
  <c r="D30" i="42"/>
  <c r="X26" i="42"/>
  <c r="Z26" i="42" s="1"/>
  <c r="L26" i="42"/>
  <c r="N26" i="42" s="1"/>
  <c r="B26" i="42"/>
  <c r="X25" i="42"/>
  <c r="Z25" i="42" s="1"/>
  <c r="N25" i="42"/>
  <c r="L25" i="42"/>
  <c r="B25" i="42"/>
  <c r="X24" i="42"/>
  <c r="T24" i="42"/>
  <c r="P24" i="42"/>
  <c r="H24" i="42"/>
  <c r="D24" i="42"/>
  <c r="L24" i="42" s="1"/>
  <c r="X22" i="42"/>
  <c r="T22" i="42"/>
  <c r="Z22" i="42" s="1"/>
  <c r="P22" i="42"/>
  <c r="H22" i="42"/>
  <c r="D22" i="42"/>
  <c r="L22" i="42" s="1"/>
  <c r="N22" i="42" s="1"/>
  <c r="B22" i="42"/>
  <c r="T21" i="42"/>
  <c r="P21" i="42"/>
  <c r="H21" i="42"/>
  <c r="N21" i="42" s="1"/>
  <c r="D21" i="42"/>
  <c r="L21" i="42" s="1"/>
  <c r="B21" i="42"/>
  <c r="T20" i="42"/>
  <c r="P20" i="42"/>
  <c r="X20" i="42" s="1"/>
  <c r="Z20" i="42" s="1"/>
  <c r="H20" i="42"/>
  <c r="D20" i="42"/>
  <c r="L20" i="42" s="1"/>
  <c r="B20" i="42"/>
  <c r="Z19" i="42"/>
  <c r="X19" i="42"/>
  <c r="T19" i="42"/>
  <c r="P19" i="42"/>
  <c r="N19" i="42"/>
  <c r="H19" i="42"/>
  <c r="L19" i="42" s="1"/>
  <c r="D19" i="42"/>
  <c r="B19" i="42"/>
  <c r="T18" i="42"/>
  <c r="P18" i="42"/>
  <c r="X18" i="42" s="1"/>
  <c r="N18" i="42"/>
  <c r="H18" i="42"/>
  <c r="D18" i="42"/>
  <c r="L18" i="42" s="1"/>
  <c r="B18" i="42"/>
  <c r="T17" i="42"/>
  <c r="P17" i="42"/>
  <c r="H17" i="42"/>
  <c r="N17" i="42" s="1"/>
  <c r="D17" i="42"/>
  <c r="B17" i="42"/>
  <c r="X16" i="42"/>
  <c r="Z16" i="42" s="1"/>
  <c r="T16" i="42"/>
  <c r="P16" i="42"/>
  <c r="H16" i="42"/>
  <c r="D16" i="42"/>
  <c r="L16" i="42" s="1"/>
  <c r="B16" i="42"/>
  <c r="Z15" i="42"/>
  <c r="X15" i="42"/>
  <c r="T15" i="42"/>
  <c r="P15" i="42"/>
  <c r="H15" i="42"/>
  <c r="L15" i="42" s="1"/>
  <c r="D15" i="42"/>
  <c r="B15" i="42"/>
  <c r="T14" i="42"/>
  <c r="P14" i="42"/>
  <c r="X14" i="42" s="1"/>
  <c r="N14" i="42"/>
  <c r="H14" i="42"/>
  <c r="D14" i="42"/>
  <c r="L14" i="42" s="1"/>
  <c r="B14" i="42"/>
  <c r="T13" i="42"/>
  <c r="P13" i="42"/>
  <c r="X13" i="42" s="1"/>
  <c r="Z13" i="42" s="1"/>
  <c r="H13" i="42"/>
  <c r="D13" i="42"/>
  <c r="B13" i="42"/>
  <c r="P12" i="42"/>
  <c r="D4" i="42"/>
  <c r="X130" i="39"/>
  <c r="Z130" i="39" s="1"/>
  <c r="N130" i="39"/>
  <c r="L130" i="39"/>
  <c r="X126" i="39"/>
  <c r="T126" i="39"/>
  <c r="Z126" i="39" s="1"/>
  <c r="P126" i="39"/>
  <c r="N126" i="39"/>
  <c r="L126" i="39"/>
  <c r="H126" i="39"/>
  <c r="D126" i="39"/>
  <c r="B126" i="39"/>
  <c r="T125" i="39"/>
  <c r="P125" i="39"/>
  <c r="X125" i="39" s="1"/>
  <c r="Z125" i="39" s="1"/>
  <c r="N125" i="39"/>
  <c r="H125" i="39"/>
  <c r="L125" i="39" s="1"/>
  <c r="D125" i="39"/>
  <c r="B125" i="39"/>
  <c r="T124" i="39"/>
  <c r="P124" i="39"/>
  <c r="H124" i="39"/>
  <c r="H123" i="39" s="1"/>
  <c r="D124" i="39"/>
  <c r="L124" i="39" s="1"/>
  <c r="B124" i="39"/>
  <c r="T123" i="39"/>
  <c r="D123" i="39"/>
  <c r="Z121" i="39"/>
  <c r="X121" i="39"/>
  <c r="N121" i="39"/>
  <c r="L121" i="39"/>
  <c r="B121" i="39"/>
  <c r="X120" i="39"/>
  <c r="T120" i="39"/>
  <c r="Z120" i="39" s="1"/>
  <c r="P120" i="39"/>
  <c r="N120" i="39"/>
  <c r="L120" i="39"/>
  <c r="H120" i="39"/>
  <c r="D120" i="39"/>
  <c r="B120" i="39"/>
  <c r="X119" i="39"/>
  <c r="Z119" i="39" s="1"/>
  <c r="L119" i="39"/>
  <c r="N119" i="39" s="1"/>
  <c r="B119" i="39"/>
  <c r="X118" i="39"/>
  <c r="Z118" i="39" s="1"/>
  <c r="N118" i="39"/>
  <c r="L118" i="39"/>
  <c r="B118" i="39"/>
  <c r="Z117" i="39"/>
  <c r="X117" i="39"/>
  <c r="N117" i="39"/>
  <c r="L117" i="39"/>
  <c r="B117" i="39"/>
  <c r="T116" i="39"/>
  <c r="P116" i="39"/>
  <c r="H116" i="39"/>
  <c r="D116" i="39"/>
  <c r="B116" i="39"/>
  <c r="X115" i="39"/>
  <c r="Z115" i="39" s="1"/>
  <c r="L115" i="39"/>
  <c r="N115" i="39" s="1"/>
  <c r="B115" i="39"/>
  <c r="Z114" i="39"/>
  <c r="T114" i="39"/>
  <c r="P114" i="39"/>
  <c r="X114" i="39" s="1"/>
  <c r="H114" i="39"/>
  <c r="N114" i="39" s="1"/>
  <c r="D114" i="39"/>
  <c r="L114" i="39" s="1"/>
  <c r="B114" i="39"/>
  <c r="Z113" i="39"/>
  <c r="X113" i="39"/>
  <c r="N113" i="39"/>
  <c r="L113" i="39"/>
  <c r="B113" i="39"/>
  <c r="X112" i="39"/>
  <c r="T112" i="39"/>
  <c r="Z112" i="39" s="1"/>
  <c r="P112" i="39"/>
  <c r="L112" i="39"/>
  <c r="N112" i="39" s="1"/>
  <c r="H112" i="39"/>
  <c r="D112" i="39"/>
  <c r="B112" i="39"/>
  <c r="X111" i="39"/>
  <c r="Z111" i="39" s="1"/>
  <c r="L111" i="39"/>
  <c r="N111" i="39" s="1"/>
  <c r="B111" i="39"/>
  <c r="X110" i="39"/>
  <c r="Z110" i="39" s="1"/>
  <c r="N110" i="39"/>
  <c r="L110" i="39"/>
  <c r="B110" i="39"/>
  <c r="Z109" i="39"/>
  <c r="X109" i="39"/>
  <c r="N109" i="39"/>
  <c r="L109" i="39"/>
  <c r="B109" i="39"/>
  <c r="X108" i="39"/>
  <c r="Z108" i="39" s="1"/>
  <c r="N108" i="39"/>
  <c r="L108" i="39"/>
  <c r="B108" i="39"/>
  <c r="X107" i="39"/>
  <c r="Z107" i="39" s="1"/>
  <c r="L107" i="39"/>
  <c r="N107" i="39" s="1"/>
  <c r="B107" i="39"/>
  <c r="X106" i="39"/>
  <c r="Z106" i="39" s="1"/>
  <c r="N106" i="39"/>
  <c r="L106" i="39"/>
  <c r="B106" i="39"/>
  <c r="Z105" i="39"/>
  <c r="X105" i="39"/>
  <c r="N105" i="39"/>
  <c r="L105" i="39"/>
  <c r="B105" i="39"/>
  <c r="X104" i="39"/>
  <c r="Z104" i="39" s="1"/>
  <c r="N104" i="39"/>
  <c r="L104" i="39"/>
  <c r="B104" i="39"/>
  <c r="T103" i="39"/>
  <c r="P103" i="39"/>
  <c r="X103" i="39" s="1"/>
  <c r="Z103" i="39" s="1"/>
  <c r="N103" i="39"/>
  <c r="H103" i="39"/>
  <c r="D103" i="39"/>
  <c r="L103" i="39" s="1"/>
  <c r="B103" i="39"/>
  <c r="Z102" i="39"/>
  <c r="X102" i="39"/>
  <c r="L102" i="39"/>
  <c r="N102" i="39" s="1"/>
  <c r="B102" i="39"/>
  <c r="Z101" i="39"/>
  <c r="X101" i="39"/>
  <c r="N101" i="39"/>
  <c r="L101" i="39"/>
  <c r="B101" i="39"/>
  <c r="T100" i="39"/>
  <c r="P100" i="39"/>
  <c r="X100" i="39" s="1"/>
  <c r="H100" i="39"/>
  <c r="D100" i="39"/>
  <c r="L100" i="39" s="1"/>
  <c r="N100" i="39" s="1"/>
  <c r="B100" i="39"/>
  <c r="X99" i="39"/>
  <c r="Z99" i="39" s="1"/>
  <c r="L99" i="39"/>
  <c r="N99" i="39" s="1"/>
  <c r="B99" i="39"/>
  <c r="X98" i="39"/>
  <c r="Z98" i="39" s="1"/>
  <c r="L98" i="39"/>
  <c r="N98" i="39" s="1"/>
  <c r="B98" i="39"/>
  <c r="Z97" i="39"/>
  <c r="X97" i="39"/>
  <c r="N97" i="39"/>
  <c r="L97" i="39"/>
  <c r="B97" i="39"/>
  <c r="X96" i="39"/>
  <c r="Z96" i="39" s="1"/>
  <c r="L96" i="39"/>
  <c r="N96" i="39" s="1"/>
  <c r="B96" i="39"/>
  <c r="X95" i="39"/>
  <c r="Z95" i="39" s="1"/>
  <c r="L95" i="39"/>
  <c r="N95" i="39" s="1"/>
  <c r="B95" i="39"/>
  <c r="Z94" i="39"/>
  <c r="X94" i="39"/>
  <c r="T94" i="39"/>
  <c r="P94" i="39"/>
  <c r="L94" i="39"/>
  <c r="N94" i="39" s="1"/>
  <c r="H94" i="39"/>
  <c r="D94" i="39"/>
  <c r="B94" i="39"/>
  <c r="Z93" i="39"/>
  <c r="X93" i="39"/>
  <c r="N93" i="39"/>
  <c r="L93" i="39"/>
  <c r="B93" i="39"/>
  <c r="X92" i="39"/>
  <c r="Z92" i="39" s="1"/>
  <c r="N92" i="39"/>
  <c r="L92" i="39"/>
  <c r="B92" i="39"/>
  <c r="T91" i="39"/>
  <c r="P91" i="39"/>
  <c r="X91" i="39" s="1"/>
  <c r="Z91" i="39" s="1"/>
  <c r="H91" i="39"/>
  <c r="D91" i="39"/>
  <c r="L91" i="39" s="1"/>
  <c r="N91" i="39" s="1"/>
  <c r="B91" i="39"/>
  <c r="Z90" i="39"/>
  <c r="X90" i="39"/>
  <c r="N90" i="39"/>
  <c r="L90" i="39"/>
  <c r="B90" i="39"/>
  <c r="Z89" i="39"/>
  <c r="X89" i="39"/>
  <c r="N89" i="39"/>
  <c r="L89" i="39"/>
  <c r="B89" i="39"/>
  <c r="Z88" i="39"/>
  <c r="X88" i="39"/>
  <c r="N88" i="39"/>
  <c r="L88" i="39"/>
  <c r="B88" i="39"/>
  <c r="X87" i="39"/>
  <c r="Z87" i="39" s="1"/>
  <c r="T87" i="39"/>
  <c r="P87" i="39"/>
  <c r="H87" i="39"/>
  <c r="D87" i="39"/>
  <c r="B87" i="39"/>
  <c r="X86" i="39"/>
  <c r="Z86" i="39" s="1"/>
  <c r="L86" i="39"/>
  <c r="N86" i="39" s="1"/>
  <c r="B86" i="39"/>
  <c r="T85" i="39"/>
  <c r="P85" i="39"/>
  <c r="X85" i="39" s="1"/>
  <c r="H85" i="39"/>
  <c r="N85" i="39" s="1"/>
  <c r="D85" i="39"/>
  <c r="L85" i="39" s="1"/>
  <c r="B85" i="39"/>
  <c r="Z84" i="39"/>
  <c r="X84" i="39"/>
  <c r="N84" i="39"/>
  <c r="L84" i="39"/>
  <c r="B84" i="39"/>
  <c r="Z83" i="39"/>
  <c r="X83" i="39"/>
  <c r="T83" i="39"/>
  <c r="P83" i="39"/>
  <c r="N83" i="39"/>
  <c r="H83" i="39"/>
  <c r="D83" i="39"/>
  <c r="L83" i="39" s="1"/>
  <c r="B83" i="39"/>
  <c r="Z82" i="39"/>
  <c r="X82" i="39"/>
  <c r="N82" i="39"/>
  <c r="L82" i="39"/>
  <c r="B82" i="39"/>
  <c r="T81" i="39"/>
  <c r="P81" i="39"/>
  <c r="L81" i="39"/>
  <c r="N81" i="39" s="1"/>
  <c r="H81" i="39"/>
  <c r="D81" i="39"/>
  <c r="B81" i="39"/>
  <c r="X80" i="39"/>
  <c r="Z80" i="39" s="1"/>
  <c r="L80" i="39"/>
  <c r="N80" i="39" s="1"/>
  <c r="B80" i="39"/>
  <c r="T79" i="39"/>
  <c r="P79" i="39"/>
  <c r="X79" i="39" s="1"/>
  <c r="H79" i="39"/>
  <c r="D79" i="39"/>
  <c r="B79" i="39"/>
  <c r="X78" i="39"/>
  <c r="Z78" i="39" s="1"/>
  <c r="N78" i="39"/>
  <c r="L78" i="39"/>
  <c r="B78" i="39"/>
  <c r="Z77" i="39"/>
  <c r="X77" i="39"/>
  <c r="N77" i="39"/>
  <c r="L77" i="39"/>
  <c r="B77" i="39"/>
  <c r="T76" i="39"/>
  <c r="P76" i="39"/>
  <c r="H76" i="39"/>
  <c r="D76" i="39"/>
  <c r="B76" i="39"/>
  <c r="X75" i="39"/>
  <c r="Z75" i="39" s="1"/>
  <c r="L75" i="39"/>
  <c r="N75" i="39" s="1"/>
  <c r="B75" i="39"/>
  <c r="Z74" i="39"/>
  <c r="T74" i="39"/>
  <c r="P74" i="39"/>
  <c r="X74" i="39" s="1"/>
  <c r="H74" i="39"/>
  <c r="D74" i="39"/>
  <c r="L74" i="39" s="1"/>
  <c r="B74" i="39"/>
  <c r="Z73" i="39"/>
  <c r="X73" i="39"/>
  <c r="N73" i="39"/>
  <c r="L73" i="39"/>
  <c r="B73" i="39"/>
  <c r="X72" i="39"/>
  <c r="Z72" i="39" s="1"/>
  <c r="T72" i="39"/>
  <c r="P72" i="39"/>
  <c r="N72" i="39"/>
  <c r="L72" i="39"/>
  <c r="H72" i="39"/>
  <c r="D72" i="39"/>
  <c r="B72" i="39"/>
  <c r="X71" i="39"/>
  <c r="Z71" i="39" s="1"/>
  <c r="L71" i="39"/>
  <c r="N71" i="39" s="1"/>
  <c r="B71" i="39"/>
  <c r="T70" i="39"/>
  <c r="P70" i="39"/>
  <c r="H70" i="39"/>
  <c r="D70" i="39"/>
  <c r="B70" i="39"/>
  <c r="Z69" i="39"/>
  <c r="X69" i="39"/>
  <c r="N69" i="39"/>
  <c r="L69" i="39"/>
  <c r="B69" i="39"/>
  <c r="T68" i="39"/>
  <c r="P68" i="39"/>
  <c r="X68" i="39" s="1"/>
  <c r="N68" i="39"/>
  <c r="H68" i="39"/>
  <c r="D68" i="39"/>
  <c r="L68" i="39" s="1"/>
  <c r="B68" i="39"/>
  <c r="X67" i="39"/>
  <c r="Z67" i="39" s="1"/>
  <c r="L67" i="39"/>
  <c r="N67" i="39" s="1"/>
  <c r="B67" i="39"/>
  <c r="X66" i="39"/>
  <c r="Z66" i="39" s="1"/>
  <c r="T66" i="39"/>
  <c r="P66" i="39"/>
  <c r="L66" i="39"/>
  <c r="N66" i="39" s="1"/>
  <c r="H66" i="39"/>
  <c r="D66" i="39"/>
  <c r="B66" i="39"/>
  <c r="Z65" i="39"/>
  <c r="X65" i="39"/>
  <c r="N65" i="39"/>
  <c r="L65" i="39"/>
  <c r="B65" i="39"/>
  <c r="X64" i="39"/>
  <c r="Z64" i="39" s="1"/>
  <c r="N64" i="39"/>
  <c r="L64" i="39"/>
  <c r="B64" i="39"/>
  <c r="X63" i="39"/>
  <c r="Z63" i="39" s="1"/>
  <c r="L63" i="39"/>
  <c r="N63" i="39" s="1"/>
  <c r="B63" i="39"/>
  <c r="T62" i="39"/>
  <c r="P62" i="39"/>
  <c r="H62" i="39"/>
  <c r="D62" i="39"/>
  <c r="B62" i="39"/>
  <c r="Z61" i="39"/>
  <c r="X61" i="39"/>
  <c r="N61" i="39"/>
  <c r="L61" i="39"/>
  <c r="B61" i="39"/>
  <c r="T60" i="39"/>
  <c r="Z60" i="39" s="1"/>
  <c r="P60" i="39"/>
  <c r="X60" i="39" s="1"/>
  <c r="N60" i="39"/>
  <c r="H60" i="39"/>
  <c r="D60" i="39"/>
  <c r="L60" i="39" s="1"/>
  <c r="B60" i="39"/>
  <c r="X59" i="39"/>
  <c r="Z59" i="39" s="1"/>
  <c r="L59" i="39"/>
  <c r="N59" i="39" s="1"/>
  <c r="B59" i="39"/>
  <c r="Z58" i="39"/>
  <c r="X58" i="39"/>
  <c r="T58" i="39"/>
  <c r="P58" i="39"/>
  <c r="L58" i="39"/>
  <c r="N58" i="39" s="1"/>
  <c r="H58" i="39"/>
  <c r="D58" i="39"/>
  <c r="B58" i="39"/>
  <c r="Z57" i="39"/>
  <c r="X57" i="39"/>
  <c r="N57" i="39"/>
  <c r="L57" i="39"/>
  <c r="B57" i="39"/>
  <c r="T56" i="39"/>
  <c r="P56" i="39"/>
  <c r="H56" i="39"/>
  <c r="D56" i="39"/>
  <c r="B56" i="39"/>
  <c r="X55" i="39"/>
  <c r="Z55" i="39" s="1"/>
  <c r="L55" i="39"/>
  <c r="N55" i="39" s="1"/>
  <c r="B55" i="39"/>
  <c r="Z54" i="39"/>
  <c r="X54" i="39"/>
  <c r="L54" i="39"/>
  <c r="N54" i="39" s="1"/>
  <c r="B54" i="39"/>
  <c r="Z53" i="39"/>
  <c r="X53" i="39"/>
  <c r="N53" i="39"/>
  <c r="L53" i="39"/>
  <c r="B53" i="39"/>
  <c r="Z52" i="39"/>
  <c r="X52" i="39"/>
  <c r="L52" i="39"/>
  <c r="N52" i="39" s="1"/>
  <c r="B52" i="39"/>
  <c r="X51" i="39"/>
  <c r="Z51" i="39" s="1"/>
  <c r="L51" i="39"/>
  <c r="N51" i="39" s="1"/>
  <c r="B51" i="39"/>
  <c r="Z50" i="39"/>
  <c r="X50" i="39"/>
  <c r="L50" i="39"/>
  <c r="N50" i="39" s="1"/>
  <c r="B50" i="39"/>
  <c r="Z49" i="39"/>
  <c r="X49" i="39"/>
  <c r="N49" i="39"/>
  <c r="L49" i="39"/>
  <c r="B49" i="39"/>
  <c r="T48" i="39"/>
  <c r="P48" i="39"/>
  <c r="X48" i="39" s="1"/>
  <c r="H48" i="39"/>
  <c r="D48" i="39"/>
  <c r="L48" i="39" s="1"/>
  <c r="N48" i="39" s="1"/>
  <c r="B48" i="39"/>
  <c r="X47" i="39"/>
  <c r="Z47" i="39" s="1"/>
  <c r="L47" i="39"/>
  <c r="N47" i="39" s="1"/>
  <c r="B47" i="39"/>
  <c r="X46" i="39"/>
  <c r="Z46" i="39" s="1"/>
  <c r="L46" i="39"/>
  <c r="N46" i="39" s="1"/>
  <c r="B46" i="39"/>
  <c r="Z45" i="39"/>
  <c r="X45" i="39"/>
  <c r="N45" i="39"/>
  <c r="L45" i="39"/>
  <c r="B45" i="39"/>
  <c r="X44" i="39"/>
  <c r="Z44" i="39" s="1"/>
  <c r="L44" i="39"/>
  <c r="N44" i="39" s="1"/>
  <c r="B44" i="39"/>
  <c r="X43" i="39"/>
  <c r="Z43" i="39" s="1"/>
  <c r="L43" i="39"/>
  <c r="N43" i="39" s="1"/>
  <c r="B43" i="39"/>
  <c r="X42" i="39"/>
  <c r="Z42" i="39" s="1"/>
  <c r="L42" i="39"/>
  <c r="N42" i="39" s="1"/>
  <c r="B42" i="39"/>
  <c r="Z41" i="39"/>
  <c r="X41" i="39"/>
  <c r="N41" i="39"/>
  <c r="L41" i="39"/>
  <c r="B41" i="39"/>
  <c r="X40" i="39"/>
  <c r="Z40" i="39" s="1"/>
  <c r="N40" i="39"/>
  <c r="L40" i="39"/>
  <c r="B40" i="39"/>
  <c r="X39" i="39"/>
  <c r="Z39" i="39" s="1"/>
  <c r="L39" i="39"/>
  <c r="N39" i="39" s="1"/>
  <c r="B39" i="39"/>
  <c r="Z38" i="39"/>
  <c r="X38" i="39"/>
  <c r="T38" i="39"/>
  <c r="P38" i="39"/>
  <c r="L38" i="39"/>
  <c r="N38" i="39" s="1"/>
  <c r="H38" i="39"/>
  <c r="D38" i="39"/>
  <c r="B38" i="39"/>
  <c r="Z37" i="39"/>
  <c r="T37" i="39"/>
  <c r="P37" i="39"/>
  <c r="X37" i="39" s="1"/>
  <c r="H37" i="39"/>
  <c r="D37" i="39"/>
  <c r="L37" i="39" s="1"/>
  <c r="N37" i="39" s="1"/>
  <c r="Z33" i="39"/>
  <c r="X33" i="39"/>
  <c r="L33" i="39"/>
  <c r="N33" i="39" s="1"/>
  <c r="B33" i="39"/>
  <c r="X32" i="39"/>
  <c r="Z32" i="39" s="1"/>
  <c r="N32" i="39"/>
  <c r="L32" i="39"/>
  <c r="B32" i="39"/>
  <c r="X31" i="39"/>
  <c r="Z31" i="39" s="1"/>
  <c r="T31" i="39"/>
  <c r="P31" i="39"/>
  <c r="N31" i="39"/>
  <c r="H31" i="39"/>
  <c r="D31" i="39"/>
  <c r="L31" i="39" s="1"/>
  <c r="X29" i="39"/>
  <c r="Z29" i="39" s="1"/>
  <c r="T29" i="39"/>
  <c r="P29" i="39"/>
  <c r="L29" i="39"/>
  <c r="H29" i="39"/>
  <c r="N29" i="39" s="1"/>
  <c r="D29" i="39"/>
  <c r="B29" i="39"/>
  <c r="T28" i="39"/>
  <c r="P28" i="39"/>
  <c r="X28" i="39" s="1"/>
  <c r="Z28" i="39" s="1"/>
  <c r="N28" i="39"/>
  <c r="H28" i="39"/>
  <c r="D28" i="39"/>
  <c r="L28" i="39" s="1"/>
  <c r="B28" i="39"/>
  <c r="T27" i="39"/>
  <c r="P27" i="39"/>
  <c r="X27" i="39" s="1"/>
  <c r="Z27" i="39" s="1"/>
  <c r="H27" i="39"/>
  <c r="D27" i="39"/>
  <c r="L27" i="39" s="1"/>
  <c r="B27" i="39"/>
  <c r="T26" i="39"/>
  <c r="P26" i="39"/>
  <c r="X26" i="39" s="1"/>
  <c r="H26" i="39"/>
  <c r="N26" i="39" s="1"/>
  <c r="D26" i="39"/>
  <c r="L26" i="39" s="1"/>
  <c r="B26" i="39"/>
  <c r="X25" i="39"/>
  <c r="Z25" i="39" s="1"/>
  <c r="T25" i="39"/>
  <c r="P25" i="39"/>
  <c r="L25" i="39"/>
  <c r="H25" i="39"/>
  <c r="D25" i="39"/>
  <c r="B25" i="39"/>
  <c r="T24" i="39"/>
  <c r="P24" i="39"/>
  <c r="X24" i="39" s="1"/>
  <c r="Z24" i="39" s="1"/>
  <c r="N24" i="39"/>
  <c r="H24" i="39"/>
  <c r="D24" i="39"/>
  <c r="L24" i="39" s="1"/>
  <c r="B24" i="39"/>
  <c r="T23" i="39"/>
  <c r="P23" i="39"/>
  <c r="X23" i="39" s="1"/>
  <c r="Z23" i="39" s="1"/>
  <c r="H23" i="39"/>
  <c r="D23" i="39"/>
  <c r="L23" i="39" s="1"/>
  <c r="B23" i="39"/>
  <c r="T22" i="39"/>
  <c r="P22" i="39"/>
  <c r="X22" i="39" s="1"/>
  <c r="H22" i="39"/>
  <c r="N22" i="39" s="1"/>
  <c r="D22" i="39"/>
  <c r="L22" i="39" s="1"/>
  <c r="B22" i="39"/>
  <c r="X21" i="39"/>
  <c r="Z21" i="39" s="1"/>
  <c r="T21" i="39"/>
  <c r="P21" i="39"/>
  <c r="L21" i="39"/>
  <c r="H21" i="39"/>
  <c r="D21" i="39"/>
  <c r="B21" i="39"/>
  <c r="T20" i="39"/>
  <c r="P20" i="39"/>
  <c r="X20" i="39" s="1"/>
  <c r="Z20" i="39" s="1"/>
  <c r="N20" i="39"/>
  <c r="H20" i="39"/>
  <c r="D20" i="39"/>
  <c r="L20" i="39" s="1"/>
  <c r="B20" i="39"/>
  <c r="T19" i="39"/>
  <c r="P19" i="39"/>
  <c r="X19" i="39" s="1"/>
  <c r="Z19" i="39" s="1"/>
  <c r="H19" i="39"/>
  <c r="N19" i="39" s="1"/>
  <c r="D19" i="39"/>
  <c r="L19" i="39" s="1"/>
  <c r="B19" i="39"/>
  <c r="T18" i="39"/>
  <c r="P18" i="39"/>
  <c r="X18" i="39" s="1"/>
  <c r="H18" i="39"/>
  <c r="N18" i="39" s="1"/>
  <c r="D18" i="39"/>
  <c r="L18" i="39" s="1"/>
  <c r="B18" i="39"/>
  <c r="X17" i="39"/>
  <c r="Z17" i="39" s="1"/>
  <c r="T17" i="39"/>
  <c r="P17" i="39"/>
  <c r="L17" i="39"/>
  <c r="H17" i="39"/>
  <c r="D17" i="39"/>
  <c r="B17" i="39"/>
  <c r="T16" i="39"/>
  <c r="P16" i="39"/>
  <c r="X16" i="39" s="1"/>
  <c r="Z16" i="39" s="1"/>
  <c r="N16" i="39"/>
  <c r="H16" i="39"/>
  <c r="D16" i="39"/>
  <c r="L16" i="39" s="1"/>
  <c r="B16" i="39"/>
  <c r="T15" i="39"/>
  <c r="P15" i="39"/>
  <c r="X15" i="39" s="1"/>
  <c r="Z15" i="39" s="1"/>
  <c r="H15" i="39"/>
  <c r="D15" i="39"/>
  <c r="B15" i="39"/>
  <c r="T14" i="39"/>
  <c r="P14" i="39"/>
  <c r="H14" i="39"/>
  <c r="N14" i="39" s="1"/>
  <c r="D14" i="39"/>
  <c r="L14" i="39" s="1"/>
  <c r="B14" i="39"/>
  <c r="X13" i="39"/>
  <c r="Z13" i="39" s="1"/>
  <c r="T13" i="39"/>
  <c r="P13" i="39"/>
  <c r="L13" i="39"/>
  <c r="H13" i="39"/>
  <c r="D13" i="39"/>
  <c r="B13" i="39"/>
  <c r="D4" i="39"/>
  <c r="X124" i="36"/>
  <c r="Z124" i="36" s="1"/>
  <c r="L124" i="36"/>
  <c r="N124" i="36" s="1"/>
  <c r="T120" i="36"/>
  <c r="P120" i="36"/>
  <c r="X120" i="36" s="1"/>
  <c r="Z120" i="36" s="1"/>
  <c r="L120" i="36"/>
  <c r="H120" i="36"/>
  <c r="H117" i="36" s="1"/>
  <c r="D120" i="36"/>
  <c r="B120" i="36"/>
  <c r="X119" i="36"/>
  <c r="Z119" i="36" s="1"/>
  <c r="T119" i="36"/>
  <c r="P119" i="36"/>
  <c r="L119" i="36"/>
  <c r="N119" i="36" s="1"/>
  <c r="H119" i="36"/>
  <c r="D119" i="36"/>
  <c r="B119" i="36"/>
  <c r="T118" i="36"/>
  <c r="T117" i="36" s="1"/>
  <c r="P118" i="36"/>
  <c r="X118" i="36" s="1"/>
  <c r="Z118" i="36" s="1"/>
  <c r="H118" i="36"/>
  <c r="D118" i="36"/>
  <c r="D117" i="36" s="1"/>
  <c r="B118" i="36"/>
  <c r="Z115" i="36"/>
  <c r="X115" i="36"/>
  <c r="L115" i="36"/>
  <c r="N115" i="36" s="1"/>
  <c r="B115" i="36"/>
  <c r="X114" i="36"/>
  <c r="Z114" i="36" s="1"/>
  <c r="T114" i="36"/>
  <c r="P114" i="36"/>
  <c r="L114" i="36"/>
  <c r="H114" i="36"/>
  <c r="D114" i="36"/>
  <c r="B114" i="36"/>
  <c r="X113" i="36"/>
  <c r="Z113" i="36" s="1"/>
  <c r="N113" i="36"/>
  <c r="L113" i="36"/>
  <c r="B113" i="36"/>
  <c r="X112" i="36"/>
  <c r="Z112" i="36" s="1"/>
  <c r="N112" i="36"/>
  <c r="L112" i="36"/>
  <c r="B112" i="36"/>
  <c r="X111" i="36"/>
  <c r="Z111" i="36" s="1"/>
  <c r="L111" i="36"/>
  <c r="N111" i="36" s="1"/>
  <c r="B111" i="36"/>
  <c r="T110" i="36"/>
  <c r="P110" i="36"/>
  <c r="H110" i="36"/>
  <c r="D110" i="36"/>
  <c r="B110" i="36"/>
  <c r="X109" i="36"/>
  <c r="Z109" i="36" s="1"/>
  <c r="N109" i="36"/>
  <c r="L109" i="36"/>
  <c r="B109" i="36"/>
  <c r="Z108" i="36"/>
  <c r="T108" i="36"/>
  <c r="P108" i="36"/>
  <c r="X108" i="36" s="1"/>
  <c r="H108" i="36"/>
  <c r="D108" i="36"/>
  <c r="L108" i="36" s="1"/>
  <c r="N108" i="36" s="1"/>
  <c r="B108" i="36"/>
  <c r="Z107" i="36"/>
  <c r="X107" i="36"/>
  <c r="N107" i="36"/>
  <c r="L107" i="36"/>
  <c r="B107" i="36"/>
  <c r="X106" i="36"/>
  <c r="Z106" i="36" s="1"/>
  <c r="T106" i="36"/>
  <c r="P106" i="36"/>
  <c r="H106" i="36"/>
  <c r="D106" i="36"/>
  <c r="B106" i="36"/>
  <c r="Z105" i="36"/>
  <c r="X105" i="36"/>
  <c r="L105" i="36"/>
  <c r="N105" i="36" s="1"/>
  <c r="B105" i="36"/>
  <c r="X104" i="36"/>
  <c r="Z104" i="36" s="1"/>
  <c r="N104" i="36"/>
  <c r="L104" i="36"/>
  <c r="B104" i="36"/>
  <c r="X103" i="36"/>
  <c r="Z103" i="36" s="1"/>
  <c r="L103" i="36"/>
  <c r="N103" i="36" s="1"/>
  <c r="B103" i="36"/>
  <c r="X102" i="36"/>
  <c r="Z102" i="36" s="1"/>
  <c r="N102" i="36"/>
  <c r="L102" i="36"/>
  <c r="B102" i="36"/>
  <c r="Z101" i="36"/>
  <c r="X101" i="36"/>
  <c r="N101" i="36"/>
  <c r="L101" i="36"/>
  <c r="B101" i="36"/>
  <c r="X100" i="36"/>
  <c r="Z100" i="36" s="1"/>
  <c r="N100" i="36"/>
  <c r="L100" i="36"/>
  <c r="B100" i="36"/>
  <c r="Z99" i="36"/>
  <c r="X99" i="36"/>
  <c r="L99" i="36"/>
  <c r="N99" i="36" s="1"/>
  <c r="B99" i="36"/>
  <c r="X98" i="36"/>
  <c r="Z98" i="36" s="1"/>
  <c r="N98" i="36"/>
  <c r="L98" i="36"/>
  <c r="B98" i="36"/>
  <c r="X97" i="36"/>
  <c r="Z97" i="36" s="1"/>
  <c r="T97" i="36"/>
  <c r="P97" i="36"/>
  <c r="H97" i="36"/>
  <c r="D97" i="36"/>
  <c r="L97" i="36" s="1"/>
  <c r="N97" i="36" s="1"/>
  <c r="B97" i="36"/>
  <c r="Z96" i="36"/>
  <c r="X96" i="36"/>
  <c r="L96" i="36"/>
  <c r="N96" i="36" s="1"/>
  <c r="B96" i="36"/>
  <c r="T95" i="36"/>
  <c r="P95" i="36"/>
  <c r="N95" i="36"/>
  <c r="L95" i="36"/>
  <c r="H95" i="36"/>
  <c r="D95" i="36"/>
  <c r="B95" i="36"/>
  <c r="Z94" i="36"/>
  <c r="X94" i="36"/>
  <c r="L94" i="36"/>
  <c r="N94" i="36" s="1"/>
  <c r="B94" i="36"/>
  <c r="Z93" i="36"/>
  <c r="X93" i="36"/>
  <c r="L93" i="36"/>
  <c r="N93" i="36" s="1"/>
  <c r="B93" i="36"/>
  <c r="X92" i="36"/>
  <c r="Z92" i="36" s="1"/>
  <c r="N92" i="36"/>
  <c r="L92" i="36"/>
  <c r="B92" i="36"/>
  <c r="Z91" i="36"/>
  <c r="X91" i="36"/>
  <c r="L91" i="36"/>
  <c r="N91" i="36" s="1"/>
  <c r="B91" i="36"/>
  <c r="Z90" i="36"/>
  <c r="X90" i="36"/>
  <c r="L90" i="36"/>
  <c r="N90" i="36" s="1"/>
  <c r="B90" i="36"/>
  <c r="X89" i="36"/>
  <c r="Z89" i="36" s="1"/>
  <c r="T89" i="36"/>
  <c r="P89" i="36"/>
  <c r="H89" i="36"/>
  <c r="D89" i="36"/>
  <c r="L89" i="36" s="1"/>
  <c r="B89" i="36"/>
  <c r="Z88" i="36"/>
  <c r="X88" i="36"/>
  <c r="R88" i="36"/>
  <c r="N88" i="36"/>
  <c r="L88" i="36"/>
  <c r="B88" i="36"/>
  <c r="X87" i="36"/>
  <c r="Z87" i="36" s="1"/>
  <c r="L87" i="36"/>
  <c r="N87" i="36" s="1"/>
  <c r="B87" i="36"/>
  <c r="X86" i="36"/>
  <c r="T86" i="36"/>
  <c r="P86" i="36"/>
  <c r="H86" i="36"/>
  <c r="D86" i="36"/>
  <c r="B86" i="36"/>
  <c r="Z85" i="36"/>
  <c r="X85" i="36"/>
  <c r="N85" i="36"/>
  <c r="L85" i="36"/>
  <c r="B85" i="36"/>
  <c r="Z84" i="36"/>
  <c r="X84" i="36"/>
  <c r="N84" i="36"/>
  <c r="L84" i="36"/>
  <c r="B84" i="36"/>
  <c r="X83" i="36"/>
  <c r="Z83" i="36" s="1"/>
  <c r="N83" i="36"/>
  <c r="L83" i="36"/>
  <c r="B83" i="36"/>
  <c r="T82" i="36"/>
  <c r="P82" i="36"/>
  <c r="X82" i="36" s="1"/>
  <c r="Z82" i="36" s="1"/>
  <c r="H82" i="36"/>
  <c r="D82" i="36"/>
  <c r="L82" i="36" s="1"/>
  <c r="N82" i="36" s="1"/>
  <c r="B82" i="36"/>
  <c r="Z81" i="36"/>
  <c r="X81" i="36"/>
  <c r="N81" i="36"/>
  <c r="L81" i="36"/>
  <c r="B81" i="36"/>
  <c r="T80" i="36"/>
  <c r="P80" i="36"/>
  <c r="H80" i="36"/>
  <c r="D80" i="36"/>
  <c r="L80" i="36" s="1"/>
  <c r="N80" i="36" s="1"/>
  <c r="B80" i="36"/>
  <c r="X79" i="36"/>
  <c r="Z79" i="36" s="1"/>
  <c r="L79" i="36"/>
  <c r="N79" i="36" s="1"/>
  <c r="B79" i="36"/>
  <c r="X78" i="36"/>
  <c r="T78" i="36"/>
  <c r="Z78" i="36" s="1"/>
  <c r="R78" i="36"/>
  <c r="P78" i="36"/>
  <c r="H78" i="36"/>
  <c r="D78" i="36"/>
  <c r="L78" i="36" s="1"/>
  <c r="N78" i="36" s="1"/>
  <c r="B78" i="36"/>
  <c r="Z77" i="36"/>
  <c r="X77" i="36"/>
  <c r="R77" i="36"/>
  <c r="N77" i="36"/>
  <c r="L77" i="36"/>
  <c r="B77" i="36"/>
  <c r="T76" i="36"/>
  <c r="Z76" i="36" s="1"/>
  <c r="P76" i="36"/>
  <c r="X76" i="36" s="1"/>
  <c r="N76" i="36"/>
  <c r="L76" i="36"/>
  <c r="H76" i="36"/>
  <c r="D76" i="36"/>
  <c r="B76" i="36"/>
  <c r="X75" i="36"/>
  <c r="Z75" i="36" s="1"/>
  <c r="L75" i="36"/>
  <c r="N75" i="36" s="1"/>
  <c r="B75" i="36"/>
  <c r="T74" i="36"/>
  <c r="Z74" i="36" s="1"/>
  <c r="P74" i="36"/>
  <c r="X74" i="36" s="1"/>
  <c r="H74" i="36"/>
  <c r="D74" i="36"/>
  <c r="B74" i="36"/>
  <c r="X73" i="36"/>
  <c r="Z73" i="36" s="1"/>
  <c r="N73" i="36"/>
  <c r="L73" i="36"/>
  <c r="B73" i="36"/>
  <c r="T72" i="36"/>
  <c r="P72" i="36"/>
  <c r="X72" i="36" s="1"/>
  <c r="Z72" i="36" s="1"/>
  <c r="L72" i="36"/>
  <c r="N72" i="36" s="1"/>
  <c r="H72" i="36"/>
  <c r="D72" i="36"/>
  <c r="B72" i="36"/>
  <c r="X71" i="36"/>
  <c r="Z71" i="36" s="1"/>
  <c r="L71" i="36"/>
  <c r="N71" i="36" s="1"/>
  <c r="B71" i="36"/>
  <c r="Z70" i="36"/>
  <c r="X70" i="36"/>
  <c r="N70" i="36"/>
  <c r="L70" i="36"/>
  <c r="B70" i="36"/>
  <c r="T69" i="36"/>
  <c r="P69" i="36"/>
  <c r="X69" i="36" s="1"/>
  <c r="H69" i="36"/>
  <c r="N69" i="36" s="1"/>
  <c r="D69" i="36"/>
  <c r="L69" i="36" s="1"/>
  <c r="B69" i="36"/>
  <c r="X68" i="36"/>
  <c r="Z68" i="36" s="1"/>
  <c r="N68" i="36"/>
  <c r="L68" i="36"/>
  <c r="B68" i="36"/>
  <c r="T67" i="36"/>
  <c r="Z67" i="36" s="1"/>
  <c r="P67" i="36"/>
  <c r="X67" i="36" s="1"/>
  <c r="H67" i="36"/>
  <c r="D67" i="36"/>
  <c r="L67" i="36" s="1"/>
  <c r="N67" i="36" s="1"/>
  <c r="B67" i="36"/>
  <c r="X66" i="36"/>
  <c r="Z66" i="36" s="1"/>
  <c r="N66" i="36"/>
  <c r="L66" i="36"/>
  <c r="B66" i="36"/>
  <c r="X65" i="36"/>
  <c r="T65" i="36"/>
  <c r="Z65" i="36" s="1"/>
  <c r="P65" i="36"/>
  <c r="L65" i="36"/>
  <c r="N65" i="36" s="1"/>
  <c r="H65" i="36"/>
  <c r="D65" i="36"/>
  <c r="B65" i="36"/>
  <c r="Z64" i="36"/>
  <c r="X64" i="36"/>
  <c r="L64" i="36"/>
  <c r="N64" i="36" s="1"/>
  <c r="B64" i="36"/>
  <c r="T63" i="36"/>
  <c r="P63" i="36"/>
  <c r="H63" i="36"/>
  <c r="D63" i="36"/>
  <c r="L63" i="36" s="1"/>
  <c r="B63" i="36"/>
  <c r="Z62" i="36"/>
  <c r="X62" i="36"/>
  <c r="L62" i="36"/>
  <c r="N62" i="36" s="1"/>
  <c r="B62" i="36"/>
  <c r="T61" i="36"/>
  <c r="Z61" i="36" s="1"/>
  <c r="P61" i="36"/>
  <c r="X61" i="36" s="1"/>
  <c r="H61" i="36"/>
  <c r="N61" i="36" s="1"/>
  <c r="D61" i="36"/>
  <c r="L61" i="36" s="1"/>
  <c r="B61" i="36"/>
  <c r="Z60" i="36"/>
  <c r="X60" i="36"/>
  <c r="N60" i="36"/>
  <c r="L60" i="36"/>
  <c r="B60" i="36"/>
  <c r="X59" i="36"/>
  <c r="Z59" i="36" s="1"/>
  <c r="L59" i="36"/>
  <c r="N59" i="36" s="1"/>
  <c r="B59" i="36"/>
  <c r="X58" i="36"/>
  <c r="Z58" i="36" s="1"/>
  <c r="N58" i="36"/>
  <c r="L58" i="36"/>
  <c r="B58" i="36"/>
  <c r="X57" i="36"/>
  <c r="T57" i="36"/>
  <c r="Z57" i="36" s="1"/>
  <c r="P57" i="36"/>
  <c r="L57" i="36"/>
  <c r="H57" i="36"/>
  <c r="N57" i="36" s="1"/>
  <c r="D57" i="36"/>
  <c r="B57" i="36"/>
  <c r="Z56" i="36"/>
  <c r="X56" i="36"/>
  <c r="N56" i="36"/>
  <c r="L56" i="36"/>
  <c r="J56" i="36"/>
  <c r="B56" i="36"/>
  <c r="T55" i="36"/>
  <c r="P55" i="36"/>
  <c r="H55" i="36"/>
  <c r="D55" i="36"/>
  <c r="B55" i="36"/>
  <c r="Z54" i="36"/>
  <c r="X54" i="36"/>
  <c r="L54" i="36"/>
  <c r="N54" i="36" s="1"/>
  <c r="B54" i="36"/>
  <c r="T53" i="36"/>
  <c r="P53" i="36"/>
  <c r="X53" i="36" s="1"/>
  <c r="H53" i="36"/>
  <c r="D53" i="36"/>
  <c r="L53" i="36" s="1"/>
  <c r="B53" i="36"/>
  <c r="X52" i="36"/>
  <c r="Z52" i="36" s="1"/>
  <c r="N52" i="36"/>
  <c r="L52" i="36"/>
  <c r="B52" i="36"/>
  <c r="X51" i="36"/>
  <c r="T51" i="36"/>
  <c r="P51" i="36"/>
  <c r="L51" i="36"/>
  <c r="H51" i="36"/>
  <c r="N51" i="36" s="1"/>
  <c r="D51" i="36"/>
  <c r="B51" i="36"/>
  <c r="Z50" i="36"/>
  <c r="X50" i="36"/>
  <c r="N50" i="36"/>
  <c r="L50" i="36"/>
  <c r="B50" i="36"/>
  <c r="Z49" i="36"/>
  <c r="X49" i="36"/>
  <c r="R49" i="36"/>
  <c r="L49" i="36"/>
  <c r="N49" i="36" s="1"/>
  <c r="B49" i="36"/>
  <c r="Z48" i="36"/>
  <c r="X48" i="36"/>
  <c r="N48" i="36"/>
  <c r="L48" i="36"/>
  <c r="J48" i="36"/>
  <c r="B48" i="36"/>
  <c r="X47" i="36"/>
  <c r="Z47" i="36" s="1"/>
  <c r="L47" i="36"/>
  <c r="N47" i="36" s="1"/>
  <c r="B47" i="36"/>
  <c r="Z46" i="36"/>
  <c r="X46" i="36"/>
  <c r="N46" i="36"/>
  <c r="L46" i="36"/>
  <c r="B46" i="36"/>
  <c r="Z45" i="36"/>
  <c r="X45" i="36"/>
  <c r="R45" i="36"/>
  <c r="L45" i="36"/>
  <c r="N45" i="36" s="1"/>
  <c r="B45" i="36"/>
  <c r="Z44" i="36"/>
  <c r="X44" i="36"/>
  <c r="N44" i="36"/>
  <c r="L44" i="36"/>
  <c r="J44" i="36"/>
  <c r="B44" i="36"/>
  <c r="T43" i="36"/>
  <c r="P43" i="36"/>
  <c r="H43" i="36"/>
  <c r="D43" i="36"/>
  <c r="L43" i="36" s="1"/>
  <c r="B43" i="36"/>
  <c r="Z42" i="36"/>
  <c r="X42" i="36"/>
  <c r="L42" i="36"/>
  <c r="N42" i="36" s="1"/>
  <c r="B42" i="36"/>
  <c r="X41" i="36"/>
  <c r="Z41" i="36" s="1"/>
  <c r="L41" i="36"/>
  <c r="N41" i="36" s="1"/>
  <c r="B41" i="36"/>
  <c r="Z40" i="36"/>
  <c r="X40" i="36"/>
  <c r="L40" i="36"/>
  <c r="N40" i="36" s="1"/>
  <c r="B40" i="36"/>
  <c r="X39" i="36"/>
  <c r="Z39" i="36" s="1"/>
  <c r="L39" i="36"/>
  <c r="N39" i="36" s="1"/>
  <c r="B39" i="36"/>
  <c r="Z38" i="36"/>
  <c r="X38" i="36"/>
  <c r="L38" i="36"/>
  <c r="N38" i="36" s="1"/>
  <c r="B38" i="36"/>
  <c r="X37" i="36"/>
  <c r="Z37" i="36" s="1"/>
  <c r="L37" i="36"/>
  <c r="N37" i="36" s="1"/>
  <c r="B37" i="36"/>
  <c r="Z36" i="36"/>
  <c r="X36" i="36"/>
  <c r="L36" i="36"/>
  <c r="N36" i="36" s="1"/>
  <c r="B36" i="36"/>
  <c r="X35" i="36"/>
  <c r="Z35" i="36" s="1"/>
  <c r="N35" i="36"/>
  <c r="L35" i="36"/>
  <c r="B35" i="36"/>
  <c r="Z34" i="36"/>
  <c r="X34" i="36"/>
  <c r="L34" i="36"/>
  <c r="N34" i="36" s="1"/>
  <c r="B34" i="36"/>
  <c r="T33" i="36"/>
  <c r="Z33" i="36" s="1"/>
  <c r="P33" i="36"/>
  <c r="X33" i="36" s="1"/>
  <c r="H33" i="36"/>
  <c r="N33" i="36" s="1"/>
  <c r="D33" i="36"/>
  <c r="L33" i="36" s="1"/>
  <c r="B33" i="36"/>
  <c r="T32" i="36"/>
  <c r="P32" i="36"/>
  <c r="X32" i="36" s="1"/>
  <c r="H32" i="36"/>
  <c r="D32" i="36"/>
  <c r="L32" i="36" s="1"/>
  <c r="X28" i="36"/>
  <c r="Z28" i="36" s="1"/>
  <c r="L28" i="36"/>
  <c r="N28" i="36" s="1"/>
  <c r="B28" i="36"/>
  <c r="X27" i="36"/>
  <c r="Z27" i="36" s="1"/>
  <c r="N27" i="36"/>
  <c r="L27" i="36"/>
  <c r="B27" i="36"/>
  <c r="T26" i="36"/>
  <c r="R26" i="36"/>
  <c r="P26" i="36"/>
  <c r="X26" i="36" s="1"/>
  <c r="H26" i="36"/>
  <c r="D26" i="36"/>
  <c r="L26" i="36" s="1"/>
  <c r="T24" i="36"/>
  <c r="P24" i="36"/>
  <c r="X24" i="36" s="1"/>
  <c r="Z24" i="36" s="1"/>
  <c r="N24" i="36"/>
  <c r="L24" i="36"/>
  <c r="H24" i="36"/>
  <c r="D24" i="36"/>
  <c r="B24" i="36"/>
  <c r="T23" i="36"/>
  <c r="P23" i="36"/>
  <c r="H23" i="36"/>
  <c r="N23" i="36" s="1"/>
  <c r="D23" i="36"/>
  <c r="L23" i="36" s="1"/>
  <c r="B23" i="36"/>
  <c r="X22" i="36"/>
  <c r="T22" i="36"/>
  <c r="Z22" i="36" s="1"/>
  <c r="P22" i="36"/>
  <c r="L22" i="36"/>
  <c r="N22" i="36" s="1"/>
  <c r="H22" i="36"/>
  <c r="D22" i="36"/>
  <c r="B22" i="36"/>
  <c r="X21" i="36"/>
  <c r="T21" i="36"/>
  <c r="P21" i="36"/>
  <c r="H21" i="36"/>
  <c r="D21" i="36"/>
  <c r="L21" i="36" s="1"/>
  <c r="N21" i="36" s="1"/>
  <c r="B21" i="36"/>
  <c r="T20" i="36"/>
  <c r="Z20" i="36" s="1"/>
  <c r="P20" i="36"/>
  <c r="X20" i="36" s="1"/>
  <c r="N20" i="36"/>
  <c r="L20" i="36"/>
  <c r="H20" i="36"/>
  <c r="D20" i="36"/>
  <c r="B20" i="36"/>
  <c r="T19" i="36"/>
  <c r="P19" i="36"/>
  <c r="H19" i="36"/>
  <c r="D19" i="36"/>
  <c r="L19" i="36" s="1"/>
  <c r="B19" i="36"/>
  <c r="X18" i="36"/>
  <c r="T18" i="36"/>
  <c r="Z18" i="36" s="1"/>
  <c r="P18" i="36"/>
  <c r="L18" i="36"/>
  <c r="N18" i="36" s="1"/>
  <c r="H18" i="36"/>
  <c r="D18" i="36"/>
  <c r="B18" i="36"/>
  <c r="X17" i="36"/>
  <c r="T17" i="36"/>
  <c r="Z17" i="36" s="1"/>
  <c r="P17" i="36"/>
  <c r="N17" i="36"/>
  <c r="H17" i="36"/>
  <c r="D17" i="36"/>
  <c r="L17" i="36" s="1"/>
  <c r="B17" i="36"/>
  <c r="T16" i="36"/>
  <c r="Z16" i="36" s="1"/>
  <c r="P16" i="36"/>
  <c r="X16" i="36" s="1"/>
  <c r="N16" i="36"/>
  <c r="L16" i="36"/>
  <c r="H16" i="36"/>
  <c r="D16" i="36"/>
  <c r="B16" i="36"/>
  <c r="T15" i="36"/>
  <c r="P15" i="36"/>
  <c r="H15" i="36"/>
  <c r="N15" i="36" s="1"/>
  <c r="D15" i="36"/>
  <c r="L15" i="36" s="1"/>
  <c r="B15" i="36"/>
  <c r="X14" i="36"/>
  <c r="T14" i="36"/>
  <c r="Z14" i="36" s="1"/>
  <c r="P14" i="36"/>
  <c r="L14" i="36"/>
  <c r="N14" i="36" s="1"/>
  <c r="H14" i="36"/>
  <c r="D14" i="36"/>
  <c r="B14" i="36"/>
  <c r="T13" i="36"/>
  <c r="P13" i="36"/>
  <c r="H13" i="36"/>
  <c r="H12" i="36" s="1"/>
  <c r="J64" i="36" s="1"/>
  <c r="D13" i="36"/>
  <c r="B13" i="36"/>
  <c r="P12" i="36"/>
  <c r="R110" i="36" s="1"/>
  <c r="D4" i="36"/>
  <c r="Z91" i="33"/>
  <c r="X91" i="33"/>
  <c r="L91" i="33"/>
  <c r="N91" i="33" s="1"/>
  <c r="T87" i="33"/>
  <c r="Z87" i="33" s="1"/>
  <c r="P87" i="33"/>
  <c r="H87" i="33"/>
  <c r="N87" i="33" s="1"/>
  <c r="D87" i="33"/>
  <c r="B87" i="33"/>
  <c r="T86" i="33"/>
  <c r="P86" i="33"/>
  <c r="X86" i="33" s="1"/>
  <c r="H86" i="33"/>
  <c r="D86" i="33"/>
  <c r="B86" i="33"/>
  <c r="X85" i="33"/>
  <c r="Z85" i="33" s="1"/>
  <c r="T85" i="33"/>
  <c r="P85" i="33"/>
  <c r="L85" i="33"/>
  <c r="N85" i="33" s="1"/>
  <c r="H85" i="33"/>
  <c r="D85" i="33"/>
  <c r="B85" i="33"/>
  <c r="X84" i="33"/>
  <c r="Z84" i="33" s="1"/>
  <c r="T84" i="33"/>
  <c r="P84" i="33"/>
  <c r="N84" i="33"/>
  <c r="L84" i="33"/>
  <c r="H84" i="33"/>
  <c r="D84" i="33"/>
  <c r="B84" i="33"/>
  <c r="Z83" i="33"/>
  <c r="T83" i="33"/>
  <c r="P83" i="33"/>
  <c r="X83" i="33" s="1"/>
  <c r="N83" i="33"/>
  <c r="H83" i="33"/>
  <c r="D83" i="33"/>
  <c r="L83" i="33" s="1"/>
  <c r="B83" i="33"/>
  <c r="P82" i="33"/>
  <c r="D82" i="33"/>
  <c r="Z80" i="33"/>
  <c r="X80" i="33"/>
  <c r="N80" i="33"/>
  <c r="L80" i="33"/>
  <c r="B80" i="33"/>
  <c r="Z79" i="33"/>
  <c r="X79" i="33"/>
  <c r="T79" i="33"/>
  <c r="P79" i="33"/>
  <c r="N79" i="33"/>
  <c r="L79" i="33"/>
  <c r="H79" i="33"/>
  <c r="D79" i="33"/>
  <c r="B79" i="33"/>
  <c r="X78" i="33"/>
  <c r="Z78" i="33" s="1"/>
  <c r="L78" i="33"/>
  <c r="N78" i="33" s="1"/>
  <c r="B78" i="33"/>
  <c r="T77" i="33"/>
  <c r="P77" i="33"/>
  <c r="H77" i="33"/>
  <c r="D77" i="33"/>
  <c r="L77" i="33" s="1"/>
  <c r="B77" i="33"/>
  <c r="Z76" i="33"/>
  <c r="X76" i="33"/>
  <c r="L76" i="33"/>
  <c r="N76" i="33" s="1"/>
  <c r="B76" i="33"/>
  <c r="Z75" i="33"/>
  <c r="X75" i="33"/>
  <c r="L75" i="33"/>
  <c r="N75" i="33" s="1"/>
  <c r="B75" i="33"/>
  <c r="X74" i="33"/>
  <c r="Z74" i="33" s="1"/>
  <c r="N74" i="33"/>
  <c r="L74" i="33"/>
  <c r="B74" i="33"/>
  <c r="Z73" i="33"/>
  <c r="X73" i="33"/>
  <c r="N73" i="33"/>
  <c r="L73" i="33"/>
  <c r="B73" i="33"/>
  <c r="Z72" i="33"/>
  <c r="X72" i="33"/>
  <c r="N72" i="33"/>
  <c r="L72" i="33"/>
  <c r="B72" i="33"/>
  <c r="Z71" i="33"/>
  <c r="T71" i="33"/>
  <c r="P71" i="33"/>
  <c r="X71" i="33" s="1"/>
  <c r="H71" i="33"/>
  <c r="D71" i="33"/>
  <c r="L71" i="33" s="1"/>
  <c r="N71" i="33" s="1"/>
  <c r="B71" i="33"/>
  <c r="X70" i="33"/>
  <c r="Z70" i="33" s="1"/>
  <c r="L70" i="33"/>
  <c r="N70" i="33" s="1"/>
  <c r="B70" i="33"/>
  <c r="X69" i="33"/>
  <c r="Z69" i="33" s="1"/>
  <c r="T69" i="33"/>
  <c r="P69" i="33"/>
  <c r="L69" i="33"/>
  <c r="N69" i="33" s="1"/>
  <c r="H69" i="33"/>
  <c r="D69" i="33"/>
  <c r="B69" i="33"/>
  <c r="X68" i="33"/>
  <c r="Z68" i="33" s="1"/>
  <c r="N68" i="33"/>
  <c r="L68" i="33"/>
  <c r="B68" i="33"/>
  <c r="T67" i="33"/>
  <c r="P67" i="33"/>
  <c r="X67" i="33" s="1"/>
  <c r="H67" i="33"/>
  <c r="D67" i="33"/>
  <c r="B67" i="33"/>
  <c r="X66" i="33"/>
  <c r="Z66" i="33" s="1"/>
  <c r="N66" i="33"/>
  <c r="L66" i="33"/>
  <c r="B66" i="33"/>
  <c r="T65" i="33"/>
  <c r="P65" i="33"/>
  <c r="X65" i="33" s="1"/>
  <c r="Z65" i="33" s="1"/>
  <c r="N65" i="33"/>
  <c r="H65" i="33"/>
  <c r="D65" i="33"/>
  <c r="L65" i="33" s="1"/>
  <c r="B65" i="33"/>
  <c r="X64" i="33"/>
  <c r="Z64" i="33" s="1"/>
  <c r="L64" i="33"/>
  <c r="N64" i="33" s="1"/>
  <c r="B64" i="33"/>
  <c r="X63" i="33"/>
  <c r="T63" i="33"/>
  <c r="Z63" i="33" s="1"/>
  <c r="P63" i="33"/>
  <c r="L63" i="33"/>
  <c r="N63" i="33" s="1"/>
  <c r="H63" i="33"/>
  <c r="D63" i="33"/>
  <c r="B63" i="33"/>
  <c r="X62" i="33"/>
  <c r="Z62" i="33" s="1"/>
  <c r="L62" i="33"/>
  <c r="N62" i="33" s="1"/>
  <c r="B62" i="33"/>
  <c r="X61" i="33"/>
  <c r="Z61" i="33" s="1"/>
  <c r="N61" i="33"/>
  <c r="L61" i="33"/>
  <c r="B61" i="33"/>
  <c r="Z60" i="33"/>
  <c r="X60" i="33"/>
  <c r="T60" i="33"/>
  <c r="P60" i="33"/>
  <c r="L60" i="33"/>
  <c r="N60" i="33" s="1"/>
  <c r="H60" i="33"/>
  <c r="D60" i="33"/>
  <c r="B60" i="33"/>
  <c r="Z59" i="33"/>
  <c r="X59" i="33"/>
  <c r="L59" i="33"/>
  <c r="N59" i="33" s="1"/>
  <c r="B59" i="33"/>
  <c r="X58" i="33"/>
  <c r="T58" i="33"/>
  <c r="P58" i="33"/>
  <c r="H58" i="33"/>
  <c r="D58" i="33"/>
  <c r="B58" i="33"/>
  <c r="Z57" i="33"/>
  <c r="X57" i="33"/>
  <c r="L57" i="33"/>
  <c r="N57" i="33" s="1"/>
  <c r="B57" i="33"/>
  <c r="T56" i="33"/>
  <c r="P56" i="33"/>
  <c r="H56" i="33"/>
  <c r="D56" i="33"/>
  <c r="L56" i="33" s="1"/>
  <c r="N56" i="33" s="1"/>
  <c r="B56" i="33"/>
  <c r="Z55" i="33"/>
  <c r="X55" i="33"/>
  <c r="N55" i="33"/>
  <c r="L55" i="33"/>
  <c r="B55" i="33"/>
  <c r="T54" i="33"/>
  <c r="P54" i="33"/>
  <c r="X54" i="33" s="1"/>
  <c r="N54" i="33"/>
  <c r="L54" i="33"/>
  <c r="H54" i="33"/>
  <c r="D54" i="33"/>
  <c r="B54" i="33"/>
  <c r="Z53" i="33"/>
  <c r="X53" i="33"/>
  <c r="N53" i="33"/>
  <c r="L53" i="33"/>
  <c r="B53" i="33"/>
  <c r="Z52" i="33"/>
  <c r="X52" i="33"/>
  <c r="L52" i="33"/>
  <c r="N52" i="33" s="1"/>
  <c r="B52" i="33"/>
  <c r="Z51" i="33"/>
  <c r="X51" i="33"/>
  <c r="L51" i="33"/>
  <c r="N51" i="33" s="1"/>
  <c r="B51" i="33"/>
  <c r="X50" i="33"/>
  <c r="Z50" i="33" s="1"/>
  <c r="L50" i="33"/>
  <c r="N50" i="33" s="1"/>
  <c r="B50" i="33"/>
  <c r="Z49" i="33"/>
  <c r="T49" i="33"/>
  <c r="P49" i="33"/>
  <c r="X49" i="33" s="1"/>
  <c r="H49" i="33"/>
  <c r="D49" i="33"/>
  <c r="L49" i="33" s="1"/>
  <c r="N49" i="33" s="1"/>
  <c r="B49" i="33"/>
  <c r="X48" i="33"/>
  <c r="Z48" i="33" s="1"/>
  <c r="L48" i="33"/>
  <c r="N48" i="33" s="1"/>
  <c r="B48" i="33"/>
  <c r="X47" i="33"/>
  <c r="Z47" i="33" s="1"/>
  <c r="N47" i="33"/>
  <c r="L47" i="33"/>
  <c r="B47" i="33"/>
  <c r="X46" i="33"/>
  <c r="Z46" i="33" s="1"/>
  <c r="L46" i="33"/>
  <c r="N46" i="33" s="1"/>
  <c r="B46" i="33"/>
  <c r="Z45" i="33"/>
  <c r="X45" i="33"/>
  <c r="L45" i="33"/>
  <c r="N45" i="33" s="1"/>
  <c r="B45" i="33"/>
  <c r="X44" i="33"/>
  <c r="Z44" i="33" s="1"/>
  <c r="N44" i="33"/>
  <c r="L44" i="33"/>
  <c r="B44" i="33"/>
  <c r="X43" i="33"/>
  <c r="Z43" i="33" s="1"/>
  <c r="N43" i="33"/>
  <c r="L43" i="33"/>
  <c r="B43" i="33"/>
  <c r="X42" i="33"/>
  <c r="Z42" i="33" s="1"/>
  <c r="N42" i="33"/>
  <c r="L42" i="33"/>
  <c r="B42" i="33"/>
  <c r="Z41" i="33"/>
  <c r="X41" i="33"/>
  <c r="L41" i="33"/>
  <c r="N41" i="33" s="1"/>
  <c r="B41" i="33"/>
  <c r="T40" i="33"/>
  <c r="P40" i="33"/>
  <c r="X40" i="33" s="1"/>
  <c r="H40" i="33"/>
  <c r="D40" i="33"/>
  <c r="L40" i="33" s="1"/>
  <c r="N40" i="33" s="1"/>
  <c r="B40" i="33"/>
  <c r="T39" i="33"/>
  <c r="P39" i="33"/>
  <c r="H39" i="33"/>
  <c r="N39" i="33" s="1"/>
  <c r="D39" i="33"/>
  <c r="L39" i="33" s="1"/>
  <c r="Z35" i="33"/>
  <c r="X35" i="33"/>
  <c r="N35" i="33"/>
  <c r="L35" i="33"/>
  <c r="B35" i="33"/>
  <c r="X34" i="33"/>
  <c r="Z34" i="33" s="1"/>
  <c r="L34" i="33"/>
  <c r="N34" i="33" s="1"/>
  <c r="B34" i="33"/>
  <c r="X33" i="33"/>
  <c r="Z33" i="33" s="1"/>
  <c r="N33" i="33"/>
  <c r="L33" i="33"/>
  <c r="B33" i="33"/>
  <c r="Z32" i="33"/>
  <c r="X32" i="33"/>
  <c r="N32" i="33"/>
  <c r="L32" i="33"/>
  <c r="B32" i="33"/>
  <c r="Z31" i="33"/>
  <c r="X31" i="33"/>
  <c r="N31" i="33"/>
  <c r="L31" i="33"/>
  <c r="B31" i="33"/>
  <c r="X30" i="33"/>
  <c r="Z30" i="33" s="1"/>
  <c r="T30" i="33"/>
  <c r="P30" i="33"/>
  <c r="N30" i="33"/>
  <c r="L30" i="33"/>
  <c r="H30" i="33"/>
  <c r="D30" i="33"/>
  <c r="X28" i="33"/>
  <c r="T28" i="33"/>
  <c r="Z28" i="33" s="1"/>
  <c r="P28" i="33"/>
  <c r="H28" i="33"/>
  <c r="N28" i="33" s="1"/>
  <c r="D28" i="33"/>
  <c r="L28" i="33" s="1"/>
  <c r="B28" i="33"/>
  <c r="T27" i="33"/>
  <c r="P27" i="33"/>
  <c r="X27" i="33" s="1"/>
  <c r="N27" i="33"/>
  <c r="L27" i="33"/>
  <c r="H27" i="33"/>
  <c r="D27" i="33"/>
  <c r="B27" i="33"/>
  <c r="Z26" i="33"/>
  <c r="X26" i="33"/>
  <c r="T26" i="33"/>
  <c r="P26" i="33"/>
  <c r="H26" i="33"/>
  <c r="N26" i="33" s="1"/>
  <c r="D26" i="33"/>
  <c r="L26" i="33" s="1"/>
  <c r="B26" i="33"/>
  <c r="T25" i="33"/>
  <c r="P25" i="33"/>
  <c r="X25" i="33" s="1"/>
  <c r="N25" i="33"/>
  <c r="L25" i="33"/>
  <c r="H25" i="33"/>
  <c r="D25" i="33"/>
  <c r="B25" i="33"/>
  <c r="T24" i="33"/>
  <c r="Z24" i="33" s="1"/>
  <c r="P24" i="33"/>
  <c r="H24" i="33"/>
  <c r="N24" i="33" s="1"/>
  <c r="D24" i="33"/>
  <c r="B24" i="33"/>
  <c r="T23" i="33"/>
  <c r="P23" i="33"/>
  <c r="X23" i="33" s="1"/>
  <c r="L23" i="33"/>
  <c r="N23" i="33" s="1"/>
  <c r="H23" i="33"/>
  <c r="D23" i="33"/>
  <c r="B23" i="33"/>
  <c r="T22" i="33"/>
  <c r="P22" i="33"/>
  <c r="H22" i="33"/>
  <c r="N22" i="33" s="1"/>
  <c r="D22" i="33"/>
  <c r="L22" i="33" s="1"/>
  <c r="B22" i="33"/>
  <c r="T21" i="33"/>
  <c r="P21" i="33"/>
  <c r="X21" i="33" s="1"/>
  <c r="N21" i="33"/>
  <c r="L21" i="33"/>
  <c r="H21" i="33"/>
  <c r="D21" i="33"/>
  <c r="B21" i="33"/>
  <c r="X20" i="33"/>
  <c r="T20" i="33"/>
  <c r="P20" i="33"/>
  <c r="H20" i="33"/>
  <c r="H12" i="33" s="1"/>
  <c r="D20" i="33"/>
  <c r="B20" i="33"/>
  <c r="T19" i="33"/>
  <c r="Z19" i="33" s="1"/>
  <c r="P19" i="33"/>
  <c r="X19" i="33" s="1"/>
  <c r="N19" i="33"/>
  <c r="L19" i="33"/>
  <c r="H19" i="33"/>
  <c r="D19" i="33"/>
  <c r="B19" i="33"/>
  <c r="T18" i="33"/>
  <c r="T12" i="33" s="1"/>
  <c r="P18" i="33"/>
  <c r="H18" i="33"/>
  <c r="N18" i="33" s="1"/>
  <c r="D18" i="33"/>
  <c r="L18" i="33" s="1"/>
  <c r="B18" i="33"/>
  <c r="T17" i="33"/>
  <c r="P17" i="33"/>
  <c r="L17" i="33"/>
  <c r="N17" i="33" s="1"/>
  <c r="H17" i="33"/>
  <c r="D17" i="33"/>
  <c r="B17" i="33"/>
  <c r="X16" i="33"/>
  <c r="T16" i="33"/>
  <c r="P16" i="33"/>
  <c r="H16" i="33"/>
  <c r="D16" i="33"/>
  <c r="L16" i="33" s="1"/>
  <c r="B16" i="33"/>
  <c r="T15" i="33"/>
  <c r="P15" i="33"/>
  <c r="X15" i="33" s="1"/>
  <c r="L15" i="33"/>
  <c r="N15" i="33" s="1"/>
  <c r="H15" i="33"/>
  <c r="D15" i="33"/>
  <c r="B15" i="33"/>
  <c r="Z14" i="33"/>
  <c r="X14" i="33"/>
  <c r="T14" i="33"/>
  <c r="P14" i="33"/>
  <c r="H14" i="33"/>
  <c r="N14" i="33" s="1"/>
  <c r="D14" i="33"/>
  <c r="L14" i="33" s="1"/>
  <c r="B14" i="33"/>
  <c r="T13" i="33"/>
  <c r="P13" i="33"/>
  <c r="L13" i="33"/>
  <c r="N13" i="33" s="1"/>
  <c r="H13" i="33"/>
  <c r="D13" i="33"/>
  <c r="B13" i="33"/>
  <c r="D12" i="33"/>
  <c r="D4" i="33"/>
  <c r="X143" i="30"/>
  <c r="Z143" i="30" s="1"/>
  <c r="N143" i="30"/>
  <c r="L143" i="30"/>
  <c r="T139" i="30"/>
  <c r="T138" i="30" s="1"/>
  <c r="P139" i="30"/>
  <c r="X139" i="30" s="1"/>
  <c r="Z139" i="30" s="1"/>
  <c r="H139" i="30"/>
  <c r="D139" i="30"/>
  <c r="L139" i="30" s="1"/>
  <c r="B139" i="30"/>
  <c r="D138" i="30"/>
  <c r="X136" i="30"/>
  <c r="Z136" i="30" s="1"/>
  <c r="N136" i="30"/>
  <c r="L136" i="30"/>
  <c r="B136" i="30"/>
  <c r="T135" i="30"/>
  <c r="P135" i="30"/>
  <c r="X135" i="30" s="1"/>
  <c r="Z135" i="30" s="1"/>
  <c r="L135" i="30"/>
  <c r="N135" i="30" s="1"/>
  <c r="H135" i="30"/>
  <c r="F135" i="30"/>
  <c r="D135" i="30"/>
  <c r="B135" i="30"/>
  <c r="X134" i="30"/>
  <c r="Z134" i="30" s="1"/>
  <c r="L134" i="30"/>
  <c r="N134" i="30" s="1"/>
  <c r="B134" i="30"/>
  <c r="Z133" i="30"/>
  <c r="X133" i="30"/>
  <c r="T133" i="30"/>
  <c r="P133" i="30"/>
  <c r="H133" i="30"/>
  <c r="L133" i="30" s="1"/>
  <c r="N133" i="30" s="1"/>
  <c r="D133" i="30"/>
  <c r="B133" i="30"/>
  <c r="Z132" i="30"/>
  <c r="X132" i="30"/>
  <c r="L132" i="30"/>
  <c r="N132" i="30" s="1"/>
  <c r="B132" i="30"/>
  <c r="T131" i="30"/>
  <c r="P131" i="30"/>
  <c r="X131" i="30" s="1"/>
  <c r="H131" i="30"/>
  <c r="D131" i="30"/>
  <c r="L131" i="30" s="1"/>
  <c r="N131" i="30" s="1"/>
  <c r="B131" i="30"/>
  <c r="X130" i="30"/>
  <c r="Z130" i="30" s="1"/>
  <c r="L130" i="30"/>
  <c r="N130" i="30" s="1"/>
  <c r="B130" i="30"/>
  <c r="X129" i="30"/>
  <c r="Z129" i="30" s="1"/>
  <c r="T129" i="30"/>
  <c r="P129" i="30"/>
  <c r="H129" i="30"/>
  <c r="D129" i="30"/>
  <c r="L129" i="30" s="1"/>
  <c r="N129" i="30" s="1"/>
  <c r="B129" i="30"/>
  <c r="Z128" i="30"/>
  <c r="X128" i="30"/>
  <c r="N128" i="30"/>
  <c r="L128" i="30"/>
  <c r="B128" i="30"/>
  <c r="Z127" i="30"/>
  <c r="X127" i="30"/>
  <c r="N127" i="30"/>
  <c r="L127" i="30"/>
  <c r="B127" i="30"/>
  <c r="X126" i="30"/>
  <c r="Z126" i="30" s="1"/>
  <c r="N126" i="30"/>
  <c r="L126" i="30"/>
  <c r="B126" i="30"/>
  <c r="Z125" i="30"/>
  <c r="X125" i="30"/>
  <c r="N125" i="30"/>
  <c r="L125" i="30"/>
  <c r="B125" i="30"/>
  <c r="Z124" i="30"/>
  <c r="X124" i="30"/>
  <c r="N124" i="30"/>
  <c r="L124" i="30"/>
  <c r="B124" i="30"/>
  <c r="T123" i="30"/>
  <c r="P123" i="30"/>
  <c r="N123" i="30"/>
  <c r="L123" i="30"/>
  <c r="H123" i="30"/>
  <c r="D123" i="30"/>
  <c r="B123" i="30"/>
  <c r="X122" i="30"/>
  <c r="Z122" i="30" s="1"/>
  <c r="L122" i="30"/>
  <c r="N122" i="30" s="1"/>
  <c r="B122" i="30"/>
  <c r="T121" i="30"/>
  <c r="P121" i="30"/>
  <c r="X121" i="30" s="1"/>
  <c r="Z121" i="30" s="1"/>
  <c r="J121" i="30"/>
  <c r="H121" i="30"/>
  <c r="D121" i="30"/>
  <c r="L121" i="30" s="1"/>
  <c r="B121" i="30"/>
  <c r="X120" i="30"/>
  <c r="Z120" i="30" s="1"/>
  <c r="N120" i="30"/>
  <c r="L120" i="30"/>
  <c r="B120" i="30"/>
  <c r="Z119" i="30"/>
  <c r="X119" i="30"/>
  <c r="N119" i="30"/>
  <c r="L119" i="30"/>
  <c r="B119" i="30"/>
  <c r="X118" i="30"/>
  <c r="Z118" i="30" s="1"/>
  <c r="L118" i="30"/>
  <c r="N118" i="30" s="1"/>
  <c r="B118" i="30"/>
  <c r="X117" i="30"/>
  <c r="Z117" i="30" s="1"/>
  <c r="T117" i="30"/>
  <c r="P117" i="30"/>
  <c r="H117" i="30"/>
  <c r="D117" i="30"/>
  <c r="L117" i="30" s="1"/>
  <c r="N117" i="30" s="1"/>
  <c r="B117" i="30"/>
  <c r="Z116" i="30"/>
  <c r="X116" i="30"/>
  <c r="N116" i="30"/>
  <c r="L116" i="30"/>
  <c r="B116" i="30"/>
  <c r="Z115" i="30"/>
  <c r="X115" i="30"/>
  <c r="N115" i="30"/>
  <c r="L115" i="30"/>
  <c r="B115" i="30"/>
  <c r="X114" i="30"/>
  <c r="T114" i="30"/>
  <c r="Z114" i="30" s="1"/>
  <c r="P114" i="30"/>
  <c r="H114" i="30"/>
  <c r="D114" i="30"/>
  <c r="B114" i="30"/>
  <c r="Z113" i="30"/>
  <c r="X113" i="30"/>
  <c r="L113" i="30"/>
  <c r="N113" i="30" s="1"/>
  <c r="B113" i="30"/>
  <c r="Z112" i="30"/>
  <c r="X112" i="30"/>
  <c r="L112" i="30"/>
  <c r="N112" i="30" s="1"/>
  <c r="B112" i="30"/>
  <c r="Z111" i="30"/>
  <c r="X111" i="30"/>
  <c r="N111" i="30"/>
  <c r="L111" i="30"/>
  <c r="B111" i="30"/>
  <c r="T110" i="30"/>
  <c r="P110" i="30"/>
  <c r="X110" i="30" s="1"/>
  <c r="Z110" i="30" s="1"/>
  <c r="H110" i="30"/>
  <c r="D110" i="30"/>
  <c r="L110" i="30" s="1"/>
  <c r="B110" i="30"/>
  <c r="X109" i="30"/>
  <c r="Z109" i="30" s="1"/>
  <c r="N109" i="30"/>
  <c r="L109" i="30"/>
  <c r="B109" i="30"/>
  <c r="X108" i="30"/>
  <c r="T108" i="30"/>
  <c r="Z108" i="30" s="1"/>
  <c r="P108" i="30"/>
  <c r="L108" i="30"/>
  <c r="H108" i="30"/>
  <c r="N108" i="30" s="1"/>
  <c r="D108" i="30"/>
  <c r="B108" i="30"/>
  <c r="Z107" i="30"/>
  <c r="X107" i="30"/>
  <c r="N107" i="30"/>
  <c r="L107" i="30"/>
  <c r="B107" i="30"/>
  <c r="X106" i="30"/>
  <c r="T106" i="30"/>
  <c r="Z106" i="30" s="1"/>
  <c r="P106" i="30"/>
  <c r="H106" i="30"/>
  <c r="N106" i="30" s="1"/>
  <c r="D106" i="30"/>
  <c r="B106" i="30"/>
  <c r="Z105" i="30"/>
  <c r="X105" i="30"/>
  <c r="L105" i="30"/>
  <c r="N105" i="30" s="1"/>
  <c r="B105" i="30"/>
  <c r="T104" i="30"/>
  <c r="Z104" i="30" s="1"/>
  <c r="P104" i="30"/>
  <c r="X104" i="30" s="1"/>
  <c r="H104" i="30"/>
  <c r="D104" i="30"/>
  <c r="L104" i="30" s="1"/>
  <c r="N104" i="30" s="1"/>
  <c r="B104" i="30"/>
  <c r="Z103" i="30"/>
  <c r="X103" i="30"/>
  <c r="N103" i="30"/>
  <c r="L103" i="30"/>
  <c r="B103" i="30"/>
  <c r="X102" i="30"/>
  <c r="T102" i="30"/>
  <c r="Z102" i="30" s="1"/>
  <c r="P102" i="30"/>
  <c r="L102" i="30"/>
  <c r="H102" i="30"/>
  <c r="N102" i="30" s="1"/>
  <c r="D102" i="30"/>
  <c r="B102" i="30"/>
  <c r="Z101" i="30"/>
  <c r="X101" i="30"/>
  <c r="N101" i="30"/>
  <c r="L101" i="30"/>
  <c r="B101" i="30"/>
  <c r="T100" i="30"/>
  <c r="P100" i="30"/>
  <c r="X100" i="30" s="1"/>
  <c r="L100" i="30"/>
  <c r="H100" i="30"/>
  <c r="N100" i="30" s="1"/>
  <c r="D100" i="30"/>
  <c r="B100" i="30"/>
  <c r="Z99" i="30"/>
  <c r="X99" i="30"/>
  <c r="N99" i="30"/>
  <c r="L99" i="30"/>
  <c r="B99" i="30"/>
  <c r="T98" i="30"/>
  <c r="P98" i="30"/>
  <c r="X98" i="30" s="1"/>
  <c r="H98" i="30"/>
  <c r="N98" i="30" s="1"/>
  <c r="D98" i="30"/>
  <c r="L98" i="30" s="1"/>
  <c r="B98" i="30"/>
  <c r="X97" i="30"/>
  <c r="Z97" i="30" s="1"/>
  <c r="N97" i="30"/>
  <c r="L97" i="30"/>
  <c r="B97" i="30"/>
  <c r="X96" i="30"/>
  <c r="T96" i="30"/>
  <c r="Z96" i="30" s="1"/>
  <c r="P96" i="30"/>
  <c r="L96" i="30"/>
  <c r="H96" i="30"/>
  <c r="N96" i="30" s="1"/>
  <c r="D96" i="30"/>
  <c r="B96" i="30"/>
  <c r="Z95" i="30"/>
  <c r="X95" i="30"/>
  <c r="N95" i="30"/>
  <c r="L95" i="30"/>
  <c r="B95" i="30"/>
  <c r="X94" i="30"/>
  <c r="T94" i="30"/>
  <c r="Z94" i="30" s="1"/>
  <c r="P94" i="30"/>
  <c r="H94" i="30"/>
  <c r="N94" i="30" s="1"/>
  <c r="D94" i="30"/>
  <c r="B94" i="30"/>
  <c r="Z93" i="30"/>
  <c r="X93" i="30"/>
  <c r="L93" i="30"/>
  <c r="N93" i="30" s="1"/>
  <c r="B93" i="30"/>
  <c r="X92" i="30"/>
  <c r="Z92" i="30" s="1"/>
  <c r="L92" i="30"/>
  <c r="N92" i="30" s="1"/>
  <c r="B92" i="30"/>
  <c r="T91" i="30"/>
  <c r="P91" i="30"/>
  <c r="X91" i="30" s="1"/>
  <c r="H91" i="30"/>
  <c r="D91" i="30"/>
  <c r="L91" i="30" s="1"/>
  <c r="N91" i="30" s="1"/>
  <c r="B91" i="30"/>
  <c r="X90" i="30"/>
  <c r="Z90" i="30" s="1"/>
  <c r="L90" i="30"/>
  <c r="N90" i="30" s="1"/>
  <c r="B90" i="30"/>
  <c r="X89" i="30"/>
  <c r="Z89" i="30" s="1"/>
  <c r="T89" i="30"/>
  <c r="R89" i="30"/>
  <c r="P89" i="30"/>
  <c r="H89" i="30"/>
  <c r="D89" i="30"/>
  <c r="L89" i="30" s="1"/>
  <c r="N89" i="30" s="1"/>
  <c r="B89" i="30"/>
  <c r="Z88" i="30"/>
  <c r="X88" i="30"/>
  <c r="L88" i="30"/>
  <c r="N88" i="30" s="1"/>
  <c r="B88" i="30"/>
  <c r="T87" i="30"/>
  <c r="P87" i="30"/>
  <c r="N87" i="30"/>
  <c r="L87" i="30"/>
  <c r="H87" i="30"/>
  <c r="D87" i="30"/>
  <c r="B87" i="30"/>
  <c r="Z86" i="30"/>
  <c r="X86" i="30"/>
  <c r="L86" i="30"/>
  <c r="N86" i="30" s="1"/>
  <c r="B86" i="30"/>
  <c r="T85" i="30"/>
  <c r="P85" i="30"/>
  <c r="X85" i="30" s="1"/>
  <c r="Z85" i="30" s="1"/>
  <c r="H85" i="30"/>
  <c r="N85" i="30" s="1"/>
  <c r="D85" i="30"/>
  <c r="L85" i="30" s="1"/>
  <c r="B85" i="30"/>
  <c r="Z84" i="30"/>
  <c r="X84" i="30"/>
  <c r="N84" i="30"/>
  <c r="L84" i="30"/>
  <c r="F84" i="30"/>
  <c r="B84" i="30"/>
  <c r="Z83" i="30"/>
  <c r="X83" i="30"/>
  <c r="N83" i="30"/>
  <c r="L83" i="30"/>
  <c r="B83" i="30"/>
  <c r="X82" i="30"/>
  <c r="Z82" i="30" s="1"/>
  <c r="L82" i="30"/>
  <c r="N82" i="30" s="1"/>
  <c r="B82" i="30"/>
  <c r="X81" i="30"/>
  <c r="Z81" i="30" s="1"/>
  <c r="N81" i="30"/>
  <c r="L81" i="30"/>
  <c r="B81" i="30"/>
  <c r="X80" i="30"/>
  <c r="Z80" i="30" s="1"/>
  <c r="N80" i="30"/>
  <c r="L80" i="30"/>
  <c r="F80" i="30"/>
  <c r="B80" i="30"/>
  <c r="T79" i="30"/>
  <c r="P79" i="30"/>
  <c r="X79" i="30" s="1"/>
  <c r="Z79" i="30" s="1"/>
  <c r="L79" i="30"/>
  <c r="N79" i="30" s="1"/>
  <c r="H79" i="30"/>
  <c r="D79" i="30"/>
  <c r="B79" i="30"/>
  <c r="X78" i="30"/>
  <c r="Z78" i="30" s="1"/>
  <c r="N78" i="30"/>
  <c r="L78" i="30"/>
  <c r="B78" i="30"/>
  <c r="Z77" i="30"/>
  <c r="X77" i="30"/>
  <c r="N77" i="30"/>
  <c r="L77" i="30"/>
  <c r="B77" i="30"/>
  <c r="Z76" i="30"/>
  <c r="X76" i="30"/>
  <c r="L76" i="30"/>
  <c r="N76" i="30" s="1"/>
  <c r="B76" i="30"/>
  <c r="Z75" i="30"/>
  <c r="X75" i="30"/>
  <c r="N75" i="30"/>
  <c r="L75" i="30"/>
  <c r="J75" i="30"/>
  <c r="B75" i="30"/>
  <c r="X74" i="30"/>
  <c r="Z74" i="30" s="1"/>
  <c r="N74" i="30"/>
  <c r="L74" i="30"/>
  <c r="B74" i="30"/>
  <c r="Z73" i="30"/>
  <c r="X73" i="30"/>
  <c r="N73" i="30"/>
  <c r="L73" i="30"/>
  <c r="B73" i="30"/>
  <c r="Z72" i="30"/>
  <c r="X72" i="30"/>
  <c r="N72" i="30"/>
  <c r="L72" i="30"/>
  <c r="B72" i="30"/>
  <c r="Z71" i="30"/>
  <c r="X71" i="30"/>
  <c r="N71" i="30"/>
  <c r="L71" i="30"/>
  <c r="J71" i="30"/>
  <c r="B71" i="30"/>
  <c r="X70" i="30"/>
  <c r="T70" i="30"/>
  <c r="Z70" i="30" s="1"/>
  <c r="P70" i="30"/>
  <c r="H70" i="30"/>
  <c r="D70" i="30"/>
  <c r="B70" i="30"/>
  <c r="T69" i="30"/>
  <c r="P69" i="30"/>
  <c r="X69" i="30" s="1"/>
  <c r="Z69" i="30" s="1"/>
  <c r="H69" i="30"/>
  <c r="D69" i="30"/>
  <c r="L69" i="30" s="1"/>
  <c r="Z65" i="30"/>
  <c r="X65" i="30"/>
  <c r="L65" i="30"/>
  <c r="N65" i="30" s="1"/>
  <c r="B65" i="30"/>
  <c r="Z64" i="30"/>
  <c r="X64" i="30"/>
  <c r="L64" i="30"/>
  <c r="N64" i="30" s="1"/>
  <c r="B64" i="30"/>
  <c r="Z63" i="30"/>
  <c r="X63" i="30"/>
  <c r="N63" i="30"/>
  <c r="L63" i="30"/>
  <c r="B63" i="30"/>
  <c r="Z62" i="30"/>
  <c r="X62" i="30"/>
  <c r="L62" i="30"/>
  <c r="N62" i="30" s="1"/>
  <c r="B62" i="30"/>
  <c r="Z61" i="30"/>
  <c r="X61" i="30"/>
  <c r="L61" i="30"/>
  <c r="N61" i="30" s="1"/>
  <c r="B61" i="30"/>
  <c r="Z60" i="30"/>
  <c r="X60" i="30"/>
  <c r="L60" i="30"/>
  <c r="N60" i="30" s="1"/>
  <c r="B60" i="30"/>
  <c r="Z59" i="30"/>
  <c r="X59" i="30"/>
  <c r="L59" i="30"/>
  <c r="N59" i="30" s="1"/>
  <c r="B59" i="30"/>
  <c r="Z58" i="30"/>
  <c r="X58" i="30"/>
  <c r="L58" i="30"/>
  <c r="N58" i="30" s="1"/>
  <c r="B58" i="30"/>
  <c r="Z57" i="30"/>
  <c r="X57" i="30"/>
  <c r="N57" i="30"/>
  <c r="L57" i="30"/>
  <c r="B57" i="30"/>
  <c r="Z56" i="30"/>
  <c r="X56" i="30"/>
  <c r="N56" i="30"/>
  <c r="L56" i="30"/>
  <c r="B56" i="30"/>
  <c r="Z55" i="30"/>
  <c r="X55" i="30"/>
  <c r="N55" i="30"/>
  <c r="L55" i="30"/>
  <c r="B55" i="30"/>
  <c r="X54" i="30"/>
  <c r="Z54" i="30" s="1"/>
  <c r="L54" i="30"/>
  <c r="N54" i="30" s="1"/>
  <c r="B54" i="30"/>
  <c r="Z53" i="30"/>
  <c r="X53" i="30"/>
  <c r="L53" i="30"/>
  <c r="N53" i="30" s="1"/>
  <c r="B53" i="30"/>
  <c r="Z52" i="30"/>
  <c r="X52" i="30"/>
  <c r="L52" i="30"/>
  <c r="N52" i="30" s="1"/>
  <c r="B52" i="30"/>
  <c r="Z51" i="30"/>
  <c r="X51" i="30"/>
  <c r="L51" i="30"/>
  <c r="N51" i="30" s="1"/>
  <c r="B51" i="30"/>
  <c r="X50" i="30"/>
  <c r="Z50" i="30" s="1"/>
  <c r="L50" i="30"/>
  <c r="N50" i="30" s="1"/>
  <c r="B50" i="30"/>
  <c r="Z49" i="30"/>
  <c r="X49" i="30"/>
  <c r="L49" i="30"/>
  <c r="N49" i="30" s="1"/>
  <c r="B49" i="30"/>
  <c r="Z48" i="30"/>
  <c r="X48" i="30"/>
  <c r="L48" i="30"/>
  <c r="N48" i="30" s="1"/>
  <c r="B48" i="30"/>
  <c r="Z47" i="30"/>
  <c r="X47" i="30"/>
  <c r="L47" i="30"/>
  <c r="N47" i="30" s="1"/>
  <c r="B47" i="30"/>
  <c r="X46" i="30"/>
  <c r="Z46" i="30" s="1"/>
  <c r="L46" i="30"/>
  <c r="N46" i="30" s="1"/>
  <c r="B46" i="30"/>
  <c r="Z45" i="30"/>
  <c r="X45" i="30"/>
  <c r="L45" i="30"/>
  <c r="N45" i="30" s="1"/>
  <c r="B45" i="30"/>
  <c r="Z44" i="30"/>
  <c r="X44" i="30"/>
  <c r="L44" i="30"/>
  <c r="N44" i="30" s="1"/>
  <c r="B44" i="30"/>
  <c r="T43" i="30"/>
  <c r="Z43" i="30" s="1"/>
  <c r="P43" i="30"/>
  <c r="X43" i="30" s="1"/>
  <c r="H43" i="30"/>
  <c r="D43" i="30"/>
  <c r="L43" i="30" s="1"/>
  <c r="N43" i="30" s="1"/>
  <c r="T41" i="30"/>
  <c r="Z41" i="30" s="1"/>
  <c r="P41" i="30"/>
  <c r="X41" i="30" s="1"/>
  <c r="H41" i="30"/>
  <c r="N41" i="30" s="1"/>
  <c r="D41" i="30"/>
  <c r="B41" i="30"/>
  <c r="T40" i="30"/>
  <c r="P40" i="30"/>
  <c r="L40" i="30"/>
  <c r="H40" i="30"/>
  <c r="N40" i="30" s="1"/>
  <c r="D40" i="30"/>
  <c r="B40" i="30"/>
  <c r="T39" i="30"/>
  <c r="P39" i="30"/>
  <c r="L39" i="30"/>
  <c r="N39" i="30" s="1"/>
  <c r="H39" i="30"/>
  <c r="D39" i="30"/>
  <c r="B39" i="30"/>
  <c r="T38" i="30"/>
  <c r="Z38" i="30" s="1"/>
  <c r="P38" i="30"/>
  <c r="X38" i="30" s="1"/>
  <c r="L38" i="30"/>
  <c r="H38" i="30"/>
  <c r="N38" i="30" s="1"/>
  <c r="D38" i="30"/>
  <c r="B38" i="30"/>
  <c r="T37" i="30"/>
  <c r="P37" i="30"/>
  <c r="H37" i="30"/>
  <c r="N37" i="30" s="1"/>
  <c r="D37" i="30"/>
  <c r="B37" i="30"/>
  <c r="T36" i="30"/>
  <c r="P36" i="30"/>
  <c r="L36" i="30"/>
  <c r="H36" i="30"/>
  <c r="N36" i="30" s="1"/>
  <c r="D36" i="30"/>
  <c r="B36" i="30"/>
  <c r="T35" i="30"/>
  <c r="P35" i="30"/>
  <c r="X35" i="30" s="1"/>
  <c r="L35" i="30"/>
  <c r="N35" i="30" s="1"/>
  <c r="H35" i="30"/>
  <c r="D35" i="30"/>
  <c r="B35" i="30"/>
  <c r="T34" i="30"/>
  <c r="Z34" i="30" s="1"/>
  <c r="P34" i="30"/>
  <c r="X34" i="30" s="1"/>
  <c r="L34" i="30"/>
  <c r="H34" i="30"/>
  <c r="N34" i="30" s="1"/>
  <c r="D34" i="30"/>
  <c r="B34" i="30"/>
  <c r="T33" i="30"/>
  <c r="P33" i="30"/>
  <c r="X33" i="30" s="1"/>
  <c r="H33" i="30"/>
  <c r="D33" i="30"/>
  <c r="B33" i="30"/>
  <c r="T32" i="30"/>
  <c r="P32" i="30"/>
  <c r="L32" i="30"/>
  <c r="H32" i="30"/>
  <c r="N32" i="30" s="1"/>
  <c r="D32" i="30"/>
  <c r="B32" i="30"/>
  <c r="T31" i="30"/>
  <c r="P31" i="30"/>
  <c r="X31" i="30" s="1"/>
  <c r="N31" i="30"/>
  <c r="L31" i="30"/>
  <c r="H31" i="30"/>
  <c r="D31" i="30"/>
  <c r="B31" i="30"/>
  <c r="T30" i="30"/>
  <c r="Z30" i="30" s="1"/>
  <c r="P30" i="30"/>
  <c r="X30" i="30" s="1"/>
  <c r="L30" i="30"/>
  <c r="H30" i="30"/>
  <c r="N30" i="30" s="1"/>
  <c r="D30" i="30"/>
  <c r="B30" i="30"/>
  <c r="T29" i="30"/>
  <c r="P29" i="30"/>
  <c r="X29" i="30" s="1"/>
  <c r="H29" i="30"/>
  <c r="D29" i="30"/>
  <c r="B29" i="30"/>
  <c r="T28" i="30"/>
  <c r="P28" i="30"/>
  <c r="L28" i="30"/>
  <c r="H28" i="30"/>
  <c r="N28" i="30" s="1"/>
  <c r="D28" i="30"/>
  <c r="B28" i="30"/>
  <c r="T27" i="30"/>
  <c r="P27" i="30"/>
  <c r="X27" i="30" s="1"/>
  <c r="L27" i="30"/>
  <c r="N27" i="30" s="1"/>
  <c r="H27" i="30"/>
  <c r="D27" i="30"/>
  <c r="B27" i="30"/>
  <c r="T26" i="30"/>
  <c r="P26" i="30"/>
  <c r="X26" i="30" s="1"/>
  <c r="L26" i="30"/>
  <c r="H26" i="30"/>
  <c r="N26" i="30" s="1"/>
  <c r="D26" i="30"/>
  <c r="B26" i="30"/>
  <c r="T25" i="30"/>
  <c r="P25" i="30"/>
  <c r="X25" i="30" s="1"/>
  <c r="H25" i="30"/>
  <c r="D25" i="30"/>
  <c r="B25" i="30"/>
  <c r="T24" i="30"/>
  <c r="P24" i="30"/>
  <c r="L24" i="30"/>
  <c r="H24" i="30"/>
  <c r="N24" i="30" s="1"/>
  <c r="D24" i="30"/>
  <c r="B24" i="30"/>
  <c r="T23" i="30"/>
  <c r="Z23" i="30" s="1"/>
  <c r="P23" i="30"/>
  <c r="N23" i="30"/>
  <c r="L23" i="30"/>
  <c r="H23" i="30"/>
  <c r="D23" i="30"/>
  <c r="B23" i="30"/>
  <c r="T22" i="30"/>
  <c r="P22" i="30"/>
  <c r="X22" i="30" s="1"/>
  <c r="L22" i="30"/>
  <c r="H22" i="30"/>
  <c r="N22" i="30" s="1"/>
  <c r="D22" i="30"/>
  <c r="B22" i="30"/>
  <c r="T21" i="30"/>
  <c r="P21" i="30"/>
  <c r="X21" i="30" s="1"/>
  <c r="H21" i="30"/>
  <c r="D21" i="30"/>
  <c r="B21" i="30"/>
  <c r="T20" i="30"/>
  <c r="P20" i="30"/>
  <c r="L20" i="30"/>
  <c r="H20" i="30"/>
  <c r="D20" i="30"/>
  <c r="B20" i="30"/>
  <c r="T19" i="30"/>
  <c r="P19" i="30"/>
  <c r="L19" i="30"/>
  <c r="N19" i="30" s="1"/>
  <c r="H19" i="30"/>
  <c r="D19" i="30"/>
  <c r="B19" i="30"/>
  <c r="T18" i="30"/>
  <c r="P18" i="30"/>
  <c r="X18" i="30" s="1"/>
  <c r="L18" i="30"/>
  <c r="H18" i="30"/>
  <c r="D18" i="30"/>
  <c r="B18" i="30"/>
  <c r="T17" i="30"/>
  <c r="P17" i="30"/>
  <c r="H17" i="30"/>
  <c r="D17" i="30"/>
  <c r="B17" i="30"/>
  <c r="T16" i="30"/>
  <c r="P16" i="30"/>
  <c r="L16" i="30"/>
  <c r="H16" i="30"/>
  <c r="N16" i="30" s="1"/>
  <c r="D16" i="30"/>
  <c r="B16" i="30"/>
  <c r="T15" i="30"/>
  <c r="P15" i="30"/>
  <c r="X15" i="30" s="1"/>
  <c r="L15" i="30"/>
  <c r="N15" i="30" s="1"/>
  <c r="H15" i="30"/>
  <c r="D15" i="30"/>
  <c r="B15" i="30"/>
  <c r="T14" i="30"/>
  <c r="Z14" i="30" s="1"/>
  <c r="P14" i="30"/>
  <c r="X14" i="30" s="1"/>
  <c r="L14" i="30"/>
  <c r="H14" i="30"/>
  <c r="N14" i="30" s="1"/>
  <c r="D14" i="30"/>
  <c r="D12" i="30" s="1"/>
  <c r="F136" i="30" s="1"/>
  <c r="B14" i="30"/>
  <c r="T13" i="30"/>
  <c r="P13" i="30"/>
  <c r="P12" i="30" s="1"/>
  <c r="R124" i="30" s="1"/>
  <c r="H13" i="30"/>
  <c r="H12" i="30" s="1"/>
  <c r="J139" i="30" s="1"/>
  <c r="D13" i="30"/>
  <c r="B13" i="30"/>
  <c r="L12" i="30"/>
  <c r="D4" i="30"/>
  <c r="Z117" i="27"/>
  <c r="X117" i="27"/>
  <c r="N117" i="27"/>
  <c r="L117" i="27"/>
  <c r="X113" i="27"/>
  <c r="Z113" i="27" s="1"/>
  <c r="T113" i="27"/>
  <c r="P113" i="27"/>
  <c r="L113" i="27"/>
  <c r="N113" i="27" s="1"/>
  <c r="H113" i="27"/>
  <c r="D113" i="27"/>
  <c r="B113" i="27"/>
  <c r="T112" i="27"/>
  <c r="T110" i="27" s="1"/>
  <c r="P112" i="27"/>
  <c r="H112" i="27"/>
  <c r="N112" i="27" s="1"/>
  <c r="D112" i="27"/>
  <c r="L112" i="27" s="1"/>
  <c r="B112" i="27"/>
  <c r="T111" i="27"/>
  <c r="P111" i="27"/>
  <c r="H111" i="27"/>
  <c r="D111" i="27"/>
  <c r="L111" i="27" s="1"/>
  <c r="B111" i="27"/>
  <c r="X108" i="27"/>
  <c r="Z108" i="27" s="1"/>
  <c r="N108" i="27"/>
  <c r="L108" i="27"/>
  <c r="B108" i="27"/>
  <c r="X107" i="27"/>
  <c r="Z107" i="27" s="1"/>
  <c r="T107" i="27"/>
  <c r="P107" i="27"/>
  <c r="L107" i="27"/>
  <c r="N107" i="27" s="1"/>
  <c r="H107" i="27"/>
  <c r="D107" i="27"/>
  <c r="B107" i="27"/>
  <c r="Z106" i="27"/>
  <c r="X106" i="27"/>
  <c r="N106" i="27"/>
  <c r="L106" i="27"/>
  <c r="B106" i="27"/>
  <c r="T105" i="27"/>
  <c r="P105" i="27"/>
  <c r="N105" i="27"/>
  <c r="H105" i="27"/>
  <c r="L105" i="27" s="1"/>
  <c r="D105" i="27"/>
  <c r="B105" i="27"/>
  <c r="Z104" i="27"/>
  <c r="X104" i="27"/>
  <c r="L104" i="27"/>
  <c r="N104" i="27" s="1"/>
  <c r="B104" i="27"/>
  <c r="Z103" i="27"/>
  <c r="X103" i="27"/>
  <c r="N103" i="27"/>
  <c r="L103" i="27"/>
  <c r="B103" i="27"/>
  <c r="X102" i="27"/>
  <c r="Z102" i="27" s="1"/>
  <c r="T102" i="27"/>
  <c r="P102" i="27"/>
  <c r="H102" i="27"/>
  <c r="N102" i="27" s="1"/>
  <c r="D102" i="27"/>
  <c r="L102" i="27" s="1"/>
  <c r="B102" i="27"/>
  <c r="X101" i="27"/>
  <c r="Z101" i="27" s="1"/>
  <c r="L101" i="27"/>
  <c r="N101" i="27" s="1"/>
  <c r="B101" i="27"/>
  <c r="X100" i="27"/>
  <c r="Z100" i="27" s="1"/>
  <c r="N100" i="27"/>
  <c r="L100" i="27"/>
  <c r="B100" i="27"/>
  <c r="X99" i="27"/>
  <c r="Z99" i="27" s="1"/>
  <c r="N99" i="27"/>
  <c r="L99" i="27"/>
  <c r="B99" i="27"/>
  <c r="T98" i="27"/>
  <c r="P98" i="27"/>
  <c r="X98" i="27" s="1"/>
  <c r="H98" i="27"/>
  <c r="D98" i="27"/>
  <c r="B98" i="27"/>
  <c r="X97" i="27"/>
  <c r="Z97" i="27" s="1"/>
  <c r="N97" i="27"/>
  <c r="L97" i="27"/>
  <c r="B97" i="27"/>
  <c r="Z96" i="27"/>
  <c r="T96" i="27"/>
  <c r="P96" i="27"/>
  <c r="X96" i="27" s="1"/>
  <c r="H96" i="27"/>
  <c r="D96" i="27"/>
  <c r="B96" i="27"/>
  <c r="Z95" i="27"/>
  <c r="X95" i="27"/>
  <c r="V95" i="27"/>
  <c r="L95" i="27"/>
  <c r="N95" i="27" s="1"/>
  <c r="B95" i="27"/>
  <c r="X94" i="27"/>
  <c r="Z94" i="27" s="1"/>
  <c r="L94" i="27"/>
  <c r="N94" i="27" s="1"/>
  <c r="B94" i="27"/>
  <c r="T93" i="27"/>
  <c r="Z93" i="27" s="1"/>
  <c r="P93" i="27"/>
  <c r="X93" i="27" s="1"/>
  <c r="H93" i="27"/>
  <c r="D93" i="27"/>
  <c r="L93" i="27" s="1"/>
  <c r="B93" i="27"/>
  <c r="X92" i="27"/>
  <c r="Z92" i="27" s="1"/>
  <c r="N92" i="27"/>
  <c r="L92" i="27"/>
  <c r="B92" i="27"/>
  <c r="T91" i="27"/>
  <c r="P91" i="27"/>
  <c r="X91" i="27" s="1"/>
  <c r="Z91" i="27" s="1"/>
  <c r="H91" i="27"/>
  <c r="D91" i="27"/>
  <c r="L91" i="27" s="1"/>
  <c r="N91" i="27" s="1"/>
  <c r="B91" i="27"/>
  <c r="X90" i="27"/>
  <c r="Z90" i="27" s="1"/>
  <c r="N90" i="27"/>
  <c r="L90" i="27"/>
  <c r="B90" i="27"/>
  <c r="Z89" i="27"/>
  <c r="T89" i="27"/>
  <c r="X89" i="27" s="1"/>
  <c r="P89" i="27"/>
  <c r="L89" i="27"/>
  <c r="H89" i="27"/>
  <c r="N89" i="27" s="1"/>
  <c r="D89" i="27"/>
  <c r="B89" i="27"/>
  <c r="X88" i="27"/>
  <c r="Z88" i="27" s="1"/>
  <c r="N88" i="27"/>
  <c r="L88" i="27"/>
  <c r="B88" i="27"/>
  <c r="Z87" i="27"/>
  <c r="X87" i="27"/>
  <c r="L87" i="27"/>
  <c r="N87" i="27" s="1"/>
  <c r="B87" i="27"/>
  <c r="X86" i="27"/>
  <c r="T86" i="27"/>
  <c r="Z86" i="27" s="1"/>
  <c r="P86" i="27"/>
  <c r="L86" i="27"/>
  <c r="H86" i="27"/>
  <c r="N86" i="27" s="1"/>
  <c r="D86" i="27"/>
  <c r="B86" i="27"/>
  <c r="Z85" i="27"/>
  <c r="X85" i="27"/>
  <c r="L85" i="27"/>
  <c r="N85" i="27" s="1"/>
  <c r="B85" i="27"/>
  <c r="T84" i="27"/>
  <c r="P84" i="27"/>
  <c r="X84" i="27" s="1"/>
  <c r="H84" i="27"/>
  <c r="D84" i="27"/>
  <c r="L84" i="27" s="1"/>
  <c r="B84" i="27"/>
  <c r="Z83" i="27"/>
  <c r="X83" i="27"/>
  <c r="N83" i="27"/>
  <c r="L83" i="27"/>
  <c r="B83" i="27"/>
  <c r="Z82" i="27"/>
  <c r="X82" i="27"/>
  <c r="T82" i="27"/>
  <c r="P82" i="27"/>
  <c r="N82" i="27"/>
  <c r="L82" i="27"/>
  <c r="H82" i="27"/>
  <c r="D82" i="27"/>
  <c r="B82" i="27"/>
  <c r="Z81" i="27"/>
  <c r="X81" i="27"/>
  <c r="L81" i="27"/>
  <c r="N81" i="27" s="1"/>
  <c r="B81" i="27"/>
  <c r="X80" i="27"/>
  <c r="Z80" i="27" s="1"/>
  <c r="L80" i="27"/>
  <c r="N80" i="27" s="1"/>
  <c r="B80" i="27"/>
  <c r="X79" i="27"/>
  <c r="Z79" i="27" s="1"/>
  <c r="T79" i="27"/>
  <c r="P79" i="27"/>
  <c r="L79" i="27"/>
  <c r="N79" i="27" s="1"/>
  <c r="H79" i="27"/>
  <c r="D79" i="27"/>
  <c r="B79" i="27"/>
  <c r="Z78" i="27"/>
  <c r="X78" i="27"/>
  <c r="N78" i="27"/>
  <c r="L78" i="27"/>
  <c r="B78" i="27"/>
  <c r="T77" i="27"/>
  <c r="P77" i="27"/>
  <c r="X77" i="27" s="1"/>
  <c r="Z77" i="27" s="1"/>
  <c r="L77" i="27"/>
  <c r="H77" i="27"/>
  <c r="N77" i="27" s="1"/>
  <c r="D77" i="27"/>
  <c r="B77" i="27"/>
  <c r="X76" i="27"/>
  <c r="Z76" i="27" s="1"/>
  <c r="N76" i="27"/>
  <c r="L76" i="27"/>
  <c r="B76" i="27"/>
  <c r="Z75" i="27"/>
  <c r="X75" i="27"/>
  <c r="L75" i="27"/>
  <c r="N75" i="27" s="1"/>
  <c r="B75" i="27"/>
  <c r="Z74" i="27"/>
  <c r="X74" i="27"/>
  <c r="L74" i="27"/>
  <c r="N74" i="27" s="1"/>
  <c r="B74" i="27"/>
  <c r="X73" i="27"/>
  <c r="Z73" i="27" s="1"/>
  <c r="L73" i="27"/>
  <c r="N73" i="27" s="1"/>
  <c r="B73" i="27"/>
  <c r="X72" i="27"/>
  <c r="Z72" i="27" s="1"/>
  <c r="N72" i="27"/>
  <c r="L72" i="27"/>
  <c r="B72" i="27"/>
  <c r="V71" i="27"/>
  <c r="T71" i="27"/>
  <c r="P71" i="27"/>
  <c r="X71" i="27" s="1"/>
  <c r="Z71" i="27" s="1"/>
  <c r="H71" i="27"/>
  <c r="D71" i="27"/>
  <c r="L71" i="27" s="1"/>
  <c r="B71" i="27"/>
  <c r="X70" i="27"/>
  <c r="Z70" i="27" s="1"/>
  <c r="N70" i="27"/>
  <c r="L70" i="27"/>
  <c r="B70" i="27"/>
  <c r="X69" i="27"/>
  <c r="Z69" i="27" s="1"/>
  <c r="N69" i="27"/>
  <c r="L69" i="27"/>
  <c r="B69" i="27"/>
  <c r="Z68" i="27"/>
  <c r="X68" i="27"/>
  <c r="N68" i="27"/>
  <c r="L68" i="27"/>
  <c r="B68" i="27"/>
  <c r="X67" i="27"/>
  <c r="Z67" i="27" s="1"/>
  <c r="L67" i="27"/>
  <c r="N67" i="27" s="1"/>
  <c r="B67" i="27"/>
  <c r="X66" i="27"/>
  <c r="Z66" i="27" s="1"/>
  <c r="N66" i="27"/>
  <c r="L66" i="27"/>
  <c r="B66" i="27"/>
  <c r="X65" i="27"/>
  <c r="Z65" i="27" s="1"/>
  <c r="N65" i="27"/>
  <c r="L65" i="27"/>
  <c r="B65" i="27"/>
  <c r="Z64" i="27"/>
  <c r="X64" i="27"/>
  <c r="N64" i="27"/>
  <c r="L64" i="27"/>
  <c r="B64" i="27"/>
  <c r="X63" i="27"/>
  <c r="Z63" i="27" s="1"/>
  <c r="N63" i="27"/>
  <c r="L63" i="27"/>
  <c r="B63" i="27"/>
  <c r="X62" i="27"/>
  <c r="Z62" i="27" s="1"/>
  <c r="N62" i="27"/>
  <c r="L62" i="27"/>
  <c r="B62" i="27"/>
  <c r="X61" i="27"/>
  <c r="Z61" i="27" s="1"/>
  <c r="T61" i="27"/>
  <c r="P61" i="27"/>
  <c r="L61" i="27"/>
  <c r="N61" i="27" s="1"/>
  <c r="H61" i="27"/>
  <c r="D61" i="27"/>
  <c r="B61" i="27"/>
  <c r="T60" i="27"/>
  <c r="P60" i="27"/>
  <c r="H60" i="27"/>
  <c r="D60" i="27"/>
  <c r="L60" i="27" s="1"/>
  <c r="N60" i="27" s="1"/>
  <c r="Z56" i="27"/>
  <c r="X56" i="27"/>
  <c r="L56" i="27"/>
  <c r="N56" i="27" s="1"/>
  <c r="B56" i="27"/>
  <c r="X55" i="27"/>
  <c r="Z55" i="27" s="1"/>
  <c r="N55" i="27"/>
  <c r="L55" i="27"/>
  <c r="B55" i="27"/>
  <c r="Z54" i="27"/>
  <c r="X54" i="27"/>
  <c r="N54" i="27"/>
  <c r="L54" i="27"/>
  <c r="B54" i="27"/>
  <c r="Z53" i="27"/>
  <c r="X53" i="27"/>
  <c r="L53" i="27"/>
  <c r="N53" i="27" s="1"/>
  <c r="B53" i="27"/>
  <c r="Z52" i="27"/>
  <c r="X52" i="27"/>
  <c r="L52" i="27"/>
  <c r="N52" i="27" s="1"/>
  <c r="B52" i="27"/>
  <c r="X51" i="27"/>
  <c r="Z51" i="27" s="1"/>
  <c r="N51" i="27"/>
  <c r="L51" i="27"/>
  <c r="B51" i="27"/>
  <c r="Z50" i="27"/>
  <c r="X50" i="27"/>
  <c r="N50" i="27"/>
  <c r="L50" i="27"/>
  <c r="B50" i="27"/>
  <c r="Z49" i="27"/>
  <c r="X49" i="27"/>
  <c r="L49" i="27"/>
  <c r="N49" i="27" s="1"/>
  <c r="B49" i="27"/>
  <c r="Z48" i="27"/>
  <c r="X48" i="27"/>
  <c r="L48" i="27"/>
  <c r="N48" i="27" s="1"/>
  <c r="B48" i="27"/>
  <c r="X47" i="27"/>
  <c r="Z47" i="27" s="1"/>
  <c r="N47" i="27"/>
  <c r="L47" i="27"/>
  <c r="B47" i="27"/>
  <c r="Z46" i="27"/>
  <c r="X46" i="27"/>
  <c r="N46" i="27"/>
  <c r="L46" i="27"/>
  <c r="B46" i="27"/>
  <c r="Z45" i="27"/>
  <c r="X45" i="27"/>
  <c r="L45" i="27"/>
  <c r="N45" i="27" s="1"/>
  <c r="B45" i="27"/>
  <c r="Z44" i="27"/>
  <c r="X44" i="27"/>
  <c r="L44" i="27"/>
  <c r="N44" i="27" s="1"/>
  <c r="B44" i="27"/>
  <c r="X43" i="27"/>
  <c r="Z43" i="27" s="1"/>
  <c r="N43" i="27"/>
  <c r="L43" i="27"/>
  <c r="B43" i="27"/>
  <c r="Z42" i="27"/>
  <c r="X42" i="27"/>
  <c r="N42" i="27"/>
  <c r="L42" i="27"/>
  <c r="B42" i="27"/>
  <c r="T41" i="27"/>
  <c r="P41" i="27"/>
  <c r="X41" i="27" s="1"/>
  <c r="Z41" i="27" s="1"/>
  <c r="L41" i="27"/>
  <c r="H41" i="27"/>
  <c r="N41" i="27" s="1"/>
  <c r="D41" i="27"/>
  <c r="Z39" i="27"/>
  <c r="T39" i="27"/>
  <c r="P39" i="27"/>
  <c r="X39" i="27" s="1"/>
  <c r="H39" i="27"/>
  <c r="D39" i="27"/>
  <c r="L39" i="27" s="1"/>
  <c r="B39" i="27"/>
  <c r="T38" i="27"/>
  <c r="P38" i="27"/>
  <c r="X38" i="27" s="1"/>
  <c r="Z38" i="27" s="1"/>
  <c r="H38" i="27"/>
  <c r="D38" i="27"/>
  <c r="B38" i="27"/>
  <c r="X37" i="27"/>
  <c r="T37" i="27"/>
  <c r="Z37" i="27" s="1"/>
  <c r="P37" i="27"/>
  <c r="H37" i="27"/>
  <c r="D37" i="27"/>
  <c r="B37" i="27"/>
  <c r="T36" i="27"/>
  <c r="P36" i="27"/>
  <c r="X36" i="27" s="1"/>
  <c r="Z36" i="27" s="1"/>
  <c r="N36" i="27"/>
  <c r="L36" i="27"/>
  <c r="H36" i="27"/>
  <c r="D36" i="27"/>
  <c r="B36" i="27"/>
  <c r="Z35" i="27"/>
  <c r="T35" i="27"/>
  <c r="P35" i="27"/>
  <c r="X35" i="27" s="1"/>
  <c r="H35" i="27"/>
  <c r="D35" i="27"/>
  <c r="L35" i="27" s="1"/>
  <c r="B35" i="27"/>
  <c r="T34" i="27"/>
  <c r="P34" i="27"/>
  <c r="X34" i="27" s="1"/>
  <c r="Z34" i="27" s="1"/>
  <c r="H34" i="27"/>
  <c r="D34" i="27"/>
  <c r="B34" i="27"/>
  <c r="X33" i="27"/>
  <c r="T33" i="27"/>
  <c r="Z33" i="27" s="1"/>
  <c r="P33" i="27"/>
  <c r="H33" i="27"/>
  <c r="N33" i="27" s="1"/>
  <c r="D33" i="27"/>
  <c r="B33" i="27"/>
  <c r="T32" i="27"/>
  <c r="P32" i="27"/>
  <c r="X32" i="27" s="1"/>
  <c r="Z32" i="27" s="1"/>
  <c r="N32" i="27"/>
  <c r="L32" i="27"/>
  <c r="H32" i="27"/>
  <c r="D32" i="27"/>
  <c r="B32" i="27"/>
  <c r="Z31" i="27"/>
  <c r="T31" i="27"/>
  <c r="P31" i="27"/>
  <c r="X31" i="27" s="1"/>
  <c r="H31" i="27"/>
  <c r="D31" i="27"/>
  <c r="L31" i="27" s="1"/>
  <c r="B31" i="27"/>
  <c r="T30" i="27"/>
  <c r="P30" i="27"/>
  <c r="X30" i="27" s="1"/>
  <c r="Z30" i="27" s="1"/>
  <c r="H30" i="27"/>
  <c r="D30" i="27"/>
  <c r="B30" i="27"/>
  <c r="X29" i="27"/>
  <c r="T29" i="27"/>
  <c r="Z29" i="27" s="1"/>
  <c r="P29" i="27"/>
  <c r="H29" i="27"/>
  <c r="D29" i="27"/>
  <c r="B29" i="27"/>
  <c r="T28" i="27"/>
  <c r="P28" i="27"/>
  <c r="X28" i="27" s="1"/>
  <c r="Z28" i="27" s="1"/>
  <c r="N28" i="27"/>
  <c r="L28" i="27"/>
  <c r="H28" i="27"/>
  <c r="D28" i="27"/>
  <c r="B28" i="27"/>
  <c r="Z27" i="27"/>
  <c r="T27" i="27"/>
  <c r="P27" i="27"/>
  <c r="X27" i="27" s="1"/>
  <c r="H27" i="27"/>
  <c r="N27" i="27" s="1"/>
  <c r="D27" i="27"/>
  <c r="L27" i="27" s="1"/>
  <c r="B27" i="27"/>
  <c r="T26" i="27"/>
  <c r="P26" i="27"/>
  <c r="X26" i="27" s="1"/>
  <c r="Z26" i="27" s="1"/>
  <c r="H26" i="27"/>
  <c r="D26" i="27"/>
  <c r="B26" i="27"/>
  <c r="X25" i="27"/>
  <c r="T25" i="27"/>
  <c r="Z25" i="27" s="1"/>
  <c r="P25" i="27"/>
  <c r="H25" i="27"/>
  <c r="D25" i="27"/>
  <c r="B25" i="27"/>
  <c r="T24" i="27"/>
  <c r="P24" i="27"/>
  <c r="X24" i="27" s="1"/>
  <c r="Z24" i="27" s="1"/>
  <c r="N24" i="27"/>
  <c r="L24" i="27"/>
  <c r="H24" i="27"/>
  <c r="D24" i="27"/>
  <c r="B24" i="27"/>
  <c r="Z23" i="27"/>
  <c r="T23" i="27"/>
  <c r="P23" i="27"/>
  <c r="X23" i="27" s="1"/>
  <c r="H23" i="27"/>
  <c r="D23" i="27"/>
  <c r="L23" i="27" s="1"/>
  <c r="B23" i="27"/>
  <c r="T22" i="27"/>
  <c r="P22" i="27"/>
  <c r="X22" i="27" s="1"/>
  <c r="Z22" i="27" s="1"/>
  <c r="H22" i="27"/>
  <c r="D22" i="27"/>
  <c r="B22" i="27"/>
  <c r="X21" i="27"/>
  <c r="T21" i="27"/>
  <c r="Z21" i="27" s="1"/>
  <c r="P21" i="27"/>
  <c r="H21" i="27"/>
  <c r="D21" i="27"/>
  <c r="B21" i="27"/>
  <c r="T20" i="27"/>
  <c r="P20" i="27"/>
  <c r="X20" i="27" s="1"/>
  <c r="Z20" i="27" s="1"/>
  <c r="N20" i="27"/>
  <c r="L20" i="27"/>
  <c r="H20" i="27"/>
  <c r="D20" i="27"/>
  <c r="B20" i="27"/>
  <c r="Z19" i="27"/>
  <c r="T19" i="27"/>
  <c r="P19" i="27"/>
  <c r="X19" i="27" s="1"/>
  <c r="H19" i="27"/>
  <c r="D19" i="27"/>
  <c r="L19" i="27" s="1"/>
  <c r="B19" i="27"/>
  <c r="T18" i="27"/>
  <c r="P18" i="27"/>
  <c r="X18" i="27" s="1"/>
  <c r="Z18" i="27" s="1"/>
  <c r="H18" i="27"/>
  <c r="D18" i="27"/>
  <c r="B18" i="27"/>
  <c r="X17" i="27"/>
  <c r="T17" i="27"/>
  <c r="Z17" i="27" s="1"/>
  <c r="P17" i="27"/>
  <c r="H17" i="27"/>
  <c r="D17" i="27"/>
  <c r="B17" i="27"/>
  <c r="T16" i="27"/>
  <c r="P16" i="27"/>
  <c r="X16" i="27" s="1"/>
  <c r="Z16" i="27" s="1"/>
  <c r="N16" i="27"/>
  <c r="L16" i="27"/>
  <c r="H16" i="27"/>
  <c r="D16" i="27"/>
  <c r="B16" i="27"/>
  <c r="Z15" i="27"/>
  <c r="T15" i="27"/>
  <c r="T12" i="27" s="1"/>
  <c r="T58" i="27" s="1"/>
  <c r="P15" i="27"/>
  <c r="X15" i="27" s="1"/>
  <c r="H15" i="27"/>
  <c r="D15" i="27"/>
  <c r="L15" i="27" s="1"/>
  <c r="B15" i="27"/>
  <c r="T14" i="27"/>
  <c r="P14" i="27"/>
  <c r="X14" i="27" s="1"/>
  <c r="Z14" i="27" s="1"/>
  <c r="H14" i="27"/>
  <c r="D14" i="27"/>
  <c r="B14" i="27"/>
  <c r="X13" i="27"/>
  <c r="T13" i="27"/>
  <c r="Z13" i="27" s="1"/>
  <c r="P13" i="27"/>
  <c r="H13" i="27"/>
  <c r="D13" i="27"/>
  <c r="B13" i="27"/>
  <c r="D4" i="27"/>
  <c r="X120" i="24"/>
  <c r="Z120" i="24" s="1"/>
  <c r="L120" i="24"/>
  <c r="N120" i="24" s="1"/>
  <c r="T116" i="24"/>
  <c r="Z116" i="24" s="1"/>
  <c r="P116" i="24"/>
  <c r="X116" i="24" s="1"/>
  <c r="H116" i="24"/>
  <c r="N116" i="24" s="1"/>
  <c r="D116" i="24"/>
  <c r="X114" i="24"/>
  <c r="Z114" i="24" s="1"/>
  <c r="L114" i="24"/>
  <c r="N114" i="24" s="1"/>
  <c r="B114" i="24"/>
  <c r="T113" i="24"/>
  <c r="P113" i="24"/>
  <c r="X113" i="24" s="1"/>
  <c r="Z113" i="24" s="1"/>
  <c r="L113" i="24"/>
  <c r="N113" i="24" s="1"/>
  <c r="H113" i="24"/>
  <c r="D113" i="24"/>
  <c r="B113" i="24"/>
  <c r="Z112" i="24"/>
  <c r="X112" i="24"/>
  <c r="N112" i="24"/>
  <c r="L112" i="24"/>
  <c r="B112" i="24"/>
  <c r="Z111" i="24"/>
  <c r="X111" i="24"/>
  <c r="L111" i="24"/>
  <c r="N111" i="24" s="1"/>
  <c r="B111" i="24"/>
  <c r="X110" i="24"/>
  <c r="Z110" i="24" s="1"/>
  <c r="T110" i="24"/>
  <c r="P110" i="24"/>
  <c r="H110" i="24"/>
  <c r="D110" i="24"/>
  <c r="L110" i="24" s="1"/>
  <c r="N110" i="24" s="1"/>
  <c r="B110" i="24"/>
  <c r="Z109" i="24"/>
  <c r="X109" i="24"/>
  <c r="N109" i="24"/>
  <c r="L109" i="24"/>
  <c r="B109" i="24"/>
  <c r="T108" i="24"/>
  <c r="P108" i="24"/>
  <c r="L108" i="24"/>
  <c r="N108" i="24" s="1"/>
  <c r="H108" i="24"/>
  <c r="D108" i="24"/>
  <c r="B108" i="24"/>
  <c r="X107" i="24"/>
  <c r="Z107" i="24" s="1"/>
  <c r="N107" i="24"/>
  <c r="L107" i="24"/>
  <c r="B107" i="24"/>
  <c r="X106" i="24"/>
  <c r="Z106" i="24" s="1"/>
  <c r="L106" i="24"/>
  <c r="N106" i="24" s="1"/>
  <c r="B106" i="24"/>
  <c r="T105" i="24"/>
  <c r="P105" i="24"/>
  <c r="X105" i="24" s="1"/>
  <c r="Z105" i="24" s="1"/>
  <c r="L105" i="24"/>
  <c r="N105" i="24" s="1"/>
  <c r="H105" i="24"/>
  <c r="D105" i="24"/>
  <c r="B105" i="24"/>
  <c r="Z104" i="24"/>
  <c r="X104" i="24"/>
  <c r="N104" i="24"/>
  <c r="L104" i="24"/>
  <c r="B104" i="24"/>
  <c r="Z103" i="24"/>
  <c r="X103" i="24"/>
  <c r="N103" i="24"/>
  <c r="L103" i="24"/>
  <c r="B103" i="24"/>
  <c r="X102" i="24"/>
  <c r="Z102" i="24" s="1"/>
  <c r="T102" i="24"/>
  <c r="P102" i="24"/>
  <c r="H102" i="24"/>
  <c r="D102" i="24"/>
  <c r="L102" i="24" s="1"/>
  <c r="N102" i="24" s="1"/>
  <c r="B102" i="24"/>
  <c r="Z101" i="24"/>
  <c r="X101" i="24"/>
  <c r="N101" i="24"/>
  <c r="L101" i="24"/>
  <c r="B101" i="24"/>
  <c r="T100" i="24"/>
  <c r="P100" i="24"/>
  <c r="N100" i="24"/>
  <c r="L100" i="24"/>
  <c r="H100" i="24"/>
  <c r="D100" i="24"/>
  <c r="B100" i="24"/>
  <c r="X99" i="24"/>
  <c r="Z99" i="24" s="1"/>
  <c r="N99" i="24"/>
  <c r="L99" i="24"/>
  <c r="B99" i="24"/>
  <c r="T98" i="24"/>
  <c r="P98" i="24"/>
  <c r="X98" i="24" s="1"/>
  <c r="H98" i="24"/>
  <c r="D98" i="24"/>
  <c r="B98" i="24"/>
  <c r="X97" i="24"/>
  <c r="Z97" i="24" s="1"/>
  <c r="N97" i="24"/>
  <c r="L97" i="24"/>
  <c r="B97" i="24"/>
  <c r="T96" i="24"/>
  <c r="P96" i="24"/>
  <c r="X96" i="24" s="1"/>
  <c r="Z96" i="24" s="1"/>
  <c r="N96" i="24"/>
  <c r="L96" i="24"/>
  <c r="H96" i="24"/>
  <c r="D96" i="24"/>
  <c r="B96" i="24"/>
  <c r="X95" i="24"/>
  <c r="Z95" i="24" s="1"/>
  <c r="L95" i="24"/>
  <c r="N95" i="24" s="1"/>
  <c r="B95" i="24"/>
  <c r="X94" i="24"/>
  <c r="Z94" i="24" s="1"/>
  <c r="N94" i="24"/>
  <c r="L94" i="24"/>
  <c r="B94" i="24"/>
  <c r="Z93" i="24"/>
  <c r="T93" i="24"/>
  <c r="P93" i="24"/>
  <c r="X93" i="24" s="1"/>
  <c r="H93" i="24"/>
  <c r="D93" i="24"/>
  <c r="L93" i="24" s="1"/>
  <c r="B93" i="24"/>
  <c r="X92" i="24"/>
  <c r="Z92" i="24" s="1"/>
  <c r="N92" i="24"/>
  <c r="L92" i="24"/>
  <c r="B92" i="24"/>
  <c r="X91" i="24"/>
  <c r="Z91" i="24" s="1"/>
  <c r="T91" i="24"/>
  <c r="P91" i="24"/>
  <c r="H91" i="24"/>
  <c r="D91" i="24"/>
  <c r="L91" i="24" s="1"/>
  <c r="N91" i="24" s="1"/>
  <c r="B91" i="24"/>
  <c r="Z90" i="24"/>
  <c r="X90" i="24"/>
  <c r="L90" i="24"/>
  <c r="N90" i="24" s="1"/>
  <c r="B90" i="24"/>
  <c r="X89" i="24"/>
  <c r="T89" i="24"/>
  <c r="P89" i="24"/>
  <c r="H89" i="24"/>
  <c r="D89" i="24"/>
  <c r="L89" i="24" s="1"/>
  <c r="N89" i="24" s="1"/>
  <c r="B89" i="24"/>
  <c r="Z88" i="24"/>
  <c r="X88" i="24"/>
  <c r="L88" i="24"/>
  <c r="N88" i="24" s="1"/>
  <c r="B88" i="24"/>
  <c r="X87" i="24"/>
  <c r="Z87" i="24" s="1"/>
  <c r="L87" i="24"/>
  <c r="N87" i="24" s="1"/>
  <c r="B87" i="24"/>
  <c r="X86" i="24"/>
  <c r="Z86" i="24" s="1"/>
  <c r="N86" i="24"/>
  <c r="L86" i="24"/>
  <c r="B86" i="24"/>
  <c r="T85" i="24"/>
  <c r="P85" i="24"/>
  <c r="X85" i="24" s="1"/>
  <c r="Z85" i="24" s="1"/>
  <c r="H85" i="24"/>
  <c r="D85" i="24"/>
  <c r="L85" i="24" s="1"/>
  <c r="B85" i="24"/>
  <c r="X84" i="24"/>
  <c r="Z84" i="24" s="1"/>
  <c r="N84" i="24"/>
  <c r="L84" i="24"/>
  <c r="B84" i="24"/>
  <c r="X83" i="24"/>
  <c r="Z83" i="24" s="1"/>
  <c r="N83" i="24"/>
  <c r="L83" i="24"/>
  <c r="B83" i="24"/>
  <c r="Z82" i="24"/>
  <c r="X82" i="24"/>
  <c r="L82" i="24"/>
  <c r="N82" i="24" s="1"/>
  <c r="B82" i="24"/>
  <c r="Z81" i="24"/>
  <c r="X81" i="24"/>
  <c r="L81" i="24"/>
  <c r="N81" i="24" s="1"/>
  <c r="B81" i="24"/>
  <c r="X80" i="24"/>
  <c r="Z80" i="24" s="1"/>
  <c r="N80" i="24"/>
  <c r="L80" i="24"/>
  <c r="B80" i="24"/>
  <c r="X79" i="24"/>
  <c r="Z79" i="24" s="1"/>
  <c r="N79" i="24"/>
  <c r="L79" i="24"/>
  <c r="B79" i="24"/>
  <c r="Z78" i="24"/>
  <c r="X78" i="24"/>
  <c r="N78" i="24"/>
  <c r="L78" i="24"/>
  <c r="B78" i="24"/>
  <c r="Z77" i="24"/>
  <c r="X77" i="24"/>
  <c r="L77" i="24"/>
  <c r="N77" i="24" s="1"/>
  <c r="B77" i="24"/>
  <c r="T76" i="24"/>
  <c r="P76" i="24"/>
  <c r="H76" i="24"/>
  <c r="D76" i="24"/>
  <c r="L76" i="24" s="1"/>
  <c r="N76" i="24" s="1"/>
  <c r="B76" i="24"/>
  <c r="T75" i="24"/>
  <c r="Z75" i="24" s="1"/>
  <c r="P75" i="24"/>
  <c r="X75" i="24" s="1"/>
  <c r="H75" i="24"/>
  <c r="D75" i="24"/>
  <c r="Z71" i="24"/>
  <c r="X71" i="24"/>
  <c r="L71" i="24"/>
  <c r="N71" i="24" s="1"/>
  <c r="B71" i="24"/>
  <c r="X70" i="24"/>
  <c r="Z70" i="24" s="1"/>
  <c r="L70" i="24"/>
  <c r="N70" i="24" s="1"/>
  <c r="B70" i="24"/>
  <c r="X69" i="24"/>
  <c r="Z69" i="24" s="1"/>
  <c r="N69" i="24"/>
  <c r="L69" i="24"/>
  <c r="B69" i="24"/>
  <c r="Z68" i="24"/>
  <c r="X68" i="24"/>
  <c r="N68" i="24"/>
  <c r="L68" i="24"/>
  <c r="B68" i="24"/>
  <c r="Z67" i="24"/>
  <c r="X67" i="24"/>
  <c r="L67" i="24"/>
  <c r="N67" i="24" s="1"/>
  <c r="B67" i="24"/>
  <c r="X66" i="24"/>
  <c r="Z66" i="24" s="1"/>
  <c r="L66" i="24"/>
  <c r="N66" i="24" s="1"/>
  <c r="B66" i="24"/>
  <c r="X65" i="24"/>
  <c r="Z65" i="24" s="1"/>
  <c r="N65" i="24"/>
  <c r="L65" i="24"/>
  <c r="B65" i="24"/>
  <c r="Z64" i="24"/>
  <c r="X64" i="24"/>
  <c r="N64" i="24"/>
  <c r="L64" i="24"/>
  <c r="B64" i="24"/>
  <c r="Z63" i="24"/>
  <c r="X63" i="24"/>
  <c r="L63" i="24"/>
  <c r="N63" i="24" s="1"/>
  <c r="B63" i="24"/>
  <c r="Z62" i="24"/>
  <c r="X62" i="24"/>
  <c r="L62" i="24"/>
  <c r="N62" i="24" s="1"/>
  <c r="B62" i="24"/>
  <c r="X61" i="24"/>
  <c r="Z61" i="24" s="1"/>
  <c r="N61" i="24"/>
  <c r="L61" i="24"/>
  <c r="B61" i="24"/>
  <c r="Z60" i="24"/>
  <c r="X60" i="24"/>
  <c r="N60" i="24"/>
  <c r="L60" i="24"/>
  <c r="B60" i="24"/>
  <c r="Z59" i="24"/>
  <c r="X59" i="24"/>
  <c r="L59" i="24"/>
  <c r="N59" i="24" s="1"/>
  <c r="B59" i="24"/>
  <c r="Z58" i="24"/>
  <c r="X58" i="24"/>
  <c r="L58" i="24"/>
  <c r="N58" i="24" s="1"/>
  <c r="B58" i="24"/>
  <c r="X57" i="24"/>
  <c r="Z57" i="24" s="1"/>
  <c r="N57" i="24"/>
  <c r="L57" i="24"/>
  <c r="B57" i="24"/>
  <c r="Z56" i="24"/>
  <c r="X56" i="24"/>
  <c r="N56" i="24"/>
  <c r="L56" i="24"/>
  <c r="B56" i="24"/>
  <c r="Z55" i="24"/>
  <c r="X55" i="24"/>
  <c r="L55" i="24"/>
  <c r="N55" i="24" s="1"/>
  <c r="B55" i="24"/>
  <c r="X54" i="24"/>
  <c r="Z54" i="24" s="1"/>
  <c r="L54" i="24"/>
  <c r="N54" i="24" s="1"/>
  <c r="B54" i="24"/>
  <c r="X53" i="24"/>
  <c r="Z53" i="24" s="1"/>
  <c r="N53" i="24"/>
  <c r="L53" i="24"/>
  <c r="B53" i="24"/>
  <c r="Z52" i="24"/>
  <c r="X52" i="24"/>
  <c r="N52" i="24"/>
  <c r="L52" i="24"/>
  <c r="B52" i="24"/>
  <c r="Z51" i="24"/>
  <c r="X51" i="24"/>
  <c r="L51" i="24"/>
  <c r="N51" i="24" s="1"/>
  <c r="B51" i="24"/>
  <c r="X50" i="24"/>
  <c r="Z50" i="24" s="1"/>
  <c r="T50" i="24"/>
  <c r="P50" i="24"/>
  <c r="H50" i="24"/>
  <c r="D50" i="24"/>
  <c r="L50" i="24" s="1"/>
  <c r="N50" i="24" s="1"/>
  <c r="Z48" i="24"/>
  <c r="X48" i="24"/>
  <c r="T48" i="24"/>
  <c r="P48" i="24"/>
  <c r="L48" i="24"/>
  <c r="H48" i="24"/>
  <c r="N48" i="24" s="1"/>
  <c r="D48" i="24"/>
  <c r="B48" i="24"/>
  <c r="T47" i="24"/>
  <c r="Z47" i="24" s="1"/>
  <c r="P47" i="24"/>
  <c r="X47" i="24" s="1"/>
  <c r="N47" i="24"/>
  <c r="H47" i="24"/>
  <c r="L47" i="24" s="1"/>
  <c r="D47" i="24"/>
  <c r="B47" i="24"/>
  <c r="T46" i="24"/>
  <c r="Z46" i="24" s="1"/>
  <c r="P46" i="24"/>
  <c r="H46" i="24"/>
  <c r="N46" i="24" s="1"/>
  <c r="D46" i="24"/>
  <c r="B46" i="24"/>
  <c r="T45" i="24"/>
  <c r="Z45" i="24" s="1"/>
  <c r="P45" i="24"/>
  <c r="X45" i="24" s="1"/>
  <c r="H45" i="24"/>
  <c r="D45" i="24"/>
  <c r="L45" i="24" s="1"/>
  <c r="N45" i="24" s="1"/>
  <c r="B45" i="24"/>
  <c r="Z44" i="24"/>
  <c r="X44" i="24"/>
  <c r="T44" i="24"/>
  <c r="P44" i="24"/>
  <c r="L44" i="24"/>
  <c r="H44" i="24"/>
  <c r="N44" i="24" s="1"/>
  <c r="D44" i="24"/>
  <c r="B44" i="24"/>
  <c r="X43" i="24"/>
  <c r="T43" i="24"/>
  <c r="P43" i="24"/>
  <c r="N43" i="24"/>
  <c r="L43" i="24"/>
  <c r="H43" i="24"/>
  <c r="D43" i="24"/>
  <c r="B43" i="24"/>
  <c r="T42" i="24"/>
  <c r="P42" i="24"/>
  <c r="H42" i="24"/>
  <c r="D42" i="24"/>
  <c r="B42" i="24"/>
  <c r="T41" i="24"/>
  <c r="P41" i="24"/>
  <c r="X41" i="24" s="1"/>
  <c r="N41" i="24"/>
  <c r="H41" i="24"/>
  <c r="D41" i="24"/>
  <c r="L41" i="24" s="1"/>
  <c r="B41" i="24"/>
  <c r="Z40" i="24"/>
  <c r="X40" i="24"/>
  <c r="T40" i="24"/>
  <c r="P40" i="24"/>
  <c r="L40" i="24"/>
  <c r="H40" i="24"/>
  <c r="N40" i="24" s="1"/>
  <c r="D40" i="24"/>
  <c r="B40" i="24"/>
  <c r="X39" i="24"/>
  <c r="T39" i="24"/>
  <c r="P39" i="24"/>
  <c r="N39" i="24"/>
  <c r="L39" i="24"/>
  <c r="H39" i="24"/>
  <c r="D39" i="24"/>
  <c r="B39" i="24"/>
  <c r="T38" i="24"/>
  <c r="P38" i="24"/>
  <c r="H38" i="24"/>
  <c r="N38" i="24" s="1"/>
  <c r="D38" i="24"/>
  <c r="L38" i="24" s="1"/>
  <c r="B38" i="24"/>
  <c r="T37" i="24"/>
  <c r="P37" i="24"/>
  <c r="X37" i="24" s="1"/>
  <c r="H37" i="24"/>
  <c r="D37" i="24"/>
  <c r="L37" i="24" s="1"/>
  <c r="N37" i="24" s="1"/>
  <c r="B37" i="24"/>
  <c r="Z36" i="24"/>
  <c r="X36" i="24"/>
  <c r="T36" i="24"/>
  <c r="P36" i="24"/>
  <c r="L36" i="24"/>
  <c r="H36" i="24"/>
  <c r="N36" i="24" s="1"/>
  <c r="D36" i="24"/>
  <c r="B36" i="24"/>
  <c r="X35" i="24"/>
  <c r="T35" i="24"/>
  <c r="Z35" i="24" s="1"/>
  <c r="P35" i="24"/>
  <c r="N35" i="24"/>
  <c r="L35" i="24"/>
  <c r="H35" i="24"/>
  <c r="D35" i="24"/>
  <c r="B35" i="24"/>
  <c r="T34" i="24"/>
  <c r="P34" i="24"/>
  <c r="N34" i="24"/>
  <c r="H34" i="24"/>
  <c r="D34" i="24"/>
  <c r="L34" i="24" s="1"/>
  <c r="B34" i="24"/>
  <c r="T33" i="24"/>
  <c r="P33" i="24"/>
  <c r="X33" i="24" s="1"/>
  <c r="L33" i="24"/>
  <c r="N33" i="24" s="1"/>
  <c r="H33" i="24"/>
  <c r="D33" i="24"/>
  <c r="B33" i="24"/>
  <c r="X32" i="24"/>
  <c r="Z32" i="24" s="1"/>
  <c r="T32" i="24"/>
  <c r="P32" i="24"/>
  <c r="L32" i="24"/>
  <c r="H32" i="24"/>
  <c r="N32" i="24" s="1"/>
  <c r="D32" i="24"/>
  <c r="B32" i="24"/>
  <c r="X31" i="24"/>
  <c r="T31" i="24"/>
  <c r="P31" i="24"/>
  <c r="N31" i="24"/>
  <c r="L31" i="24"/>
  <c r="H31" i="24"/>
  <c r="D31" i="24"/>
  <c r="B31" i="24"/>
  <c r="T30" i="24"/>
  <c r="P30" i="24"/>
  <c r="H30" i="24"/>
  <c r="D30" i="24"/>
  <c r="L30" i="24" s="1"/>
  <c r="B30" i="24"/>
  <c r="T29" i="24"/>
  <c r="P29" i="24"/>
  <c r="H29" i="24"/>
  <c r="D29" i="24"/>
  <c r="L29" i="24" s="1"/>
  <c r="N29" i="24" s="1"/>
  <c r="B29" i="24"/>
  <c r="X28" i="24"/>
  <c r="Z28" i="24" s="1"/>
  <c r="T28" i="24"/>
  <c r="P28" i="24"/>
  <c r="L28" i="24"/>
  <c r="H28" i="24"/>
  <c r="D28" i="24"/>
  <c r="B28" i="24"/>
  <c r="T27" i="24"/>
  <c r="P27" i="24"/>
  <c r="X27" i="24" s="1"/>
  <c r="N27" i="24"/>
  <c r="L27" i="24"/>
  <c r="H27" i="24"/>
  <c r="D27" i="24"/>
  <c r="B27" i="24"/>
  <c r="T26" i="24"/>
  <c r="P26" i="24"/>
  <c r="H26" i="24"/>
  <c r="N26" i="24" s="1"/>
  <c r="D26" i="24"/>
  <c r="L26" i="24" s="1"/>
  <c r="B26" i="24"/>
  <c r="T25" i="24"/>
  <c r="P25" i="24"/>
  <c r="L25" i="24"/>
  <c r="N25" i="24" s="1"/>
  <c r="H25" i="24"/>
  <c r="D25" i="24"/>
  <c r="B25" i="24"/>
  <c r="Z24" i="24"/>
  <c r="X24" i="24"/>
  <c r="T24" i="24"/>
  <c r="P24" i="24"/>
  <c r="L24" i="24"/>
  <c r="H24" i="24"/>
  <c r="N24" i="24" s="1"/>
  <c r="D24" i="24"/>
  <c r="B24" i="24"/>
  <c r="T23" i="24"/>
  <c r="P23" i="24"/>
  <c r="L23" i="24"/>
  <c r="N23" i="24" s="1"/>
  <c r="H23" i="24"/>
  <c r="D23" i="24"/>
  <c r="B23" i="24"/>
  <c r="T22" i="24"/>
  <c r="P22" i="24"/>
  <c r="H22" i="24"/>
  <c r="D22" i="24"/>
  <c r="L22" i="24" s="1"/>
  <c r="N22" i="24" s="1"/>
  <c r="B22" i="24"/>
  <c r="T21" i="24"/>
  <c r="P21" i="24"/>
  <c r="X21" i="24" s="1"/>
  <c r="L21" i="24"/>
  <c r="N21" i="24" s="1"/>
  <c r="H21" i="24"/>
  <c r="D21" i="24"/>
  <c r="B21" i="24"/>
  <c r="T20" i="24"/>
  <c r="X20" i="24" s="1"/>
  <c r="Z20" i="24" s="1"/>
  <c r="P20" i="24"/>
  <c r="L20" i="24"/>
  <c r="H20" i="24"/>
  <c r="D20" i="24"/>
  <c r="B20" i="24"/>
  <c r="X19" i="24"/>
  <c r="T19" i="24"/>
  <c r="P19" i="24"/>
  <c r="L19" i="24"/>
  <c r="N19" i="24" s="1"/>
  <c r="H19" i="24"/>
  <c r="D19" i="24"/>
  <c r="B19" i="24"/>
  <c r="T18" i="24"/>
  <c r="P18" i="24"/>
  <c r="L18" i="24"/>
  <c r="H18" i="24"/>
  <c r="N18" i="24" s="1"/>
  <c r="D18" i="24"/>
  <c r="B18" i="24"/>
  <c r="T17" i="24"/>
  <c r="P17" i="24"/>
  <c r="X17" i="24" s="1"/>
  <c r="H17" i="24"/>
  <c r="D17" i="24"/>
  <c r="L17" i="24" s="1"/>
  <c r="N17" i="24" s="1"/>
  <c r="B17" i="24"/>
  <c r="T16" i="24"/>
  <c r="P16" i="24"/>
  <c r="L16" i="24"/>
  <c r="H16" i="24"/>
  <c r="N16" i="24" s="1"/>
  <c r="D16" i="24"/>
  <c r="B16" i="24"/>
  <c r="T15" i="24"/>
  <c r="P15" i="24"/>
  <c r="X15" i="24" s="1"/>
  <c r="N15" i="24"/>
  <c r="L15" i="24"/>
  <c r="H15" i="24"/>
  <c r="D15" i="24"/>
  <c r="B15" i="24"/>
  <c r="T14" i="24"/>
  <c r="P14" i="24"/>
  <c r="L14" i="24"/>
  <c r="H14" i="24"/>
  <c r="D14" i="24"/>
  <c r="B14" i="24"/>
  <c r="T13" i="24"/>
  <c r="P13" i="24"/>
  <c r="H13" i="24"/>
  <c r="D13" i="24"/>
  <c r="B13" i="24"/>
  <c r="D4" i="24"/>
  <c r="X104" i="21"/>
  <c r="Z104" i="21" s="1"/>
  <c r="N104" i="21"/>
  <c r="L104" i="21"/>
  <c r="T100" i="21"/>
  <c r="Z100" i="21" s="1"/>
  <c r="P100" i="21"/>
  <c r="X100" i="21" s="1"/>
  <c r="H100" i="21"/>
  <c r="N100" i="21" s="1"/>
  <c r="D100" i="21"/>
  <c r="X98" i="21"/>
  <c r="Z98" i="21" s="1"/>
  <c r="L98" i="21"/>
  <c r="N98" i="21" s="1"/>
  <c r="B98" i="21"/>
  <c r="T97" i="21"/>
  <c r="P97" i="21"/>
  <c r="X97" i="21" s="1"/>
  <c r="Z97" i="21" s="1"/>
  <c r="H97" i="21"/>
  <c r="D97" i="21"/>
  <c r="L97" i="21" s="1"/>
  <c r="N97" i="21" s="1"/>
  <c r="B97" i="21"/>
  <c r="X96" i="21"/>
  <c r="Z96" i="21" s="1"/>
  <c r="N96" i="21"/>
  <c r="L96" i="21"/>
  <c r="B96" i="21"/>
  <c r="X95" i="21"/>
  <c r="Z95" i="21" s="1"/>
  <c r="T95" i="21"/>
  <c r="P95" i="21"/>
  <c r="N95" i="21"/>
  <c r="H95" i="21"/>
  <c r="L95" i="21" s="1"/>
  <c r="D95" i="21"/>
  <c r="B95" i="21"/>
  <c r="Z94" i="21"/>
  <c r="X94" i="21"/>
  <c r="L94" i="21"/>
  <c r="N94" i="21" s="1"/>
  <c r="B94" i="21"/>
  <c r="T93" i="21"/>
  <c r="P93" i="21"/>
  <c r="H93" i="21"/>
  <c r="D93" i="21"/>
  <c r="L93" i="21" s="1"/>
  <c r="B93" i="21"/>
  <c r="X92" i="21"/>
  <c r="Z92" i="21" s="1"/>
  <c r="N92" i="21"/>
  <c r="L92" i="21"/>
  <c r="B92" i="21"/>
  <c r="X91" i="21"/>
  <c r="Z91" i="21" s="1"/>
  <c r="L91" i="21"/>
  <c r="N91" i="21" s="1"/>
  <c r="B91" i="21"/>
  <c r="X90" i="21"/>
  <c r="Z90" i="21" s="1"/>
  <c r="N90" i="21"/>
  <c r="L90" i="21"/>
  <c r="B90" i="21"/>
  <c r="Z89" i="21"/>
  <c r="X89" i="21"/>
  <c r="N89" i="21"/>
  <c r="L89" i="21"/>
  <c r="B89" i="21"/>
  <c r="X88" i="21"/>
  <c r="Z88" i="21" s="1"/>
  <c r="L88" i="21"/>
  <c r="N88" i="21" s="1"/>
  <c r="B88" i="21"/>
  <c r="X87" i="21"/>
  <c r="Z87" i="21" s="1"/>
  <c r="L87" i="21"/>
  <c r="N87" i="21" s="1"/>
  <c r="B87" i="21"/>
  <c r="X86" i="21"/>
  <c r="Z86" i="21" s="1"/>
  <c r="L86" i="21"/>
  <c r="N86" i="21" s="1"/>
  <c r="B86" i="21"/>
  <c r="T85" i="21"/>
  <c r="P85" i="21"/>
  <c r="X85" i="21" s="1"/>
  <c r="Z85" i="21" s="1"/>
  <c r="H85" i="21"/>
  <c r="D85" i="21"/>
  <c r="L85" i="21" s="1"/>
  <c r="N85" i="21" s="1"/>
  <c r="B85" i="21"/>
  <c r="Z84" i="21"/>
  <c r="X84" i="21"/>
  <c r="N84" i="21"/>
  <c r="L84" i="21"/>
  <c r="B84" i="21"/>
  <c r="X83" i="21"/>
  <c r="Z83" i="21" s="1"/>
  <c r="N83" i="21"/>
  <c r="L83" i="21"/>
  <c r="B83" i="21"/>
  <c r="T82" i="21"/>
  <c r="P82" i="21"/>
  <c r="X82" i="21" s="1"/>
  <c r="Z82" i="21" s="1"/>
  <c r="H82" i="21"/>
  <c r="N82" i="21" s="1"/>
  <c r="D82" i="21"/>
  <c r="L82" i="21" s="1"/>
  <c r="B82" i="21"/>
  <c r="Z81" i="21"/>
  <c r="X81" i="21"/>
  <c r="N81" i="21"/>
  <c r="L81" i="21"/>
  <c r="B81" i="21"/>
  <c r="X80" i="21"/>
  <c r="Z80" i="21" s="1"/>
  <c r="L80" i="21"/>
  <c r="N80" i="21" s="1"/>
  <c r="B80" i="21"/>
  <c r="Z79" i="21"/>
  <c r="X79" i="21"/>
  <c r="N79" i="21"/>
  <c r="L79" i="21"/>
  <c r="B79" i="21"/>
  <c r="Z78" i="21"/>
  <c r="X78" i="21"/>
  <c r="L78" i="21"/>
  <c r="N78" i="21" s="1"/>
  <c r="B78" i="21"/>
  <c r="T77" i="21"/>
  <c r="P77" i="21"/>
  <c r="X77" i="21" s="1"/>
  <c r="H77" i="21"/>
  <c r="N77" i="21" s="1"/>
  <c r="D77" i="21"/>
  <c r="L77" i="21" s="1"/>
  <c r="B77" i="21"/>
  <c r="X76" i="21"/>
  <c r="Z76" i="21" s="1"/>
  <c r="L76" i="21"/>
  <c r="N76" i="21" s="1"/>
  <c r="B76" i="21"/>
  <c r="T75" i="21"/>
  <c r="P75" i="21"/>
  <c r="X75" i="21" s="1"/>
  <c r="Z75" i="21" s="1"/>
  <c r="H75" i="21"/>
  <c r="D75" i="21"/>
  <c r="L75" i="21" s="1"/>
  <c r="N75" i="21" s="1"/>
  <c r="B75" i="21"/>
  <c r="X74" i="21"/>
  <c r="Z74" i="21" s="1"/>
  <c r="N74" i="21"/>
  <c r="L74" i="21"/>
  <c r="B74" i="21"/>
  <c r="Z73" i="21"/>
  <c r="X73" i="21"/>
  <c r="N73" i="21"/>
  <c r="L73" i="21"/>
  <c r="B73" i="21"/>
  <c r="Z72" i="21"/>
  <c r="X72" i="21"/>
  <c r="N72" i="21"/>
  <c r="L72" i="21"/>
  <c r="B72" i="21"/>
  <c r="X71" i="21"/>
  <c r="Z71" i="21" s="1"/>
  <c r="T71" i="21"/>
  <c r="P71" i="21"/>
  <c r="H71" i="21"/>
  <c r="L71" i="21" s="1"/>
  <c r="N71" i="21" s="1"/>
  <c r="D71" i="21"/>
  <c r="B71" i="21"/>
  <c r="Z70" i="21"/>
  <c r="X70" i="21"/>
  <c r="L70" i="21"/>
  <c r="N70" i="21" s="1"/>
  <c r="B70" i="21"/>
  <c r="T69" i="21"/>
  <c r="P69" i="21"/>
  <c r="H69" i="21"/>
  <c r="D69" i="21"/>
  <c r="L69" i="21" s="1"/>
  <c r="B69" i="21"/>
  <c r="X68" i="21"/>
  <c r="Z68" i="21" s="1"/>
  <c r="N68" i="21"/>
  <c r="L68" i="21"/>
  <c r="B68" i="21"/>
  <c r="T67" i="21"/>
  <c r="P67" i="21"/>
  <c r="X67" i="21" s="1"/>
  <c r="Z67" i="21" s="1"/>
  <c r="H67" i="21"/>
  <c r="D67" i="21"/>
  <c r="L67" i="21" s="1"/>
  <c r="N67" i="21" s="1"/>
  <c r="B67" i="21"/>
  <c r="X66" i="21"/>
  <c r="Z66" i="21" s="1"/>
  <c r="N66" i="21"/>
  <c r="L66" i="21"/>
  <c r="B66" i="21"/>
  <c r="T65" i="21"/>
  <c r="X65" i="21" s="1"/>
  <c r="Z65" i="21" s="1"/>
  <c r="P65" i="21"/>
  <c r="L65" i="21"/>
  <c r="N65" i="21" s="1"/>
  <c r="H65" i="21"/>
  <c r="D65" i="21"/>
  <c r="B65" i="21"/>
  <c r="X64" i="21"/>
  <c r="Z64" i="21" s="1"/>
  <c r="L64" i="21"/>
  <c r="N64" i="21" s="1"/>
  <c r="B64" i="21"/>
  <c r="T63" i="21"/>
  <c r="P63" i="21"/>
  <c r="X63" i="21" s="1"/>
  <c r="H63" i="21"/>
  <c r="D63" i="21"/>
  <c r="B63" i="21"/>
  <c r="X62" i="21"/>
  <c r="Z62" i="21" s="1"/>
  <c r="L62" i="21"/>
  <c r="N62" i="21" s="1"/>
  <c r="B62" i="21"/>
  <c r="T61" i="21"/>
  <c r="P61" i="21"/>
  <c r="X61" i="21" s="1"/>
  <c r="Z61" i="21" s="1"/>
  <c r="H61" i="21"/>
  <c r="D61" i="21"/>
  <c r="L61" i="21" s="1"/>
  <c r="N61" i="21" s="1"/>
  <c r="B61" i="21"/>
  <c r="Z60" i="21"/>
  <c r="X60" i="21"/>
  <c r="L60" i="21"/>
  <c r="N60" i="21" s="1"/>
  <c r="B60" i="21"/>
  <c r="X59" i="21"/>
  <c r="Z59" i="21" s="1"/>
  <c r="T59" i="21"/>
  <c r="P59" i="21"/>
  <c r="H59" i="21"/>
  <c r="L59" i="21" s="1"/>
  <c r="N59" i="21" s="1"/>
  <c r="D59" i="21"/>
  <c r="B59" i="21"/>
  <c r="Z58" i="21"/>
  <c r="X58" i="21"/>
  <c r="L58" i="21"/>
  <c r="N58" i="21" s="1"/>
  <c r="B58" i="21"/>
  <c r="T57" i="21"/>
  <c r="P57" i="21"/>
  <c r="H57" i="21"/>
  <c r="N57" i="21" s="1"/>
  <c r="D57" i="21"/>
  <c r="L57" i="21" s="1"/>
  <c r="B57" i="21"/>
  <c r="X56" i="21"/>
  <c r="Z56" i="21" s="1"/>
  <c r="N56" i="21"/>
  <c r="L56" i="21"/>
  <c r="B56" i="21"/>
  <c r="T55" i="21"/>
  <c r="P55" i="21"/>
  <c r="X55" i="21" s="1"/>
  <c r="Z55" i="21" s="1"/>
  <c r="H55" i="21"/>
  <c r="D55" i="21"/>
  <c r="L55" i="21" s="1"/>
  <c r="N55" i="21" s="1"/>
  <c r="B55" i="21"/>
  <c r="X54" i="21"/>
  <c r="Z54" i="21" s="1"/>
  <c r="N54" i="21"/>
  <c r="L54" i="21"/>
  <c r="B54" i="21"/>
  <c r="Z53" i="21"/>
  <c r="X53" i="21"/>
  <c r="N53" i="21"/>
  <c r="L53" i="21"/>
  <c r="B53" i="21"/>
  <c r="T52" i="21"/>
  <c r="P52" i="21"/>
  <c r="X52" i="21" s="1"/>
  <c r="H52" i="21"/>
  <c r="D52" i="21"/>
  <c r="L52" i="21" s="1"/>
  <c r="N52" i="21" s="1"/>
  <c r="B52" i="21"/>
  <c r="X51" i="21"/>
  <c r="Z51" i="21" s="1"/>
  <c r="L51" i="21"/>
  <c r="N51" i="21" s="1"/>
  <c r="B51" i="21"/>
  <c r="Z50" i="21"/>
  <c r="X50" i="21"/>
  <c r="T50" i="21"/>
  <c r="P50" i="21"/>
  <c r="H50" i="21"/>
  <c r="D50" i="21"/>
  <c r="B50" i="21"/>
  <c r="Z49" i="21"/>
  <c r="X49" i="21"/>
  <c r="N49" i="21"/>
  <c r="L49" i="21"/>
  <c r="B49" i="21"/>
  <c r="T48" i="21"/>
  <c r="P48" i="21"/>
  <c r="H48" i="21"/>
  <c r="D48" i="21"/>
  <c r="L48" i="21" s="1"/>
  <c r="B48" i="21"/>
  <c r="X47" i="21"/>
  <c r="Z47" i="21" s="1"/>
  <c r="L47" i="21"/>
  <c r="N47" i="21" s="1"/>
  <c r="B47" i="21"/>
  <c r="T46" i="21"/>
  <c r="P46" i="21"/>
  <c r="X46" i="21" s="1"/>
  <c r="Z46" i="21" s="1"/>
  <c r="H46" i="21"/>
  <c r="N46" i="21" s="1"/>
  <c r="D46" i="21"/>
  <c r="L46" i="21" s="1"/>
  <c r="B46" i="21"/>
  <c r="Z45" i="21"/>
  <c r="X45" i="21"/>
  <c r="N45" i="21"/>
  <c r="L45" i="21"/>
  <c r="B45" i="21"/>
  <c r="X44" i="21"/>
  <c r="Z44" i="21" s="1"/>
  <c r="L44" i="21"/>
  <c r="N44" i="21" s="1"/>
  <c r="B44" i="21"/>
  <c r="X43" i="21"/>
  <c r="Z43" i="21" s="1"/>
  <c r="N43" i="21"/>
  <c r="L43" i="21"/>
  <c r="B43" i="21"/>
  <c r="Z42" i="21"/>
  <c r="X42" i="21"/>
  <c r="L42" i="21"/>
  <c r="N42" i="21" s="1"/>
  <c r="B42" i="21"/>
  <c r="Z41" i="21"/>
  <c r="X41" i="21"/>
  <c r="N41" i="21"/>
  <c r="L41" i="21"/>
  <c r="B41" i="21"/>
  <c r="X40" i="21"/>
  <c r="Z40" i="21" s="1"/>
  <c r="L40" i="21"/>
  <c r="N40" i="21" s="1"/>
  <c r="B40" i="21"/>
  <c r="T39" i="21"/>
  <c r="Z39" i="21" s="1"/>
  <c r="P39" i="21"/>
  <c r="X39" i="21" s="1"/>
  <c r="H39" i="21"/>
  <c r="D39" i="21"/>
  <c r="L39" i="21" s="1"/>
  <c r="B39" i="21"/>
  <c r="X38" i="21"/>
  <c r="Z38" i="21" s="1"/>
  <c r="L38" i="21"/>
  <c r="N38" i="21" s="1"/>
  <c r="B38" i="21"/>
  <c r="Z37" i="21"/>
  <c r="X37" i="21"/>
  <c r="N37" i="21"/>
  <c r="L37" i="21"/>
  <c r="B37" i="21"/>
  <c r="X36" i="21"/>
  <c r="Z36" i="21" s="1"/>
  <c r="N36" i="21"/>
  <c r="L36" i="21"/>
  <c r="B36" i="21"/>
  <c r="X35" i="21"/>
  <c r="Z35" i="21" s="1"/>
  <c r="L35" i="21"/>
  <c r="N35" i="21" s="1"/>
  <c r="B35" i="21"/>
  <c r="X34" i="21"/>
  <c r="Z34" i="21" s="1"/>
  <c r="L34" i="21"/>
  <c r="N34" i="21" s="1"/>
  <c r="B34" i="21"/>
  <c r="Z33" i="21"/>
  <c r="X33" i="21"/>
  <c r="N33" i="21"/>
  <c r="L33" i="21"/>
  <c r="B33" i="21"/>
  <c r="X32" i="21"/>
  <c r="Z32" i="21" s="1"/>
  <c r="N32" i="21"/>
  <c r="L32" i="21"/>
  <c r="B32" i="21"/>
  <c r="X31" i="21"/>
  <c r="Z31" i="21" s="1"/>
  <c r="L31" i="21"/>
  <c r="N31" i="21" s="1"/>
  <c r="B31" i="21"/>
  <c r="T30" i="21"/>
  <c r="P30" i="21"/>
  <c r="X30" i="21" s="1"/>
  <c r="H30" i="21"/>
  <c r="D30" i="21"/>
  <c r="B30" i="21"/>
  <c r="T29" i="21"/>
  <c r="P29" i="21"/>
  <c r="X29" i="21" s="1"/>
  <c r="Z29" i="21" s="1"/>
  <c r="L29" i="21"/>
  <c r="H29" i="21"/>
  <c r="D29" i="21"/>
  <c r="Z25" i="21"/>
  <c r="X25" i="21"/>
  <c r="L25" i="21"/>
  <c r="N25" i="21" s="1"/>
  <c r="B25" i="21"/>
  <c r="Z24" i="21"/>
  <c r="X24" i="21"/>
  <c r="L24" i="21"/>
  <c r="N24" i="21" s="1"/>
  <c r="B24" i="21"/>
  <c r="X23" i="21"/>
  <c r="T23" i="21"/>
  <c r="Z23" i="21" s="1"/>
  <c r="P23" i="21"/>
  <c r="H23" i="21"/>
  <c r="D23" i="21"/>
  <c r="L23" i="21" s="1"/>
  <c r="T21" i="21"/>
  <c r="P21" i="21"/>
  <c r="H21" i="21"/>
  <c r="N21" i="21" s="1"/>
  <c r="D21" i="21"/>
  <c r="B21" i="21"/>
  <c r="T20" i="21"/>
  <c r="X20" i="21" s="1"/>
  <c r="Z20" i="21" s="1"/>
  <c r="P20" i="21"/>
  <c r="N20" i="21"/>
  <c r="L20" i="21"/>
  <c r="H20" i="21"/>
  <c r="D20" i="21"/>
  <c r="B20" i="21"/>
  <c r="T19" i="21"/>
  <c r="P19" i="21"/>
  <c r="X19" i="21" s="1"/>
  <c r="Z19" i="21" s="1"/>
  <c r="H19" i="21"/>
  <c r="D19" i="21"/>
  <c r="L19" i="21" s="1"/>
  <c r="N19" i="21" s="1"/>
  <c r="B19" i="21"/>
  <c r="T18" i="21"/>
  <c r="P18" i="21"/>
  <c r="X18" i="21" s="1"/>
  <c r="H18" i="21"/>
  <c r="N18" i="21" s="1"/>
  <c r="D18" i="21"/>
  <c r="L18" i="21" s="1"/>
  <c r="B18" i="21"/>
  <c r="T17" i="21"/>
  <c r="P17" i="21"/>
  <c r="H17" i="21"/>
  <c r="D17" i="21"/>
  <c r="B17" i="21"/>
  <c r="T16" i="21"/>
  <c r="X16" i="21" s="1"/>
  <c r="Z16" i="21" s="1"/>
  <c r="P16" i="21"/>
  <c r="N16" i="21"/>
  <c r="L16" i="21"/>
  <c r="H16" i="21"/>
  <c r="D16" i="21"/>
  <c r="B16" i="21"/>
  <c r="T15" i="21"/>
  <c r="P15" i="21"/>
  <c r="X15" i="21" s="1"/>
  <c r="Z15" i="21" s="1"/>
  <c r="H15" i="21"/>
  <c r="D15" i="21"/>
  <c r="L15" i="21" s="1"/>
  <c r="N15" i="21" s="1"/>
  <c r="B15" i="21"/>
  <c r="T14" i="21"/>
  <c r="Z14" i="21" s="1"/>
  <c r="P14" i="21"/>
  <c r="X14" i="21" s="1"/>
  <c r="H14" i="21"/>
  <c r="N14" i="21" s="1"/>
  <c r="D14" i="21"/>
  <c r="L14" i="21" s="1"/>
  <c r="B14" i="21"/>
  <c r="T13" i="21"/>
  <c r="P13" i="21"/>
  <c r="P12" i="21" s="1"/>
  <c r="H13" i="21"/>
  <c r="H12" i="21" s="1"/>
  <c r="D13" i="21"/>
  <c r="D12" i="21" s="1"/>
  <c r="B13" i="21"/>
  <c r="D4" i="21"/>
  <c r="X278" i="18"/>
  <c r="Z278" i="18" s="1"/>
  <c r="L278" i="18"/>
  <c r="N278" i="18" s="1"/>
  <c r="T274" i="18"/>
  <c r="Z274" i="18" s="1"/>
  <c r="P274" i="18"/>
  <c r="X274" i="18" s="1"/>
  <c r="H274" i="18"/>
  <c r="D274" i="18"/>
  <c r="B274" i="18"/>
  <c r="T273" i="18"/>
  <c r="P273" i="18"/>
  <c r="X273" i="18" s="1"/>
  <c r="Z273" i="18" s="1"/>
  <c r="H273" i="18"/>
  <c r="D273" i="18"/>
  <c r="B273" i="18"/>
  <c r="T272" i="18"/>
  <c r="P272" i="18"/>
  <c r="X272" i="18" s="1"/>
  <c r="L272" i="18"/>
  <c r="H272" i="18"/>
  <c r="N272" i="18" s="1"/>
  <c r="D272" i="18"/>
  <c r="B272" i="18"/>
  <c r="T271" i="18"/>
  <c r="P271" i="18"/>
  <c r="N271" i="18"/>
  <c r="L271" i="18"/>
  <c r="H271" i="18"/>
  <c r="D271" i="18"/>
  <c r="B271" i="18"/>
  <c r="T270" i="18"/>
  <c r="Z270" i="18" s="1"/>
  <c r="P270" i="18"/>
  <c r="X270" i="18" s="1"/>
  <c r="N270" i="18"/>
  <c r="H270" i="18"/>
  <c r="L270" i="18" s="1"/>
  <c r="D270" i="18"/>
  <c r="B270" i="18"/>
  <c r="T269" i="18"/>
  <c r="P269" i="18"/>
  <c r="H269" i="18"/>
  <c r="N269" i="18" s="1"/>
  <c r="D269" i="18"/>
  <c r="L269" i="18" s="1"/>
  <c r="B269" i="18"/>
  <c r="T268" i="18"/>
  <c r="P268" i="18"/>
  <c r="H268" i="18"/>
  <c r="D268" i="18"/>
  <c r="L268" i="18" s="1"/>
  <c r="N268" i="18" s="1"/>
  <c r="B268" i="18"/>
  <c r="T267" i="18"/>
  <c r="P267" i="18"/>
  <c r="H267" i="18"/>
  <c r="D267" i="18"/>
  <c r="L267" i="18" s="1"/>
  <c r="N267" i="18" s="1"/>
  <c r="B267" i="18"/>
  <c r="X266" i="18"/>
  <c r="T266" i="18"/>
  <c r="T265" i="18" s="1"/>
  <c r="P266" i="18"/>
  <c r="H266" i="18"/>
  <c r="N266" i="18" s="1"/>
  <c r="D266" i="18"/>
  <c r="L266" i="18" s="1"/>
  <c r="B266" i="18"/>
  <c r="Z263" i="18"/>
  <c r="X263" i="18"/>
  <c r="L263" i="18"/>
  <c r="N263" i="18" s="1"/>
  <c r="B263" i="18"/>
  <c r="T262" i="18"/>
  <c r="P262" i="18"/>
  <c r="H262" i="18"/>
  <c r="D262" i="18"/>
  <c r="L262" i="18" s="1"/>
  <c r="N262" i="18" s="1"/>
  <c r="B262" i="18"/>
  <c r="Z261" i="18"/>
  <c r="X261" i="18"/>
  <c r="N261" i="18"/>
  <c r="L261" i="18"/>
  <c r="B261" i="18"/>
  <c r="X260" i="18"/>
  <c r="Z260" i="18" s="1"/>
  <c r="L260" i="18"/>
  <c r="N260" i="18" s="1"/>
  <c r="B260" i="18"/>
  <c r="X259" i="18"/>
  <c r="Z259" i="18" s="1"/>
  <c r="N259" i="18"/>
  <c r="L259" i="18"/>
  <c r="B259" i="18"/>
  <c r="Z258" i="18"/>
  <c r="T258" i="18"/>
  <c r="X258" i="18" s="1"/>
  <c r="P258" i="18"/>
  <c r="H258" i="18"/>
  <c r="D258" i="18"/>
  <c r="L258" i="18" s="1"/>
  <c r="B258" i="18"/>
  <c r="Z257" i="18"/>
  <c r="X257" i="18"/>
  <c r="L257" i="18"/>
  <c r="N257" i="18" s="1"/>
  <c r="B257" i="18"/>
  <c r="X256" i="18"/>
  <c r="T256" i="18"/>
  <c r="Z256" i="18" s="1"/>
  <c r="P256" i="18"/>
  <c r="H256" i="18"/>
  <c r="D256" i="18"/>
  <c r="L256" i="18" s="1"/>
  <c r="B256" i="18"/>
  <c r="Z255" i="18"/>
  <c r="X255" i="18"/>
  <c r="L255" i="18"/>
  <c r="N255" i="18" s="1"/>
  <c r="B255" i="18"/>
  <c r="X254" i="18"/>
  <c r="Z254" i="18" s="1"/>
  <c r="N254" i="18"/>
  <c r="L254" i="18"/>
  <c r="B254" i="18"/>
  <c r="T253" i="18"/>
  <c r="P253" i="18"/>
  <c r="N253" i="18"/>
  <c r="L253" i="18"/>
  <c r="H253" i="18"/>
  <c r="D253" i="18"/>
  <c r="B253" i="18"/>
  <c r="X252" i="18"/>
  <c r="Z252" i="18" s="1"/>
  <c r="L252" i="18"/>
  <c r="N252" i="18" s="1"/>
  <c r="B252" i="18"/>
  <c r="X251" i="18"/>
  <c r="Z251" i="18" s="1"/>
  <c r="N251" i="18"/>
  <c r="L251" i="18"/>
  <c r="B251" i="18"/>
  <c r="Z250" i="18"/>
  <c r="X250" i="18"/>
  <c r="L250" i="18"/>
  <c r="N250" i="18" s="1"/>
  <c r="B250" i="18"/>
  <c r="Z249" i="18"/>
  <c r="X249" i="18"/>
  <c r="L249" i="18"/>
  <c r="N249" i="18" s="1"/>
  <c r="B249" i="18"/>
  <c r="X248" i="18"/>
  <c r="Z248" i="18" s="1"/>
  <c r="L248" i="18"/>
  <c r="N248" i="18" s="1"/>
  <c r="B248" i="18"/>
  <c r="X247" i="18"/>
  <c r="Z247" i="18" s="1"/>
  <c r="N247" i="18"/>
  <c r="L247" i="18"/>
  <c r="B247" i="18"/>
  <c r="T246" i="18"/>
  <c r="P246" i="18"/>
  <c r="X246" i="18" s="1"/>
  <c r="Z246" i="18" s="1"/>
  <c r="H246" i="18"/>
  <c r="N246" i="18" s="1"/>
  <c r="D246" i="18"/>
  <c r="L246" i="18" s="1"/>
  <c r="B246" i="18"/>
  <c r="X245" i="18"/>
  <c r="Z245" i="18" s="1"/>
  <c r="N245" i="18"/>
  <c r="L245" i="18"/>
  <c r="B245" i="18"/>
  <c r="X244" i="18"/>
  <c r="Z244" i="18" s="1"/>
  <c r="N244" i="18"/>
  <c r="L244" i="18"/>
  <c r="B244" i="18"/>
  <c r="Z243" i="18"/>
  <c r="T243" i="18"/>
  <c r="P243" i="18"/>
  <c r="X243" i="18" s="1"/>
  <c r="H243" i="18"/>
  <c r="D243" i="18"/>
  <c r="L243" i="18" s="1"/>
  <c r="B243" i="18"/>
  <c r="X242" i="18"/>
  <c r="Z242" i="18" s="1"/>
  <c r="N242" i="18"/>
  <c r="L242" i="18"/>
  <c r="B242" i="18"/>
  <c r="Z241" i="18"/>
  <c r="X241" i="18"/>
  <c r="N241" i="18"/>
  <c r="L241" i="18"/>
  <c r="B241" i="18"/>
  <c r="Z240" i="18"/>
  <c r="X240" i="18"/>
  <c r="L240" i="18"/>
  <c r="N240" i="18" s="1"/>
  <c r="B240" i="18"/>
  <c r="Z239" i="18"/>
  <c r="X239" i="18"/>
  <c r="L239" i="18"/>
  <c r="N239" i="18" s="1"/>
  <c r="B239" i="18"/>
  <c r="T238" i="18"/>
  <c r="P238" i="18"/>
  <c r="H238" i="18"/>
  <c r="D238" i="18"/>
  <c r="L238" i="18" s="1"/>
  <c r="B238" i="18"/>
  <c r="Z237" i="18"/>
  <c r="X237" i="18"/>
  <c r="L237" i="18"/>
  <c r="N237" i="18" s="1"/>
  <c r="B237" i="18"/>
  <c r="X236" i="18"/>
  <c r="Z236" i="18" s="1"/>
  <c r="L236" i="18"/>
  <c r="N236" i="18" s="1"/>
  <c r="B236" i="18"/>
  <c r="X235" i="18"/>
  <c r="Z235" i="18" s="1"/>
  <c r="N235" i="18"/>
  <c r="L235" i="18"/>
  <c r="B235" i="18"/>
  <c r="Z234" i="18"/>
  <c r="T234" i="18"/>
  <c r="P234" i="18"/>
  <c r="X234" i="18" s="1"/>
  <c r="H234" i="18"/>
  <c r="D234" i="18"/>
  <c r="L234" i="18" s="1"/>
  <c r="B234" i="18"/>
  <c r="X233" i="18"/>
  <c r="Z233" i="18" s="1"/>
  <c r="N233" i="18"/>
  <c r="L233" i="18"/>
  <c r="B233" i="18"/>
  <c r="X232" i="18"/>
  <c r="Z232" i="18" s="1"/>
  <c r="N232" i="18"/>
  <c r="L232" i="18"/>
  <c r="B232" i="18"/>
  <c r="Z231" i="18"/>
  <c r="X231" i="18"/>
  <c r="L231" i="18"/>
  <c r="N231" i="18" s="1"/>
  <c r="B231" i="18"/>
  <c r="T230" i="18"/>
  <c r="P230" i="18"/>
  <c r="X230" i="18" s="1"/>
  <c r="L230" i="18"/>
  <c r="H230" i="18"/>
  <c r="D230" i="18"/>
  <c r="B230" i="18"/>
  <c r="Z229" i="18"/>
  <c r="X229" i="18"/>
  <c r="N229" i="18"/>
  <c r="L229" i="18"/>
  <c r="B229" i="18"/>
  <c r="T228" i="18"/>
  <c r="P228" i="18"/>
  <c r="X228" i="18" s="1"/>
  <c r="H228" i="18"/>
  <c r="D228" i="18"/>
  <c r="B228" i="18"/>
  <c r="X227" i="18"/>
  <c r="Z227" i="18" s="1"/>
  <c r="N227" i="18"/>
  <c r="L227" i="18"/>
  <c r="B227" i="18"/>
  <c r="Z226" i="18"/>
  <c r="T226" i="18"/>
  <c r="P226" i="18"/>
  <c r="X226" i="18" s="1"/>
  <c r="L226" i="18"/>
  <c r="H226" i="18"/>
  <c r="N226" i="18" s="1"/>
  <c r="D226" i="18"/>
  <c r="B226" i="18"/>
  <c r="X225" i="18"/>
  <c r="Z225" i="18" s="1"/>
  <c r="N225" i="18"/>
  <c r="L225" i="18"/>
  <c r="B225" i="18"/>
  <c r="X224" i="18"/>
  <c r="T224" i="18"/>
  <c r="P224" i="18"/>
  <c r="H224" i="18"/>
  <c r="D224" i="18"/>
  <c r="B224" i="18"/>
  <c r="Z223" i="18"/>
  <c r="X223" i="18"/>
  <c r="L223" i="18"/>
  <c r="N223" i="18" s="1"/>
  <c r="B223" i="18"/>
  <c r="T222" i="18"/>
  <c r="P222" i="18"/>
  <c r="H222" i="18"/>
  <c r="D222" i="18"/>
  <c r="L222" i="18" s="1"/>
  <c r="B222" i="18"/>
  <c r="Z221" i="18"/>
  <c r="X221" i="18"/>
  <c r="L221" i="18"/>
  <c r="N221" i="18" s="1"/>
  <c r="B221" i="18"/>
  <c r="T220" i="18"/>
  <c r="Z220" i="18" s="1"/>
  <c r="P220" i="18"/>
  <c r="X220" i="18" s="1"/>
  <c r="H220" i="18"/>
  <c r="D220" i="18"/>
  <c r="L220" i="18" s="1"/>
  <c r="N220" i="18" s="1"/>
  <c r="B220" i="18"/>
  <c r="Z219" i="18"/>
  <c r="X219" i="18"/>
  <c r="L219" i="18"/>
  <c r="N219" i="18" s="1"/>
  <c r="B219" i="18"/>
  <c r="X218" i="18"/>
  <c r="Z218" i="18" s="1"/>
  <c r="L218" i="18"/>
  <c r="N218" i="18" s="1"/>
  <c r="B218" i="18"/>
  <c r="T217" i="18"/>
  <c r="Z217" i="18" s="1"/>
  <c r="P217" i="18"/>
  <c r="X217" i="18" s="1"/>
  <c r="N217" i="18"/>
  <c r="H217" i="18"/>
  <c r="D217" i="18"/>
  <c r="L217" i="18" s="1"/>
  <c r="B217" i="18"/>
  <c r="X216" i="18"/>
  <c r="Z216" i="18" s="1"/>
  <c r="L216" i="18"/>
  <c r="N216" i="18" s="1"/>
  <c r="B216" i="18"/>
  <c r="X215" i="18"/>
  <c r="Z215" i="18" s="1"/>
  <c r="T215" i="18"/>
  <c r="P215" i="18"/>
  <c r="H215" i="18"/>
  <c r="D215" i="18"/>
  <c r="L215" i="18" s="1"/>
  <c r="B215" i="18"/>
  <c r="Z214" i="18"/>
  <c r="X214" i="18"/>
  <c r="L214" i="18"/>
  <c r="N214" i="18" s="1"/>
  <c r="B214" i="18"/>
  <c r="T213" i="18"/>
  <c r="X213" i="18" s="1"/>
  <c r="P213" i="18"/>
  <c r="H213" i="18"/>
  <c r="D213" i="18"/>
  <c r="L213" i="18" s="1"/>
  <c r="B213" i="18"/>
  <c r="X212" i="18"/>
  <c r="Z212" i="18" s="1"/>
  <c r="L212" i="18"/>
  <c r="N212" i="18" s="1"/>
  <c r="B212" i="18"/>
  <c r="Z211" i="18"/>
  <c r="T211" i="18"/>
  <c r="P211" i="18"/>
  <c r="X211" i="18" s="1"/>
  <c r="H211" i="18"/>
  <c r="D211" i="18"/>
  <c r="L211" i="18" s="1"/>
  <c r="B211" i="18"/>
  <c r="X210" i="18"/>
  <c r="Z210" i="18" s="1"/>
  <c r="N210" i="18"/>
  <c r="L210" i="18"/>
  <c r="B210" i="18"/>
  <c r="Z209" i="18"/>
  <c r="X209" i="18"/>
  <c r="N209" i="18"/>
  <c r="L209" i="18"/>
  <c r="B209" i="18"/>
  <c r="T208" i="18"/>
  <c r="Z208" i="18" s="1"/>
  <c r="P208" i="18"/>
  <c r="X208" i="18" s="1"/>
  <c r="L208" i="18"/>
  <c r="H208" i="18"/>
  <c r="D208" i="18"/>
  <c r="B208" i="18"/>
  <c r="X207" i="18"/>
  <c r="Z207" i="18" s="1"/>
  <c r="N207" i="18"/>
  <c r="L207" i="18"/>
  <c r="B207" i="18"/>
  <c r="Z206" i="18"/>
  <c r="X206" i="18"/>
  <c r="L206" i="18"/>
  <c r="N206" i="18" s="1"/>
  <c r="B206" i="18"/>
  <c r="Z205" i="18"/>
  <c r="T205" i="18"/>
  <c r="X205" i="18" s="1"/>
  <c r="P205" i="18"/>
  <c r="H205" i="18"/>
  <c r="D205" i="18"/>
  <c r="L205" i="18" s="1"/>
  <c r="B205" i="18"/>
  <c r="X204" i="18"/>
  <c r="Z204" i="18" s="1"/>
  <c r="N204" i="18"/>
  <c r="L204" i="18"/>
  <c r="B204" i="18"/>
  <c r="T203" i="18"/>
  <c r="P203" i="18"/>
  <c r="X203" i="18" s="1"/>
  <c r="Z203" i="18" s="1"/>
  <c r="H203" i="18"/>
  <c r="N203" i="18" s="1"/>
  <c r="D203" i="18"/>
  <c r="L203" i="18" s="1"/>
  <c r="B203" i="18"/>
  <c r="X202" i="18"/>
  <c r="Z202" i="18" s="1"/>
  <c r="N202" i="18"/>
  <c r="L202" i="18"/>
  <c r="B202" i="18"/>
  <c r="T201" i="18"/>
  <c r="P201" i="18"/>
  <c r="N201" i="18"/>
  <c r="L201" i="18"/>
  <c r="H201" i="18"/>
  <c r="D201" i="18"/>
  <c r="B201" i="18"/>
  <c r="X200" i="18"/>
  <c r="Z200" i="18" s="1"/>
  <c r="L200" i="18"/>
  <c r="N200" i="18" s="1"/>
  <c r="B200" i="18"/>
  <c r="T199" i="18"/>
  <c r="P199" i="18"/>
  <c r="X199" i="18" s="1"/>
  <c r="H199" i="18"/>
  <c r="D199" i="18"/>
  <c r="B199" i="18"/>
  <c r="X198" i="18"/>
  <c r="Z198" i="18" s="1"/>
  <c r="L198" i="18"/>
  <c r="N198" i="18" s="1"/>
  <c r="B198" i="18"/>
  <c r="X197" i="18"/>
  <c r="Z197" i="18" s="1"/>
  <c r="N197" i="18"/>
  <c r="L197" i="18"/>
  <c r="B197" i="18"/>
  <c r="X196" i="18"/>
  <c r="Z196" i="18" s="1"/>
  <c r="N196" i="18"/>
  <c r="L196" i="18"/>
  <c r="B196" i="18"/>
  <c r="Z195" i="18"/>
  <c r="X195" i="18"/>
  <c r="N195" i="18"/>
  <c r="L195" i="18"/>
  <c r="B195" i="18"/>
  <c r="X194" i="18"/>
  <c r="Z194" i="18" s="1"/>
  <c r="L194" i="18"/>
  <c r="N194" i="18" s="1"/>
  <c r="B194" i="18"/>
  <c r="X193" i="18"/>
  <c r="Z193" i="18" s="1"/>
  <c r="N193" i="18"/>
  <c r="L193" i="18"/>
  <c r="B193" i="18"/>
  <c r="X192" i="18"/>
  <c r="Z192" i="18" s="1"/>
  <c r="N192" i="18"/>
  <c r="L192" i="18"/>
  <c r="B192" i="18"/>
  <c r="T191" i="18"/>
  <c r="P191" i="18"/>
  <c r="X191" i="18" s="1"/>
  <c r="Z191" i="18" s="1"/>
  <c r="H191" i="18"/>
  <c r="D191" i="18"/>
  <c r="L191" i="18" s="1"/>
  <c r="B191" i="18"/>
  <c r="X190" i="18"/>
  <c r="Z190" i="18" s="1"/>
  <c r="N190" i="18"/>
  <c r="L190" i="18"/>
  <c r="B190" i="18"/>
  <c r="Z189" i="18"/>
  <c r="X189" i="18"/>
  <c r="N189" i="18"/>
  <c r="L189" i="18"/>
  <c r="B189" i="18"/>
  <c r="Z188" i="18"/>
  <c r="X188" i="18"/>
  <c r="L188" i="18"/>
  <c r="N188" i="18" s="1"/>
  <c r="B188" i="18"/>
  <c r="X187" i="18"/>
  <c r="Z187" i="18" s="1"/>
  <c r="L187" i="18"/>
  <c r="N187" i="18" s="1"/>
  <c r="B187" i="18"/>
  <c r="X186" i="18"/>
  <c r="Z186" i="18" s="1"/>
  <c r="N186" i="18"/>
  <c r="L186" i="18"/>
  <c r="B186" i="18"/>
  <c r="Z185" i="18"/>
  <c r="X185" i="18"/>
  <c r="N185" i="18"/>
  <c r="L185" i="18"/>
  <c r="B185" i="18"/>
  <c r="Z184" i="18"/>
  <c r="X184" i="18"/>
  <c r="L184" i="18"/>
  <c r="N184" i="18" s="1"/>
  <c r="B184" i="18"/>
  <c r="Z183" i="18"/>
  <c r="X183" i="18"/>
  <c r="N183" i="18"/>
  <c r="L183" i="18"/>
  <c r="B183" i="18"/>
  <c r="X182" i="18"/>
  <c r="Z182" i="18" s="1"/>
  <c r="N182" i="18"/>
  <c r="L182" i="18"/>
  <c r="B182" i="18"/>
  <c r="T181" i="18"/>
  <c r="P181" i="18"/>
  <c r="L181" i="18"/>
  <c r="N181" i="18" s="1"/>
  <c r="H181" i="18"/>
  <c r="D181" i="18"/>
  <c r="B181" i="18"/>
  <c r="X180" i="18"/>
  <c r="T180" i="18"/>
  <c r="P180" i="18"/>
  <c r="H180" i="18"/>
  <c r="D180" i="18"/>
  <c r="L180" i="18" s="1"/>
  <c r="N180" i="18" s="1"/>
  <c r="X176" i="18"/>
  <c r="Z176" i="18" s="1"/>
  <c r="L176" i="18"/>
  <c r="N176" i="18" s="1"/>
  <c r="B176" i="18"/>
  <c r="X175" i="18"/>
  <c r="Z175" i="18" s="1"/>
  <c r="N175" i="18"/>
  <c r="L175" i="18"/>
  <c r="B175" i="18"/>
  <c r="Z174" i="18"/>
  <c r="X174" i="18"/>
  <c r="N174" i="18"/>
  <c r="L174" i="18"/>
  <c r="B174" i="18"/>
  <c r="Z173" i="18"/>
  <c r="X173" i="18"/>
  <c r="N173" i="18"/>
  <c r="L173" i="18"/>
  <c r="B173" i="18"/>
  <c r="Z172" i="18"/>
  <c r="X172" i="18"/>
  <c r="N172" i="18"/>
  <c r="L172" i="18"/>
  <c r="B172" i="18"/>
  <c r="X171" i="18"/>
  <c r="Z171" i="18" s="1"/>
  <c r="L171" i="18"/>
  <c r="N171" i="18" s="1"/>
  <c r="B171" i="18"/>
  <c r="Z170" i="18"/>
  <c r="X170" i="18"/>
  <c r="L170" i="18"/>
  <c r="N170" i="18" s="1"/>
  <c r="B170" i="18"/>
  <c r="Z169" i="18"/>
  <c r="X169" i="18"/>
  <c r="N169" i="18"/>
  <c r="L169" i="18"/>
  <c r="B169" i="18"/>
  <c r="X168" i="18"/>
  <c r="Z168" i="18" s="1"/>
  <c r="L168" i="18"/>
  <c r="N168" i="18" s="1"/>
  <c r="B168" i="18"/>
  <c r="X167" i="18"/>
  <c r="Z167" i="18" s="1"/>
  <c r="L167" i="18"/>
  <c r="N167" i="18" s="1"/>
  <c r="B167" i="18"/>
  <c r="Z166" i="18"/>
  <c r="X166" i="18"/>
  <c r="L166" i="18"/>
  <c r="N166" i="18" s="1"/>
  <c r="B166" i="18"/>
  <c r="Z165" i="18"/>
  <c r="X165" i="18"/>
  <c r="L165" i="18"/>
  <c r="N165" i="18" s="1"/>
  <c r="B165" i="18"/>
  <c r="X164" i="18"/>
  <c r="Z164" i="18" s="1"/>
  <c r="L164" i="18"/>
  <c r="N164" i="18" s="1"/>
  <c r="B164" i="18"/>
  <c r="X163" i="18"/>
  <c r="Z163" i="18" s="1"/>
  <c r="N163" i="18"/>
  <c r="L163" i="18"/>
  <c r="B163" i="18"/>
  <c r="Z162" i="18"/>
  <c r="X162" i="18"/>
  <c r="L162" i="18"/>
  <c r="N162" i="18" s="1"/>
  <c r="B162" i="18"/>
  <c r="Z161" i="18"/>
  <c r="X161" i="18"/>
  <c r="L161" i="18"/>
  <c r="N161" i="18" s="1"/>
  <c r="B161" i="18"/>
  <c r="X160" i="18"/>
  <c r="Z160" i="18" s="1"/>
  <c r="L160" i="18"/>
  <c r="N160" i="18" s="1"/>
  <c r="B160" i="18"/>
  <c r="X159" i="18"/>
  <c r="Z159" i="18" s="1"/>
  <c r="N159" i="18"/>
  <c r="L159" i="18"/>
  <c r="B159" i="18"/>
  <c r="Z158" i="18"/>
  <c r="X158" i="18"/>
  <c r="N158" i="18"/>
  <c r="L158" i="18"/>
  <c r="B158" i="18"/>
  <c r="Z157" i="18"/>
  <c r="X157" i="18"/>
  <c r="L157" i="18"/>
  <c r="N157" i="18" s="1"/>
  <c r="B157" i="18"/>
  <c r="X156" i="18"/>
  <c r="Z156" i="18" s="1"/>
  <c r="L156" i="18"/>
  <c r="N156" i="18" s="1"/>
  <c r="B156" i="18"/>
  <c r="Z155" i="18"/>
  <c r="X155" i="18"/>
  <c r="N155" i="18"/>
  <c r="L155" i="18"/>
  <c r="B155" i="18"/>
  <c r="Z154" i="18"/>
  <c r="X154" i="18"/>
  <c r="N154" i="18"/>
  <c r="L154" i="18"/>
  <c r="B154" i="18"/>
  <c r="Z153" i="18"/>
  <c r="X153" i="18"/>
  <c r="L153" i="18"/>
  <c r="N153" i="18" s="1"/>
  <c r="B153" i="18"/>
  <c r="X152" i="18"/>
  <c r="Z152" i="18" s="1"/>
  <c r="L152" i="18"/>
  <c r="N152" i="18" s="1"/>
  <c r="B152" i="18"/>
  <c r="X151" i="18"/>
  <c r="Z151" i="18" s="1"/>
  <c r="L151" i="18"/>
  <c r="N151" i="18" s="1"/>
  <c r="B151" i="18"/>
  <c r="Z150" i="18"/>
  <c r="X150" i="18"/>
  <c r="N150" i="18"/>
  <c r="L150" i="18"/>
  <c r="B150" i="18"/>
  <c r="Z149" i="18"/>
  <c r="X149" i="18"/>
  <c r="L149" i="18"/>
  <c r="N149" i="18" s="1"/>
  <c r="B149" i="18"/>
  <c r="X148" i="18"/>
  <c r="Z148" i="18" s="1"/>
  <c r="L148" i="18"/>
  <c r="N148" i="18" s="1"/>
  <c r="B148" i="18"/>
  <c r="X147" i="18"/>
  <c r="Z147" i="18" s="1"/>
  <c r="L147" i="18"/>
  <c r="N147" i="18" s="1"/>
  <c r="B147" i="18"/>
  <c r="Z146" i="18"/>
  <c r="X146" i="18"/>
  <c r="L146" i="18"/>
  <c r="N146" i="18" s="1"/>
  <c r="B146" i="18"/>
  <c r="Z145" i="18"/>
  <c r="X145" i="18"/>
  <c r="L145" i="18"/>
  <c r="N145" i="18" s="1"/>
  <c r="B145" i="18"/>
  <c r="X144" i="18"/>
  <c r="Z144" i="18" s="1"/>
  <c r="L144" i="18"/>
  <c r="N144" i="18" s="1"/>
  <c r="B144" i="18"/>
  <c r="X143" i="18"/>
  <c r="Z143" i="18" s="1"/>
  <c r="N143" i="18"/>
  <c r="L143" i="18"/>
  <c r="B143" i="18"/>
  <c r="Z142" i="18"/>
  <c r="X142" i="18"/>
  <c r="N142" i="18"/>
  <c r="L142" i="18"/>
  <c r="B142" i="18"/>
  <c r="Z141" i="18"/>
  <c r="X141" i="18"/>
  <c r="L141" i="18"/>
  <c r="N141" i="18" s="1"/>
  <c r="B141" i="18"/>
  <c r="X140" i="18"/>
  <c r="Z140" i="18" s="1"/>
  <c r="L140" i="18"/>
  <c r="N140" i="18" s="1"/>
  <c r="B140" i="18"/>
  <c r="X139" i="18"/>
  <c r="Z139" i="18" s="1"/>
  <c r="L139" i="18"/>
  <c r="N139" i="18" s="1"/>
  <c r="B139" i="18"/>
  <c r="Z138" i="18"/>
  <c r="X138" i="18"/>
  <c r="L138" i="18"/>
  <c r="N138" i="18" s="1"/>
  <c r="B138" i="18"/>
  <c r="Z137" i="18"/>
  <c r="X137" i="18"/>
  <c r="L137" i="18"/>
  <c r="N137" i="18" s="1"/>
  <c r="B137" i="18"/>
  <c r="X136" i="18"/>
  <c r="Z136" i="18" s="1"/>
  <c r="L136" i="18"/>
  <c r="N136" i="18" s="1"/>
  <c r="B136" i="18"/>
  <c r="Z135" i="18"/>
  <c r="X135" i="18"/>
  <c r="N135" i="18"/>
  <c r="L135" i="18"/>
  <c r="B135" i="18"/>
  <c r="Z134" i="18"/>
  <c r="X134" i="18"/>
  <c r="N134" i="18"/>
  <c r="L134" i="18"/>
  <c r="B134" i="18"/>
  <c r="Z133" i="18"/>
  <c r="X133" i="18"/>
  <c r="L133" i="18"/>
  <c r="N133" i="18" s="1"/>
  <c r="B133" i="18"/>
  <c r="X132" i="18"/>
  <c r="Z132" i="18" s="1"/>
  <c r="L132" i="18"/>
  <c r="N132" i="18" s="1"/>
  <c r="B132" i="18"/>
  <c r="X131" i="18"/>
  <c r="Z131" i="18" s="1"/>
  <c r="N131" i="18"/>
  <c r="L131" i="18"/>
  <c r="B131" i="18"/>
  <c r="Z130" i="18"/>
  <c r="X130" i="18"/>
  <c r="L130" i="18"/>
  <c r="N130" i="18" s="1"/>
  <c r="B130" i="18"/>
  <c r="Z129" i="18"/>
  <c r="X129" i="18"/>
  <c r="L129" i="18"/>
  <c r="N129" i="18" s="1"/>
  <c r="B129" i="18"/>
  <c r="X128" i="18"/>
  <c r="Z128" i="18" s="1"/>
  <c r="L128" i="18"/>
  <c r="N128" i="18" s="1"/>
  <c r="B128" i="18"/>
  <c r="Z127" i="18"/>
  <c r="X127" i="18"/>
  <c r="N127" i="18"/>
  <c r="L127" i="18"/>
  <c r="B127" i="18"/>
  <c r="Z126" i="18"/>
  <c r="X126" i="18"/>
  <c r="N126" i="18"/>
  <c r="L126" i="18"/>
  <c r="B126" i="18"/>
  <c r="Z125" i="18"/>
  <c r="X125" i="18"/>
  <c r="L125" i="18"/>
  <c r="N125" i="18" s="1"/>
  <c r="B125" i="18"/>
  <c r="Z124" i="18"/>
  <c r="X124" i="18"/>
  <c r="L124" i="18"/>
  <c r="N124" i="18" s="1"/>
  <c r="B124" i="18"/>
  <c r="X123" i="18"/>
  <c r="Z123" i="18" s="1"/>
  <c r="N123" i="18"/>
  <c r="L123" i="18"/>
  <c r="B123" i="18"/>
  <c r="Z122" i="18"/>
  <c r="X122" i="18"/>
  <c r="L122" i="18"/>
  <c r="N122" i="18" s="1"/>
  <c r="B122" i="18"/>
  <c r="T121" i="18"/>
  <c r="P121" i="18"/>
  <c r="H121" i="18"/>
  <c r="N121" i="18" s="1"/>
  <c r="D121" i="18"/>
  <c r="L121" i="18" s="1"/>
  <c r="T119" i="18"/>
  <c r="Z119" i="18" s="1"/>
  <c r="P119" i="18"/>
  <c r="H119" i="18"/>
  <c r="N119" i="18" s="1"/>
  <c r="D119" i="18"/>
  <c r="L119" i="18" s="1"/>
  <c r="B119" i="18"/>
  <c r="T118" i="18"/>
  <c r="Z118" i="18" s="1"/>
  <c r="P118" i="18"/>
  <c r="X118" i="18" s="1"/>
  <c r="L118" i="18"/>
  <c r="H118" i="18"/>
  <c r="N118" i="18" s="1"/>
  <c r="D118" i="18"/>
  <c r="B118" i="18"/>
  <c r="X117" i="18"/>
  <c r="T117" i="18"/>
  <c r="Z117" i="18" s="1"/>
  <c r="P117" i="18"/>
  <c r="H117" i="18"/>
  <c r="N117" i="18" s="1"/>
  <c r="D117" i="18"/>
  <c r="L117" i="18" s="1"/>
  <c r="B117" i="18"/>
  <c r="T116" i="18"/>
  <c r="Z116" i="18" s="1"/>
  <c r="P116" i="18"/>
  <c r="L116" i="18"/>
  <c r="H116" i="18"/>
  <c r="N116" i="18" s="1"/>
  <c r="D116" i="18"/>
  <c r="B116" i="18"/>
  <c r="T115" i="18"/>
  <c r="Z115" i="18" s="1"/>
  <c r="P115" i="18"/>
  <c r="H115" i="18"/>
  <c r="N115" i="18" s="1"/>
  <c r="D115" i="18"/>
  <c r="B115" i="18"/>
  <c r="Z114" i="18"/>
  <c r="X114" i="18"/>
  <c r="T114" i="18"/>
  <c r="P114" i="18"/>
  <c r="H114" i="18"/>
  <c r="D114" i="18"/>
  <c r="L114" i="18" s="1"/>
  <c r="B114" i="18"/>
  <c r="Z113" i="18"/>
  <c r="X113" i="18"/>
  <c r="T113" i="18"/>
  <c r="P113" i="18"/>
  <c r="H113" i="18"/>
  <c r="D113" i="18"/>
  <c r="L113" i="18" s="1"/>
  <c r="N113" i="18" s="1"/>
  <c r="B113" i="18"/>
  <c r="Z112" i="18"/>
  <c r="X112" i="18"/>
  <c r="T112" i="18"/>
  <c r="P112" i="18"/>
  <c r="N112" i="18"/>
  <c r="H112" i="18"/>
  <c r="D112" i="18"/>
  <c r="L112" i="18" s="1"/>
  <c r="B112" i="18"/>
  <c r="T111" i="18"/>
  <c r="P111" i="18"/>
  <c r="X111" i="18" s="1"/>
  <c r="N111" i="18"/>
  <c r="H111" i="18"/>
  <c r="L111" i="18" s="1"/>
  <c r="D111" i="18"/>
  <c r="B111" i="18"/>
  <c r="T110" i="18"/>
  <c r="P110" i="18"/>
  <c r="H110" i="18"/>
  <c r="D110" i="18"/>
  <c r="L110" i="18" s="1"/>
  <c r="B110" i="18"/>
  <c r="Z109" i="18"/>
  <c r="X109" i="18"/>
  <c r="T109" i="18"/>
  <c r="P109" i="18"/>
  <c r="L109" i="18"/>
  <c r="N109" i="18" s="1"/>
  <c r="H109" i="18"/>
  <c r="D109" i="18"/>
  <c r="B109" i="18"/>
  <c r="Z108" i="18"/>
  <c r="X108" i="18"/>
  <c r="T108" i="18"/>
  <c r="P108" i="18"/>
  <c r="H108" i="18"/>
  <c r="D108" i="18"/>
  <c r="L108" i="18" s="1"/>
  <c r="N108" i="18" s="1"/>
  <c r="B108" i="18"/>
  <c r="T107" i="18"/>
  <c r="P107" i="18"/>
  <c r="X107" i="18" s="1"/>
  <c r="H107" i="18"/>
  <c r="L107" i="18" s="1"/>
  <c r="N107" i="18" s="1"/>
  <c r="D107" i="18"/>
  <c r="B107" i="18"/>
  <c r="T106" i="18"/>
  <c r="P106" i="18"/>
  <c r="H106" i="18"/>
  <c r="D106" i="18"/>
  <c r="B106" i="18"/>
  <c r="Z105" i="18"/>
  <c r="X105" i="18"/>
  <c r="T105" i="18"/>
  <c r="P105" i="18"/>
  <c r="N105" i="18"/>
  <c r="L105" i="18"/>
  <c r="H105" i="18"/>
  <c r="D105" i="18"/>
  <c r="B105" i="18"/>
  <c r="Z104" i="18"/>
  <c r="X104" i="18"/>
  <c r="T104" i="18"/>
  <c r="P104" i="18"/>
  <c r="N104" i="18"/>
  <c r="H104" i="18"/>
  <c r="D104" i="18"/>
  <c r="L104" i="18" s="1"/>
  <c r="B104" i="18"/>
  <c r="T103" i="18"/>
  <c r="P103" i="18"/>
  <c r="X103" i="18" s="1"/>
  <c r="H103" i="18"/>
  <c r="L103" i="18" s="1"/>
  <c r="N103" i="18" s="1"/>
  <c r="D103" i="18"/>
  <c r="B103" i="18"/>
  <c r="T102" i="18"/>
  <c r="Z102" i="18" s="1"/>
  <c r="P102" i="18"/>
  <c r="H102" i="18"/>
  <c r="N102" i="18" s="1"/>
  <c r="D102" i="18"/>
  <c r="B102" i="18"/>
  <c r="Z101" i="18"/>
  <c r="X101" i="18"/>
  <c r="T101" i="18"/>
  <c r="P101" i="18"/>
  <c r="N101" i="18"/>
  <c r="L101" i="18"/>
  <c r="H101" i="18"/>
  <c r="D101" i="18"/>
  <c r="B101" i="18"/>
  <c r="Z100" i="18"/>
  <c r="X100" i="18"/>
  <c r="T100" i="18"/>
  <c r="P100" i="18"/>
  <c r="H100" i="18"/>
  <c r="D100" i="18"/>
  <c r="L100" i="18" s="1"/>
  <c r="N100" i="18" s="1"/>
  <c r="B100" i="18"/>
  <c r="T99" i="18"/>
  <c r="Z99" i="18" s="1"/>
  <c r="P99" i="18"/>
  <c r="X99" i="18" s="1"/>
  <c r="H99" i="18"/>
  <c r="L99" i="18" s="1"/>
  <c r="N99" i="18" s="1"/>
  <c r="D99" i="18"/>
  <c r="B99" i="18"/>
  <c r="T98" i="18"/>
  <c r="P98" i="18"/>
  <c r="H98" i="18"/>
  <c r="D98" i="18"/>
  <c r="L98" i="18" s="1"/>
  <c r="B98" i="18"/>
  <c r="Z97" i="18"/>
  <c r="X97" i="18"/>
  <c r="T97" i="18"/>
  <c r="P97" i="18"/>
  <c r="N97" i="18"/>
  <c r="L97" i="18"/>
  <c r="H97" i="18"/>
  <c r="D97" i="18"/>
  <c r="B97" i="18"/>
  <c r="Z96" i="18"/>
  <c r="X96" i="18"/>
  <c r="T96" i="18"/>
  <c r="P96" i="18"/>
  <c r="H96" i="18"/>
  <c r="D96" i="18"/>
  <c r="L96" i="18" s="1"/>
  <c r="N96" i="18" s="1"/>
  <c r="B96" i="18"/>
  <c r="T95" i="18"/>
  <c r="Z95" i="18" s="1"/>
  <c r="P95" i="18"/>
  <c r="X95" i="18" s="1"/>
  <c r="H95" i="18"/>
  <c r="L95" i="18" s="1"/>
  <c r="N95" i="18" s="1"/>
  <c r="D95" i="18"/>
  <c r="B95" i="18"/>
  <c r="T94" i="18"/>
  <c r="P94" i="18"/>
  <c r="H94" i="18"/>
  <c r="D94" i="18"/>
  <c r="B94" i="18"/>
  <c r="Z93" i="18"/>
  <c r="X93" i="18"/>
  <c r="T93" i="18"/>
  <c r="P93" i="18"/>
  <c r="L93" i="18"/>
  <c r="N93" i="18" s="1"/>
  <c r="H93" i="18"/>
  <c r="D93" i="18"/>
  <c r="B93" i="18"/>
  <c r="Z92" i="18"/>
  <c r="X92" i="18"/>
  <c r="T92" i="18"/>
  <c r="P92" i="18"/>
  <c r="H92" i="18"/>
  <c r="D92" i="18"/>
  <c r="L92" i="18" s="1"/>
  <c r="N92" i="18" s="1"/>
  <c r="B92" i="18"/>
  <c r="T91" i="18"/>
  <c r="P91" i="18"/>
  <c r="X91" i="18" s="1"/>
  <c r="H91" i="18"/>
  <c r="L91" i="18" s="1"/>
  <c r="N91" i="18" s="1"/>
  <c r="D91" i="18"/>
  <c r="B91" i="18"/>
  <c r="T90" i="18"/>
  <c r="P90" i="18"/>
  <c r="H90" i="18"/>
  <c r="D90" i="18"/>
  <c r="L90" i="18" s="1"/>
  <c r="B90" i="18"/>
  <c r="Z89" i="18"/>
  <c r="X89" i="18"/>
  <c r="T89" i="18"/>
  <c r="P89" i="18"/>
  <c r="L89" i="18"/>
  <c r="N89" i="18" s="1"/>
  <c r="H89" i="18"/>
  <c r="D89" i="18"/>
  <c r="B89" i="18"/>
  <c r="Z88" i="18"/>
  <c r="X88" i="18"/>
  <c r="T88" i="18"/>
  <c r="P88" i="18"/>
  <c r="H88" i="18"/>
  <c r="D88" i="18"/>
  <c r="L88" i="18" s="1"/>
  <c r="N88" i="18" s="1"/>
  <c r="B88" i="18"/>
  <c r="T87" i="18"/>
  <c r="P87" i="18"/>
  <c r="X87" i="18" s="1"/>
  <c r="H87" i="18"/>
  <c r="L87" i="18" s="1"/>
  <c r="N87" i="18" s="1"/>
  <c r="D87" i="18"/>
  <c r="B87" i="18"/>
  <c r="T86" i="18"/>
  <c r="P86" i="18"/>
  <c r="H86" i="18"/>
  <c r="N86" i="18" s="1"/>
  <c r="D86" i="18"/>
  <c r="L86" i="18" s="1"/>
  <c r="B86" i="18"/>
  <c r="Z85" i="18"/>
  <c r="X85" i="18"/>
  <c r="T85" i="18"/>
  <c r="P85" i="18"/>
  <c r="N85" i="18"/>
  <c r="L85" i="18"/>
  <c r="H85" i="18"/>
  <c r="D85" i="18"/>
  <c r="B85" i="18"/>
  <c r="Z84" i="18"/>
  <c r="X84" i="18"/>
  <c r="T84" i="18"/>
  <c r="P84" i="18"/>
  <c r="H84" i="18"/>
  <c r="D84" i="18"/>
  <c r="L84" i="18" s="1"/>
  <c r="N84" i="18" s="1"/>
  <c r="B84" i="18"/>
  <c r="T83" i="18"/>
  <c r="Z83" i="18" s="1"/>
  <c r="P83" i="18"/>
  <c r="X83" i="18" s="1"/>
  <c r="H83" i="18"/>
  <c r="L83" i="18" s="1"/>
  <c r="N83" i="18" s="1"/>
  <c r="D83" i="18"/>
  <c r="B83" i="18"/>
  <c r="T82" i="18"/>
  <c r="P82" i="18"/>
  <c r="H82" i="18"/>
  <c r="D82" i="18"/>
  <c r="L82" i="18" s="1"/>
  <c r="B82" i="18"/>
  <c r="Z81" i="18"/>
  <c r="X81" i="18"/>
  <c r="T81" i="18"/>
  <c r="P81" i="18"/>
  <c r="L81" i="18"/>
  <c r="N81" i="18" s="1"/>
  <c r="H81" i="18"/>
  <c r="D81" i="18"/>
  <c r="B81" i="18"/>
  <c r="Z80" i="18"/>
  <c r="X80" i="18"/>
  <c r="T80" i="18"/>
  <c r="P80" i="18"/>
  <c r="N80" i="18"/>
  <c r="H80" i="18"/>
  <c r="D80" i="18"/>
  <c r="L80" i="18" s="1"/>
  <c r="B80" i="18"/>
  <c r="T79" i="18"/>
  <c r="Z79" i="18" s="1"/>
  <c r="P79" i="18"/>
  <c r="X79" i="18" s="1"/>
  <c r="H79" i="18"/>
  <c r="L79" i="18" s="1"/>
  <c r="N79" i="18" s="1"/>
  <c r="D79" i="18"/>
  <c r="B79" i="18"/>
  <c r="T78" i="18"/>
  <c r="P78" i="18"/>
  <c r="H78" i="18"/>
  <c r="D78" i="18"/>
  <c r="L78" i="18" s="1"/>
  <c r="B78" i="18"/>
  <c r="Z77" i="18"/>
  <c r="X77" i="18"/>
  <c r="T77" i="18"/>
  <c r="P77" i="18"/>
  <c r="N77" i="18"/>
  <c r="L77" i="18"/>
  <c r="H77" i="18"/>
  <c r="D77" i="18"/>
  <c r="B77" i="18"/>
  <c r="Z76" i="18"/>
  <c r="X76" i="18"/>
  <c r="T76" i="18"/>
  <c r="P76" i="18"/>
  <c r="N76" i="18"/>
  <c r="L76" i="18"/>
  <c r="H76" i="18"/>
  <c r="D76" i="18"/>
  <c r="B76" i="18"/>
  <c r="T75" i="18"/>
  <c r="Z75" i="18" s="1"/>
  <c r="P75" i="18"/>
  <c r="X75" i="18" s="1"/>
  <c r="N75" i="18"/>
  <c r="L75" i="18"/>
  <c r="H75" i="18"/>
  <c r="D75" i="18"/>
  <c r="B75" i="18"/>
  <c r="T74" i="18"/>
  <c r="P74" i="18"/>
  <c r="H74" i="18"/>
  <c r="D74" i="18"/>
  <c r="B74" i="18"/>
  <c r="T73" i="18"/>
  <c r="X73" i="18" s="1"/>
  <c r="Z73" i="18" s="1"/>
  <c r="P73" i="18"/>
  <c r="L73" i="18"/>
  <c r="N73" i="18" s="1"/>
  <c r="H73" i="18"/>
  <c r="D73" i="18"/>
  <c r="B73" i="18"/>
  <c r="Z72" i="18"/>
  <c r="X72" i="18"/>
  <c r="T72" i="18"/>
  <c r="P72" i="18"/>
  <c r="L72" i="18"/>
  <c r="N72" i="18" s="1"/>
  <c r="H72" i="18"/>
  <c r="D72" i="18"/>
  <c r="B72" i="18"/>
  <c r="T71" i="18"/>
  <c r="Z71" i="18" s="1"/>
  <c r="P71" i="18"/>
  <c r="X71" i="18" s="1"/>
  <c r="N71" i="18"/>
  <c r="L71" i="18"/>
  <c r="H71" i="18"/>
  <c r="D71" i="18"/>
  <c r="B71" i="18"/>
  <c r="T70" i="18"/>
  <c r="P70" i="18"/>
  <c r="H70" i="18"/>
  <c r="D70" i="18"/>
  <c r="L70" i="18" s="1"/>
  <c r="B70" i="18"/>
  <c r="T69" i="18"/>
  <c r="X69" i="18" s="1"/>
  <c r="Z69" i="18" s="1"/>
  <c r="P69" i="18"/>
  <c r="L69" i="18"/>
  <c r="N69" i="18" s="1"/>
  <c r="H69" i="18"/>
  <c r="D69" i="18"/>
  <c r="B69" i="18"/>
  <c r="Z68" i="18"/>
  <c r="X68" i="18"/>
  <c r="T68" i="18"/>
  <c r="P68" i="18"/>
  <c r="L68" i="18"/>
  <c r="N68" i="18" s="1"/>
  <c r="H68" i="18"/>
  <c r="D68" i="18"/>
  <c r="B68" i="18"/>
  <c r="T67" i="18"/>
  <c r="P67" i="18"/>
  <c r="X67" i="18" s="1"/>
  <c r="N67" i="18"/>
  <c r="L67" i="18"/>
  <c r="H67" i="18"/>
  <c r="D67" i="18"/>
  <c r="B67" i="18"/>
  <c r="T66" i="18"/>
  <c r="P66" i="18"/>
  <c r="H66" i="18"/>
  <c r="D66" i="18"/>
  <c r="L66" i="18" s="1"/>
  <c r="B66" i="18"/>
  <c r="T65" i="18"/>
  <c r="X65" i="18" s="1"/>
  <c r="Z65" i="18" s="1"/>
  <c r="P65" i="18"/>
  <c r="L65" i="18"/>
  <c r="N65" i="18" s="1"/>
  <c r="H65" i="18"/>
  <c r="D65" i="18"/>
  <c r="B65" i="18"/>
  <c r="Z64" i="18"/>
  <c r="X64" i="18"/>
  <c r="T64" i="18"/>
  <c r="P64" i="18"/>
  <c r="L64" i="18"/>
  <c r="N64" i="18" s="1"/>
  <c r="H64" i="18"/>
  <c r="D64" i="18"/>
  <c r="B64" i="18"/>
  <c r="T63" i="18"/>
  <c r="Z63" i="18" s="1"/>
  <c r="P63" i="18"/>
  <c r="X63" i="18" s="1"/>
  <c r="N63" i="18"/>
  <c r="L63" i="18"/>
  <c r="H63" i="18"/>
  <c r="D63" i="18"/>
  <c r="B63" i="18"/>
  <c r="T62" i="18"/>
  <c r="P62" i="18"/>
  <c r="H62" i="18"/>
  <c r="D62" i="18"/>
  <c r="L62" i="18" s="1"/>
  <c r="B62" i="18"/>
  <c r="T61" i="18"/>
  <c r="X61" i="18" s="1"/>
  <c r="Z61" i="18" s="1"/>
  <c r="P61" i="18"/>
  <c r="L61" i="18"/>
  <c r="N61" i="18" s="1"/>
  <c r="H61" i="18"/>
  <c r="D61" i="18"/>
  <c r="B61" i="18"/>
  <c r="Z60" i="18"/>
  <c r="X60" i="18"/>
  <c r="T60" i="18"/>
  <c r="P60" i="18"/>
  <c r="L60" i="18"/>
  <c r="N60" i="18" s="1"/>
  <c r="H60" i="18"/>
  <c r="D60" i="18"/>
  <c r="B60" i="18"/>
  <c r="T59" i="18"/>
  <c r="Z59" i="18" s="1"/>
  <c r="P59" i="18"/>
  <c r="X59" i="18" s="1"/>
  <c r="N59" i="18"/>
  <c r="L59" i="18"/>
  <c r="H59" i="18"/>
  <c r="D59" i="18"/>
  <c r="B59" i="18"/>
  <c r="T58" i="18"/>
  <c r="P58" i="18"/>
  <c r="H58" i="18"/>
  <c r="D58" i="18"/>
  <c r="L58" i="18" s="1"/>
  <c r="B58" i="18"/>
  <c r="T57" i="18"/>
  <c r="X57" i="18" s="1"/>
  <c r="Z57" i="18" s="1"/>
  <c r="P57" i="18"/>
  <c r="L57" i="18"/>
  <c r="N57" i="18" s="1"/>
  <c r="H57" i="18"/>
  <c r="D57" i="18"/>
  <c r="B57" i="18"/>
  <c r="Z56" i="18"/>
  <c r="X56" i="18"/>
  <c r="T56" i="18"/>
  <c r="P56" i="18"/>
  <c r="N56" i="18"/>
  <c r="L56" i="18"/>
  <c r="H56" i="18"/>
  <c r="D56" i="18"/>
  <c r="B56" i="18"/>
  <c r="T55" i="18"/>
  <c r="P55" i="18"/>
  <c r="X55" i="18" s="1"/>
  <c r="N55" i="18"/>
  <c r="L55" i="18"/>
  <c r="H55" i="18"/>
  <c r="D55" i="18"/>
  <c r="B55" i="18"/>
  <c r="T54" i="18"/>
  <c r="P54" i="18"/>
  <c r="H54" i="18"/>
  <c r="D54" i="18"/>
  <c r="B54" i="18"/>
  <c r="T53" i="18"/>
  <c r="X53" i="18" s="1"/>
  <c r="Z53" i="18" s="1"/>
  <c r="P53" i="18"/>
  <c r="L53" i="18"/>
  <c r="N53" i="18" s="1"/>
  <c r="H53" i="18"/>
  <c r="D53" i="18"/>
  <c r="B53" i="18"/>
  <c r="Z52" i="18"/>
  <c r="X52" i="18"/>
  <c r="T52" i="18"/>
  <c r="P52" i="18"/>
  <c r="L52" i="18"/>
  <c r="N52" i="18" s="1"/>
  <c r="H52" i="18"/>
  <c r="D52" i="18"/>
  <c r="B52" i="18"/>
  <c r="T51" i="18"/>
  <c r="P51" i="18"/>
  <c r="X51" i="18" s="1"/>
  <c r="N51" i="18"/>
  <c r="L51" i="18"/>
  <c r="H51" i="18"/>
  <c r="D51" i="18"/>
  <c r="B51" i="18"/>
  <c r="T50" i="18"/>
  <c r="P50" i="18"/>
  <c r="H50" i="18"/>
  <c r="D50" i="18"/>
  <c r="L50" i="18" s="1"/>
  <c r="B50" i="18"/>
  <c r="T49" i="18"/>
  <c r="X49" i="18" s="1"/>
  <c r="Z49" i="18" s="1"/>
  <c r="P49" i="18"/>
  <c r="L49" i="18"/>
  <c r="N49" i="18" s="1"/>
  <c r="H49" i="18"/>
  <c r="D49" i="18"/>
  <c r="B49" i="18"/>
  <c r="Z48" i="18"/>
  <c r="X48" i="18"/>
  <c r="T48" i="18"/>
  <c r="P48" i="18"/>
  <c r="L48" i="18"/>
  <c r="N48" i="18" s="1"/>
  <c r="H48" i="18"/>
  <c r="D48" i="18"/>
  <c r="B48" i="18"/>
  <c r="T47" i="18"/>
  <c r="Z47" i="18" s="1"/>
  <c r="P47" i="18"/>
  <c r="X47" i="18" s="1"/>
  <c r="N47" i="18"/>
  <c r="L47" i="18"/>
  <c r="H47" i="18"/>
  <c r="D47" i="18"/>
  <c r="B47" i="18"/>
  <c r="T46" i="18"/>
  <c r="P46" i="18"/>
  <c r="H46" i="18"/>
  <c r="D46" i="18"/>
  <c r="B46" i="18"/>
  <c r="T45" i="18"/>
  <c r="X45" i="18" s="1"/>
  <c r="Z45" i="18" s="1"/>
  <c r="P45" i="18"/>
  <c r="L45" i="18"/>
  <c r="N45" i="18" s="1"/>
  <c r="H45" i="18"/>
  <c r="D45" i="18"/>
  <c r="B45" i="18"/>
  <c r="Z44" i="18"/>
  <c r="X44" i="18"/>
  <c r="T44" i="18"/>
  <c r="P44" i="18"/>
  <c r="L44" i="18"/>
  <c r="N44" i="18" s="1"/>
  <c r="H44" i="18"/>
  <c r="D44" i="18"/>
  <c r="B44" i="18"/>
  <c r="T43" i="18"/>
  <c r="P43" i="18"/>
  <c r="X43" i="18" s="1"/>
  <c r="N43" i="18"/>
  <c r="L43" i="18"/>
  <c r="H43" i="18"/>
  <c r="D43" i="18"/>
  <c r="B43" i="18"/>
  <c r="T42" i="18"/>
  <c r="P42" i="18"/>
  <c r="H42" i="18"/>
  <c r="D42" i="18"/>
  <c r="B42" i="18"/>
  <c r="T41" i="18"/>
  <c r="X41" i="18" s="1"/>
  <c r="Z41" i="18" s="1"/>
  <c r="P41" i="18"/>
  <c r="L41" i="18"/>
  <c r="N41" i="18" s="1"/>
  <c r="H41" i="18"/>
  <c r="D41" i="18"/>
  <c r="B41" i="18"/>
  <c r="Z40" i="18"/>
  <c r="X40" i="18"/>
  <c r="T40" i="18"/>
  <c r="P40" i="18"/>
  <c r="L40" i="18"/>
  <c r="N40" i="18" s="1"/>
  <c r="H40" i="18"/>
  <c r="D40" i="18"/>
  <c r="B40" i="18"/>
  <c r="T39" i="18"/>
  <c r="P39" i="18"/>
  <c r="X39" i="18" s="1"/>
  <c r="N39" i="18"/>
  <c r="L39" i="18"/>
  <c r="H39" i="18"/>
  <c r="D39" i="18"/>
  <c r="B39" i="18"/>
  <c r="T38" i="18"/>
  <c r="P38" i="18"/>
  <c r="H38" i="18"/>
  <c r="D38" i="18"/>
  <c r="L38" i="18" s="1"/>
  <c r="B38" i="18"/>
  <c r="T37" i="18"/>
  <c r="P37" i="18"/>
  <c r="L37" i="18"/>
  <c r="N37" i="18" s="1"/>
  <c r="H37" i="18"/>
  <c r="D37" i="18"/>
  <c r="B37" i="18"/>
  <c r="Z36" i="18"/>
  <c r="X36" i="18"/>
  <c r="T36" i="18"/>
  <c r="P36" i="18"/>
  <c r="L36" i="18"/>
  <c r="N36" i="18" s="1"/>
  <c r="H36" i="18"/>
  <c r="D36" i="18"/>
  <c r="B36" i="18"/>
  <c r="T35" i="18"/>
  <c r="Z35" i="18" s="1"/>
  <c r="P35" i="18"/>
  <c r="X35" i="18" s="1"/>
  <c r="N35" i="18"/>
  <c r="L35" i="18"/>
  <c r="H35" i="18"/>
  <c r="D35" i="18"/>
  <c r="B35" i="18"/>
  <c r="T34" i="18"/>
  <c r="P34" i="18"/>
  <c r="H34" i="18"/>
  <c r="D34" i="18"/>
  <c r="B34" i="18"/>
  <c r="T33" i="18"/>
  <c r="P33" i="18"/>
  <c r="L33" i="18"/>
  <c r="N33" i="18" s="1"/>
  <c r="H33" i="18"/>
  <c r="D33" i="18"/>
  <c r="B33" i="18"/>
  <c r="Z32" i="18"/>
  <c r="X32" i="18"/>
  <c r="T32" i="18"/>
  <c r="P32" i="18"/>
  <c r="L32" i="18"/>
  <c r="N32" i="18" s="1"/>
  <c r="H32" i="18"/>
  <c r="D32" i="18"/>
  <c r="B32" i="18"/>
  <c r="T31" i="18"/>
  <c r="P31" i="18"/>
  <c r="X31" i="18" s="1"/>
  <c r="N31" i="18"/>
  <c r="L31" i="18"/>
  <c r="H31" i="18"/>
  <c r="D31" i="18"/>
  <c r="B31" i="18"/>
  <c r="T30" i="18"/>
  <c r="P30" i="18"/>
  <c r="H30" i="18"/>
  <c r="D30" i="18"/>
  <c r="B30" i="18"/>
  <c r="T29" i="18"/>
  <c r="P29" i="18"/>
  <c r="L29" i="18"/>
  <c r="N29" i="18" s="1"/>
  <c r="H29" i="18"/>
  <c r="D29" i="18"/>
  <c r="B29" i="18"/>
  <c r="Z28" i="18"/>
  <c r="X28" i="18"/>
  <c r="T28" i="18"/>
  <c r="P28" i="18"/>
  <c r="L28" i="18"/>
  <c r="N28" i="18" s="1"/>
  <c r="H28" i="18"/>
  <c r="D28" i="18"/>
  <c r="B28" i="18"/>
  <c r="T27" i="18"/>
  <c r="P27" i="18"/>
  <c r="X27" i="18" s="1"/>
  <c r="N27" i="18"/>
  <c r="L27" i="18"/>
  <c r="H27" i="18"/>
  <c r="D27" i="18"/>
  <c r="B27" i="18"/>
  <c r="T26" i="18"/>
  <c r="P26" i="18"/>
  <c r="H26" i="18"/>
  <c r="D26" i="18"/>
  <c r="B26" i="18"/>
  <c r="T25" i="18"/>
  <c r="P25" i="18"/>
  <c r="L25" i="18"/>
  <c r="N25" i="18" s="1"/>
  <c r="H25" i="18"/>
  <c r="D25" i="18"/>
  <c r="B25" i="18"/>
  <c r="Z24" i="18"/>
  <c r="X24" i="18"/>
  <c r="T24" i="18"/>
  <c r="P24" i="18"/>
  <c r="L24" i="18"/>
  <c r="N24" i="18" s="1"/>
  <c r="H24" i="18"/>
  <c r="D24" i="18"/>
  <c r="B24" i="18"/>
  <c r="T23" i="18"/>
  <c r="P23" i="18"/>
  <c r="X23" i="18" s="1"/>
  <c r="N23" i="18"/>
  <c r="L23" i="18"/>
  <c r="H23" i="18"/>
  <c r="D23" i="18"/>
  <c r="B23" i="18"/>
  <c r="T22" i="18"/>
  <c r="P22" i="18"/>
  <c r="H22" i="18"/>
  <c r="D22" i="18"/>
  <c r="B22" i="18"/>
  <c r="T21" i="18"/>
  <c r="P21" i="18"/>
  <c r="L21" i="18"/>
  <c r="N21" i="18" s="1"/>
  <c r="H21" i="18"/>
  <c r="D21" i="18"/>
  <c r="B21" i="18"/>
  <c r="Z20" i="18"/>
  <c r="X20" i="18"/>
  <c r="T20" i="18"/>
  <c r="P20" i="18"/>
  <c r="L20" i="18"/>
  <c r="N20" i="18" s="1"/>
  <c r="H20" i="18"/>
  <c r="D20" i="18"/>
  <c r="B20" i="18"/>
  <c r="T19" i="18"/>
  <c r="Z19" i="18" s="1"/>
  <c r="P19" i="18"/>
  <c r="X19" i="18" s="1"/>
  <c r="N19" i="18"/>
  <c r="L19" i="18"/>
  <c r="H19" i="18"/>
  <c r="D19" i="18"/>
  <c r="B19" i="18"/>
  <c r="T18" i="18"/>
  <c r="P18" i="18"/>
  <c r="H18" i="18"/>
  <c r="D18" i="18"/>
  <c r="B18" i="18"/>
  <c r="T17" i="18"/>
  <c r="Z17" i="18" s="1"/>
  <c r="P17" i="18"/>
  <c r="N17" i="18"/>
  <c r="L17" i="18"/>
  <c r="H17" i="18"/>
  <c r="D17" i="18"/>
  <c r="B17" i="18"/>
  <c r="Z16" i="18"/>
  <c r="X16" i="18"/>
  <c r="T16" i="18"/>
  <c r="P16" i="18"/>
  <c r="L16" i="18"/>
  <c r="N16" i="18" s="1"/>
  <c r="H16" i="18"/>
  <c r="D16" i="18"/>
  <c r="B16" i="18"/>
  <c r="T15" i="18"/>
  <c r="T12" i="18" s="1"/>
  <c r="P15" i="18"/>
  <c r="N15" i="18"/>
  <c r="L15" i="18"/>
  <c r="H15" i="18"/>
  <c r="D15" i="18"/>
  <c r="B15" i="18"/>
  <c r="T14" i="18"/>
  <c r="P14" i="18"/>
  <c r="H14" i="18"/>
  <c r="D14" i="18"/>
  <c r="D12" i="18" s="1"/>
  <c r="B14" i="18"/>
  <c r="T13" i="18"/>
  <c r="P13" i="18"/>
  <c r="L13" i="18"/>
  <c r="N13" i="18" s="1"/>
  <c r="H13" i="18"/>
  <c r="D13" i="18"/>
  <c r="B13" i="18"/>
  <c r="D4" i="18"/>
  <c r="X252" i="15"/>
  <c r="Z252" i="15" s="1"/>
  <c r="N252" i="15"/>
  <c r="L252" i="15"/>
  <c r="T248" i="15"/>
  <c r="Z248" i="15" s="1"/>
  <c r="P248" i="15"/>
  <c r="X248" i="15" s="1"/>
  <c r="N248" i="15"/>
  <c r="L248" i="15"/>
  <c r="H248" i="15"/>
  <c r="D248" i="15"/>
  <c r="B248" i="15"/>
  <c r="T247" i="15"/>
  <c r="Z247" i="15" s="1"/>
  <c r="P247" i="15"/>
  <c r="X247" i="15" s="1"/>
  <c r="H247" i="15"/>
  <c r="L247" i="15" s="1"/>
  <c r="N247" i="15" s="1"/>
  <c r="D247" i="15"/>
  <c r="B247" i="15"/>
  <c r="T246" i="15"/>
  <c r="P246" i="15"/>
  <c r="X246" i="15" s="1"/>
  <c r="H246" i="15"/>
  <c r="D246" i="15"/>
  <c r="L246" i="15" s="1"/>
  <c r="N246" i="15" s="1"/>
  <c r="B246" i="15"/>
  <c r="X245" i="15"/>
  <c r="T245" i="15"/>
  <c r="Z245" i="15" s="1"/>
  <c r="P245" i="15"/>
  <c r="L245" i="15"/>
  <c r="H245" i="15"/>
  <c r="N245" i="15" s="1"/>
  <c r="D245" i="15"/>
  <c r="B245" i="15"/>
  <c r="X244" i="15"/>
  <c r="Z244" i="15" s="1"/>
  <c r="T244" i="15"/>
  <c r="T241" i="15" s="1"/>
  <c r="P244" i="15"/>
  <c r="H244" i="15"/>
  <c r="D244" i="15"/>
  <c r="L244" i="15" s="1"/>
  <c r="B244" i="15"/>
  <c r="Z243" i="15"/>
  <c r="X243" i="15"/>
  <c r="T243" i="15"/>
  <c r="P243" i="15"/>
  <c r="P241" i="15" s="1"/>
  <c r="H243" i="15"/>
  <c r="N243" i="15" s="1"/>
  <c r="D243" i="15"/>
  <c r="L243" i="15" s="1"/>
  <c r="B243" i="15"/>
  <c r="Z242" i="15"/>
  <c r="X242" i="15"/>
  <c r="T242" i="15"/>
  <c r="P242" i="15"/>
  <c r="H242" i="15"/>
  <c r="N242" i="15" s="1"/>
  <c r="D242" i="15"/>
  <c r="B242" i="15"/>
  <c r="H241" i="15"/>
  <c r="Z239" i="15"/>
  <c r="X239" i="15"/>
  <c r="L239" i="15"/>
  <c r="N239" i="15" s="1"/>
  <c r="B239" i="15"/>
  <c r="X238" i="15"/>
  <c r="Z238" i="15" s="1"/>
  <c r="T238" i="15"/>
  <c r="P238" i="15"/>
  <c r="H238" i="15"/>
  <c r="D238" i="15"/>
  <c r="L238" i="15" s="1"/>
  <c r="B238" i="15"/>
  <c r="Z237" i="15"/>
  <c r="X237" i="15"/>
  <c r="L237" i="15"/>
  <c r="N237" i="15" s="1"/>
  <c r="B237" i="15"/>
  <c r="X236" i="15"/>
  <c r="Z236" i="15" s="1"/>
  <c r="N236" i="15"/>
  <c r="L236" i="15"/>
  <c r="B236" i="15"/>
  <c r="X235" i="15"/>
  <c r="Z235" i="15" s="1"/>
  <c r="L235" i="15"/>
  <c r="N235" i="15" s="1"/>
  <c r="B235" i="15"/>
  <c r="T234" i="15"/>
  <c r="P234" i="15"/>
  <c r="X234" i="15" s="1"/>
  <c r="Z234" i="15" s="1"/>
  <c r="H234" i="15"/>
  <c r="D234" i="15"/>
  <c r="L234" i="15" s="1"/>
  <c r="B234" i="15"/>
  <c r="X233" i="15"/>
  <c r="Z233" i="15" s="1"/>
  <c r="N233" i="15"/>
  <c r="L233" i="15"/>
  <c r="B233" i="15"/>
  <c r="Z232" i="15"/>
  <c r="X232" i="15"/>
  <c r="T232" i="15"/>
  <c r="P232" i="15"/>
  <c r="H232" i="15"/>
  <c r="N232" i="15" s="1"/>
  <c r="D232" i="15"/>
  <c r="L232" i="15" s="1"/>
  <c r="B232" i="15"/>
  <c r="Z231" i="15"/>
  <c r="X231" i="15"/>
  <c r="L231" i="15"/>
  <c r="N231" i="15" s="1"/>
  <c r="B231" i="15"/>
  <c r="X230" i="15"/>
  <c r="Z230" i="15" s="1"/>
  <c r="N230" i="15"/>
  <c r="L230" i="15"/>
  <c r="B230" i="15"/>
  <c r="T229" i="15"/>
  <c r="Z229" i="15" s="1"/>
  <c r="P229" i="15"/>
  <c r="X229" i="15" s="1"/>
  <c r="H229" i="15"/>
  <c r="L229" i="15" s="1"/>
  <c r="N229" i="15" s="1"/>
  <c r="D229" i="15"/>
  <c r="B229" i="15"/>
  <c r="X228" i="15"/>
  <c r="Z228" i="15" s="1"/>
  <c r="N228" i="15"/>
  <c r="L228" i="15"/>
  <c r="B228" i="15"/>
  <c r="X227" i="15"/>
  <c r="Z227" i="15" s="1"/>
  <c r="L227" i="15"/>
  <c r="N227" i="15" s="1"/>
  <c r="B227" i="15"/>
  <c r="Z226" i="15"/>
  <c r="X226" i="15"/>
  <c r="L226" i="15"/>
  <c r="N226" i="15" s="1"/>
  <c r="B226" i="15"/>
  <c r="Z225" i="15"/>
  <c r="X225" i="15"/>
  <c r="L225" i="15"/>
  <c r="N225" i="15" s="1"/>
  <c r="B225" i="15"/>
  <c r="X224" i="15"/>
  <c r="Z224" i="15" s="1"/>
  <c r="N224" i="15"/>
  <c r="L224" i="15"/>
  <c r="B224" i="15"/>
  <c r="X223" i="15"/>
  <c r="Z223" i="15" s="1"/>
  <c r="N223" i="15"/>
  <c r="L223" i="15"/>
  <c r="B223" i="15"/>
  <c r="T222" i="15"/>
  <c r="P222" i="15"/>
  <c r="X222" i="15" s="1"/>
  <c r="Z222" i="15" s="1"/>
  <c r="H222" i="15"/>
  <c r="D222" i="15"/>
  <c r="L222" i="15" s="1"/>
  <c r="B222" i="15"/>
  <c r="X221" i="15"/>
  <c r="Z221" i="15" s="1"/>
  <c r="N221" i="15"/>
  <c r="L221" i="15"/>
  <c r="B221" i="15"/>
  <c r="Z220" i="15"/>
  <c r="X220" i="15"/>
  <c r="N220" i="15"/>
  <c r="L220" i="15"/>
  <c r="B220" i="15"/>
  <c r="X219" i="15"/>
  <c r="T219" i="15"/>
  <c r="Z219" i="15" s="1"/>
  <c r="P219" i="15"/>
  <c r="L219" i="15"/>
  <c r="H219" i="15"/>
  <c r="N219" i="15" s="1"/>
  <c r="D219" i="15"/>
  <c r="B219" i="15"/>
  <c r="X218" i="15"/>
  <c r="Z218" i="15" s="1"/>
  <c r="N218" i="15"/>
  <c r="L218" i="15"/>
  <c r="B218" i="15"/>
  <c r="Z217" i="15"/>
  <c r="X217" i="15"/>
  <c r="N217" i="15"/>
  <c r="L217" i="15"/>
  <c r="B217" i="15"/>
  <c r="Z216" i="15"/>
  <c r="X216" i="15"/>
  <c r="L216" i="15"/>
  <c r="N216" i="15" s="1"/>
  <c r="B216" i="15"/>
  <c r="Z215" i="15"/>
  <c r="X215" i="15"/>
  <c r="L215" i="15"/>
  <c r="N215" i="15" s="1"/>
  <c r="B215" i="15"/>
  <c r="X214" i="15"/>
  <c r="Z214" i="15" s="1"/>
  <c r="T214" i="15"/>
  <c r="P214" i="15"/>
  <c r="H214" i="15"/>
  <c r="N214" i="15" s="1"/>
  <c r="D214" i="15"/>
  <c r="L214" i="15" s="1"/>
  <c r="B214" i="15"/>
  <c r="Z213" i="15"/>
  <c r="X213" i="15"/>
  <c r="L213" i="15"/>
  <c r="N213" i="15" s="1"/>
  <c r="B213" i="15"/>
  <c r="X212" i="15"/>
  <c r="Z212" i="15" s="1"/>
  <c r="N212" i="15"/>
  <c r="L212" i="15"/>
  <c r="B212" i="15"/>
  <c r="X211" i="15"/>
  <c r="Z211" i="15" s="1"/>
  <c r="N211" i="15"/>
  <c r="L211" i="15"/>
  <c r="B211" i="15"/>
  <c r="T210" i="15"/>
  <c r="P210" i="15"/>
  <c r="X210" i="15" s="1"/>
  <c r="Z210" i="15" s="1"/>
  <c r="H210" i="15"/>
  <c r="D210" i="15"/>
  <c r="L210" i="15" s="1"/>
  <c r="B210" i="15"/>
  <c r="X209" i="15"/>
  <c r="Z209" i="15" s="1"/>
  <c r="N209" i="15"/>
  <c r="L209" i="15"/>
  <c r="B209" i="15"/>
  <c r="Z208" i="15"/>
  <c r="X208" i="15"/>
  <c r="N208" i="15"/>
  <c r="L208" i="15"/>
  <c r="B208" i="15"/>
  <c r="X207" i="15"/>
  <c r="Z207" i="15" s="1"/>
  <c r="N207" i="15"/>
  <c r="L207" i="15"/>
  <c r="B207" i="15"/>
  <c r="T206" i="15"/>
  <c r="Z206" i="15" s="1"/>
  <c r="P206" i="15"/>
  <c r="X206" i="15" s="1"/>
  <c r="N206" i="15"/>
  <c r="L206" i="15"/>
  <c r="H206" i="15"/>
  <c r="D206" i="15"/>
  <c r="B206" i="15"/>
  <c r="Z205" i="15"/>
  <c r="X205" i="15"/>
  <c r="N205" i="15"/>
  <c r="L205" i="15"/>
  <c r="B205" i="15"/>
  <c r="T204" i="15"/>
  <c r="Z204" i="15" s="1"/>
  <c r="P204" i="15"/>
  <c r="X204" i="15" s="1"/>
  <c r="L204" i="15"/>
  <c r="N204" i="15" s="1"/>
  <c r="H204" i="15"/>
  <c r="D204" i="15"/>
  <c r="B204" i="15"/>
  <c r="X203" i="15"/>
  <c r="Z203" i="15" s="1"/>
  <c r="N203" i="15"/>
  <c r="L203" i="15"/>
  <c r="B203" i="15"/>
  <c r="T202" i="15"/>
  <c r="P202" i="15"/>
  <c r="X202" i="15" s="1"/>
  <c r="Z202" i="15" s="1"/>
  <c r="H202" i="15"/>
  <c r="N202" i="15" s="1"/>
  <c r="D202" i="15"/>
  <c r="B202" i="15"/>
  <c r="X201" i="15"/>
  <c r="Z201" i="15" s="1"/>
  <c r="N201" i="15"/>
  <c r="L201" i="15"/>
  <c r="B201" i="15"/>
  <c r="Z200" i="15"/>
  <c r="X200" i="15"/>
  <c r="T200" i="15"/>
  <c r="P200" i="15"/>
  <c r="H200" i="15"/>
  <c r="N200" i="15" s="1"/>
  <c r="D200" i="15"/>
  <c r="L200" i="15" s="1"/>
  <c r="B200" i="15"/>
  <c r="Z199" i="15"/>
  <c r="X199" i="15"/>
  <c r="L199" i="15"/>
  <c r="N199" i="15" s="1"/>
  <c r="B199" i="15"/>
  <c r="X198" i="15"/>
  <c r="Z198" i="15" s="1"/>
  <c r="T198" i="15"/>
  <c r="P198" i="15"/>
  <c r="H198" i="15"/>
  <c r="D198" i="15"/>
  <c r="L198" i="15" s="1"/>
  <c r="B198" i="15"/>
  <c r="Z197" i="15"/>
  <c r="X197" i="15"/>
  <c r="L197" i="15"/>
  <c r="N197" i="15" s="1"/>
  <c r="B197" i="15"/>
  <c r="T196" i="15"/>
  <c r="P196" i="15"/>
  <c r="H196" i="15"/>
  <c r="D196" i="15"/>
  <c r="L196" i="15" s="1"/>
  <c r="N196" i="15" s="1"/>
  <c r="B196" i="15"/>
  <c r="X195" i="15"/>
  <c r="Z195" i="15" s="1"/>
  <c r="N195" i="15"/>
  <c r="L195" i="15"/>
  <c r="B195" i="15"/>
  <c r="X194" i="15"/>
  <c r="Z194" i="15" s="1"/>
  <c r="L194" i="15"/>
  <c r="N194" i="15" s="1"/>
  <c r="B194" i="15"/>
  <c r="X193" i="15"/>
  <c r="T193" i="15"/>
  <c r="Z193" i="15" s="1"/>
  <c r="P193" i="15"/>
  <c r="L193" i="15"/>
  <c r="H193" i="15"/>
  <c r="N193" i="15" s="1"/>
  <c r="D193" i="15"/>
  <c r="B193" i="15"/>
  <c r="Z192" i="15"/>
  <c r="X192" i="15"/>
  <c r="L192" i="15"/>
  <c r="N192" i="15" s="1"/>
  <c r="B192" i="15"/>
  <c r="T191" i="15"/>
  <c r="X191" i="15" s="1"/>
  <c r="Z191" i="15" s="1"/>
  <c r="P191" i="15"/>
  <c r="H191" i="15"/>
  <c r="D191" i="15"/>
  <c r="L191" i="15" s="1"/>
  <c r="B191" i="15"/>
  <c r="Z190" i="15"/>
  <c r="X190" i="15"/>
  <c r="L190" i="15"/>
  <c r="N190" i="15" s="1"/>
  <c r="B190" i="15"/>
  <c r="Z189" i="15"/>
  <c r="X189" i="15"/>
  <c r="T189" i="15"/>
  <c r="P189" i="15"/>
  <c r="H189" i="15"/>
  <c r="D189" i="15"/>
  <c r="L189" i="15" s="1"/>
  <c r="N189" i="15" s="1"/>
  <c r="B189" i="15"/>
  <c r="Z188" i="15"/>
  <c r="X188" i="15"/>
  <c r="N188" i="15"/>
  <c r="L188" i="15"/>
  <c r="B188" i="15"/>
  <c r="X187" i="15"/>
  <c r="T187" i="15"/>
  <c r="Z187" i="15" s="1"/>
  <c r="P187" i="15"/>
  <c r="L187" i="15"/>
  <c r="H187" i="15"/>
  <c r="N187" i="15" s="1"/>
  <c r="D187" i="15"/>
  <c r="B187" i="15"/>
  <c r="X186" i="15"/>
  <c r="Z186" i="15" s="1"/>
  <c r="N186" i="15"/>
  <c r="L186" i="15"/>
  <c r="B186" i="15"/>
  <c r="Z185" i="15"/>
  <c r="X185" i="15"/>
  <c r="N185" i="15"/>
  <c r="L185" i="15"/>
  <c r="B185" i="15"/>
  <c r="T184" i="15"/>
  <c r="P184" i="15"/>
  <c r="X184" i="15" s="1"/>
  <c r="L184" i="15"/>
  <c r="N184" i="15" s="1"/>
  <c r="H184" i="15"/>
  <c r="D184" i="15"/>
  <c r="B184" i="15"/>
  <c r="X183" i="15"/>
  <c r="Z183" i="15" s="1"/>
  <c r="L183" i="15"/>
  <c r="N183" i="15" s="1"/>
  <c r="B183" i="15"/>
  <c r="Z182" i="15"/>
  <c r="X182" i="15"/>
  <c r="L182" i="15"/>
  <c r="N182" i="15" s="1"/>
  <c r="B182" i="15"/>
  <c r="Z181" i="15"/>
  <c r="X181" i="15"/>
  <c r="T181" i="15"/>
  <c r="P181" i="15"/>
  <c r="H181" i="15"/>
  <c r="D181" i="15"/>
  <c r="L181" i="15" s="1"/>
  <c r="N181" i="15" s="1"/>
  <c r="B181" i="15"/>
  <c r="Z180" i="15"/>
  <c r="X180" i="15"/>
  <c r="N180" i="15"/>
  <c r="L180" i="15"/>
  <c r="B180" i="15"/>
  <c r="X179" i="15"/>
  <c r="T179" i="15"/>
  <c r="Z179" i="15" s="1"/>
  <c r="P179" i="15"/>
  <c r="L179" i="15"/>
  <c r="H179" i="15"/>
  <c r="N179" i="15" s="1"/>
  <c r="D179" i="15"/>
  <c r="B179" i="15"/>
  <c r="X178" i="15"/>
  <c r="Z178" i="15" s="1"/>
  <c r="N178" i="15"/>
  <c r="L178" i="15"/>
  <c r="B178" i="15"/>
  <c r="T177" i="15"/>
  <c r="Z177" i="15" s="1"/>
  <c r="P177" i="15"/>
  <c r="X177" i="15" s="1"/>
  <c r="H177" i="15"/>
  <c r="D177" i="15"/>
  <c r="L177" i="15" s="1"/>
  <c r="N177" i="15" s="1"/>
  <c r="B177" i="15"/>
  <c r="X176" i="15"/>
  <c r="Z176" i="15" s="1"/>
  <c r="N176" i="15"/>
  <c r="L176" i="15"/>
  <c r="B176" i="15"/>
  <c r="T175" i="15"/>
  <c r="P175" i="15"/>
  <c r="X175" i="15" s="1"/>
  <c r="Z175" i="15" s="1"/>
  <c r="N175" i="15"/>
  <c r="L175" i="15"/>
  <c r="H175" i="15"/>
  <c r="D175" i="15"/>
  <c r="B175" i="15"/>
  <c r="X174" i="15"/>
  <c r="Z174" i="15" s="1"/>
  <c r="L174" i="15"/>
  <c r="N174" i="15" s="1"/>
  <c r="B174" i="15"/>
  <c r="X173" i="15"/>
  <c r="Z173" i="15" s="1"/>
  <c r="N173" i="15"/>
  <c r="L173" i="15"/>
  <c r="B173" i="15"/>
  <c r="Z172" i="15"/>
  <c r="X172" i="15"/>
  <c r="N172" i="15"/>
  <c r="L172" i="15"/>
  <c r="B172" i="15"/>
  <c r="X171" i="15"/>
  <c r="Z171" i="15" s="1"/>
  <c r="N171" i="15"/>
  <c r="L171" i="15"/>
  <c r="B171" i="15"/>
  <c r="X170" i="15"/>
  <c r="Z170" i="15" s="1"/>
  <c r="L170" i="15"/>
  <c r="N170" i="15" s="1"/>
  <c r="B170" i="15"/>
  <c r="X169" i="15"/>
  <c r="Z169" i="15" s="1"/>
  <c r="N169" i="15"/>
  <c r="L169" i="15"/>
  <c r="B169" i="15"/>
  <c r="Z168" i="15"/>
  <c r="X168" i="15"/>
  <c r="L168" i="15"/>
  <c r="N168" i="15" s="1"/>
  <c r="B168" i="15"/>
  <c r="X167" i="15"/>
  <c r="T167" i="15"/>
  <c r="Z167" i="15" s="1"/>
  <c r="P167" i="15"/>
  <c r="L167" i="15"/>
  <c r="H167" i="15"/>
  <c r="N167" i="15" s="1"/>
  <c r="D167" i="15"/>
  <c r="B167" i="15"/>
  <c r="X166" i="15"/>
  <c r="Z166" i="15" s="1"/>
  <c r="N166" i="15"/>
  <c r="L166" i="15"/>
  <c r="B166" i="15"/>
  <c r="Z165" i="15"/>
  <c r="X165" i="15"/>
  <c r="N165" i="15"/>
  <c r="L165" i="15"/>
  <c r="B165" i="15"/>
  <c r="X164" i="15"/>
  <c r="Z164" i="15" s="1"/>
  <c r="L164" i="15"/>
  <c r="N164" i="15" s="1"/>
  <c r="B164" i="15"/>
  <c r="Z163" i="15"/>
  <c r="X163" i="15"/>
  <c r="N163" i="15"/>
  <c r="L163" i="15"/>
  <c r="B163" i="15"/>
  <c r="X162" i="15"/>
  <c r="Z162" i="15" s="1"/>
  <c r="N162" i="15"/>
  <c r="L162" i="15"/>
  <c r="B162" i="15"/>
  <c r="Z161" i="15"/>
  <c r="X161" i="15"/>
  <c r="N161" i="15"/>
  <c r="L161" i="15"/>
  <c r="B161" i="15"/>
  <c r="X160" i="15"/>
  <c r="Z160" i="15" s="1"/>
  <c r="L160" i="15"/>
  <c r="N160" i="15" s="1"/>
  <c r="F160" i="15"/>
  <c r="B160" i="15"/>
  <c r="Z159" i="15"/>
  <c r="X159" i="15"/>
  <c r="N159" i="15"/>
  <c r="L159" i="15"/>
  <c r="B159" i="15"/>
  <c r="X158" i="15"/>
  <c r="Z158" i="15" s="1"/>
  <c r="N158" i="15"/>
  <c r="L158" i="15"/>
  <c r="B158" i="15"/>
  <c r="T157" i="15"/>
  <c r="P157" i="15"/>
  <c r="X157" i="15" s="1"/>
  <c r="H157" i="15"/>
  <c r="D157" i="15"/>
  <c r="L157" i="15" s="1"/>
  <c r="N157" i="15" s="1"/>
  <c r="B157" i="15"/>
  <c r="T156" i="15"/>
  <c r="P156" i="15"/>
  <c r="H156" i="15"/>
  <c r="D156" i="15"/>
  <c r="L156" i="15" s="1"/>
  <c r="X152" i="15"/>
  <c r="Z152" i="15" s="1"/>
  <c r="N152" i="15"/>
  <c r="L152" i="15"/>
  <c r="B152" i="15"/>
  <c r="Z151" i="15"/>
  <c r="X151" i="15"/>
  <c r="L151" i="15"/>
  <c r="N151" i="15" s="1"/>
  <c r="B151" i="15"/>
  <c r="Z150" i="15"/>
  <c r="X150" i="15"/>
  <c r="L150" i="15"/>
  <c r="N150" i="15" s="1"/>
  <c r="B150" i="15"/>
  <c r="Z149" i="15"/>
  <c r="X149" i="15"/>
  <c r="N149" i="15"/>
  <c r="L149" i="15"/>
  <c r="B149" i="15"/>
  <c r="X148" i="15"/>
  <c r="Z148" i="15" s="1"/>
  <c r="N148" i="15"/>
  <c r="L148" i="15"/>
  <c r="B148" i="15"/>
  <c r="Z147" i="15"/>
  <c r="X147" i="15"/>
  <c r="L147" i="15"/>
  <c r="N147" i="15" s="1"/>
  <c r="B147" i="15"/>
  <c r="Z146" i="15"/>
  <c r="X146" i="15"/>
  <c r="L146" i="15"/>
  <c r="N146" i="15" s="1"/>
  <c r="B146" i="15"/>
  <c r="Z145" i="15"/>
  <c r="X145" i="15"/>
  <c r="L145" i="15"/>
  <c r="N145" i="15" s="1"/>
  <c r="B145" i="15"/>
  <c r="X144" i="15"/>
  <c r="Z144" i="15" s="1"/>
  <c r="N144" i="15"/>
  <c r="L144" i="15"/>
  <c r="B144" i="15"/>
  <c r="Z143" i="15"/>
  <c r="X143" i="15"/>
  <c r="N143" i="15"/>
  <c r="L143" i="15"/>
  <c r="B143" i="15"/>
  <c r="Z142" i="15"/>
  <c r="X142" i="15"/>
  <c r="L142" i="15"/>
  <c r="N142" i="15" s="1"/>
  <c r="B142" i="15"/>
  <c r="Z141" i="15"/>
  <c r="X141" i="15"/>
  <c r="L141" i="15"/>
  <c r="N141" i="15" s="1"/>
  <c r="B141" i="15"/>
  <c r="X140" i="15"/>
  <c r="Z140" i="15" s="1"/>
  <c r="N140" i="15"/>
  <c r="L140" i="15"/>
  <c r="B140" i="15"/>
  <c r="Z139" i="15"/>
  <c r="X139" i="15"/>
  <c r="L139" i="15"/>
  <c r="N139" i="15" s="1"/>
  <c r="B139" i="15"/>
  <c r="Z138" i="15"/>
  <c r="X138" i="15"/>
  <c r="L138" i="15"/>
  <c r="N138" i="15" s="1"/>
  <c r="B138" i="15"/>
  <c r="Z137" i="15"/>
  <c r="X137" i="15"/>
  <c r="L137" i="15"/>
  <c r="N137" i="15" s="1"/>
  <c r="B137" i="15"/>
  <c r="X136" i="15"/>
  <c r="Z136" i="15" s="1"/>
  <c r="N136" i="15"/>
  <c r="L136" i="15"/>
  <c r="B136" i="15"/>
  <c r="Z135" i="15"/>
  <c r="X135" i="15"/>
  <c r="N135" i="15"/>
  <c r="L135" i="15"/>
  <c r="B135" i="15"/>
  <c r="Z134" i="15"/>
  <c r="X134" i="15"/>
  <c r="L134" i="15"/>
  <c r="N134" i="15" s="1"/>
  <c r="B134" i="15"/>
  <c r="Z133" i="15"/>
  <c r="X133" i="15"/>
  <c r="L133" i="15"/>
  <c r="N133" i="15" s="1"/>
  <c r="B133" i="15"/>
  <c r="X132" i="15"/>
  <c r="Z132" i="15" s="1"/>
  <c r="N132" i="15"/>
  <c r="L132" i="15"/>
  <c r="B132" i="15"/>
  <c r="Z131" i="15"/>
  <c r="X131" i="15"/>
  <c r="L131" i="15"/>
  <c r="N131" i="15" s="1"/>
  <c r="B131" i="15"/>
  <c r="Z130" i="15"/>
  <c r="X130" i="15"/>
  <c r="L130" i="15"/>
  <c r="N130" i="15" s="1"/>
  <c r="B130" i="15"/>
  <c r="Z129" i="15"/>
  <c r="X129" i="15"/>
  <c r="L129" i="15"/>
  <c r="N129" i="15" s="1"/>
  <c r="B129" i="15"/>
  <c r="X128" i="15"/>
  <c r="Z128" i="15" s="1"/>
  <c r="N128" i="15"/>
  <c r="L128" i="15"/>
  <c r="B128" i="15"/>
  <c r="Z127" i="15"/>
  <c r="X127" i="15"/>
  <c r="L127" i="15"/>
  <c r="N127" i="15" s="1"/>
  <c r="B127" i="15"/>
  <c r="Z126" i="15"/>
  <c r="X126" i="15"/>
  <c r="L126" i="15"/>
  <c r="N126" i="15" s="1"/>
  <c r="B126" i="15"/>
  <c r="Z125" i="15"/>
  <c r="X125" i="15"/>
  <c r="L125" i="15"/>
  <c r="N125" i="15" s="1"/>
  <c r="B125" i="15"/>
  <c r="X124" i="15"/>
  <c r="Z124" i="15" s="1"/>
  <c r="L124" i="15"/>
  <c r="N124" i="15" s="1"/>
  <c r="B124" i="15"/>
  <c r="Z123" i="15"/>
  <c r="X123" i="15"/>
  <c r="L123" i="15"/>
  <c r="N123" i="15" s="1"/>
  <c r="B123" i="15"/>
  <c r="Z122" i="15"/>
  <c r="X122" i="15"/>
  <c r="L122" i="15"/>
  <c r="N122" i="15" s="1"/>
  <c r="B122" i="15"/>
  <c r="Z121" i="15"/>
  <c r="X121" i="15"/>
  <c r="L121" i="15"/>
  <c r="N121" i="15" s="1"/>
  <c r="B121" i="15"/>
  <c r="X120" i="15"/>
  <c r="Z120" i="15" s="1"/>
  <c r="L120" i="15"/>
  <c r="N120" i="15" s="1"/>
  <c r="B120" i="15"/>
  <c r="Z119" i="15"/>
  <c r="X119" i="15"/>
  <c r="L119" i="15"/>
  <c r="N119" i="15" s="1"/>
  <c r="B119" i="15"/>
  <c r="Z118" i="15"/>
  <c r="X118" i="15"/>
  <c r="L118" i="15"/>
  <c r="N118" i="15" s="1"/>
  <c r="B118" i="15"/>
  <c r="Z117" i="15"/>
  <c r="X117" i="15"/>
  <c r="L117" i="15"/>
  <c r="N117" i="15" s="1"/>
  <c r="B117" i="15"/>
  <c r="X116" i="15"/>
  <c r="Z116" i="15" s="1"/>
  <c r="L116" i="15"/>
  <c r="N116" i="15" s="1"/>
  <c r="B116" i="15"/>
  <c r="Z115" i="15"/>
  <c r="X115" i="15"/>
  <c r="L115" i="15"/>
  <c r="N115" i="15" s="1"/>
  <c r="B115" i="15"/>
  <c r="X114" i="15"/>
  <c r="Z114" i="15" s="1"/>
  <c r="N114" i="15"/>
  <c r="L114" i="15"/>
  <c r="B114" i="15"/>
  <c r="Z113" i="15"/>
  <c r="X113" i="15"/>
  <c r="L113" i="15"/>
  <c r="N113" i="15" s="1"/>
  <c r="B113" i="15"/>
  <c r="Z112" i="15"/>
  <c r="X112" i="15"/>
  <c r="L112" i="15"/>
  <c r="N112" i="15" s="1"/>
  <c r="B112" i="15"/>
  <c r="Z111" i="15"/>
  <c r="X111" i="15"/>
  <c r="L111" i="15"/>
  <c r="N111" i="15" s="1"/>
  <c r="B111" i="15"/>
  <c r="Z110" i="15"/>
  <c r="X110" i="15"/>
  <c r="L110" i="15"/>
  <c r="N110" i="15" s="1"/>
  <c r="B110" i="15"/>
  <c r="Z109" i="15"/>
  <c r="X109" i="15"/>
  <c r="L109" i="15"/>
  <c r="N109" i="15" s="1"/>
  <c r="B109" i="15"/>
  <c r="X108" i="15"/>
  <c r="Z108" i="15" s="1"/>
  <c r="L108" i="15"/>
  <c r="N108" i="15" s="1"/>
  <c r="B108" i="15"/>
  <c r="Z107" i="15"/>
  <c r="X107" i="15"/>
  <c r="L107" i="15"/>
  <c r="N107" i="15" s="1"/>
  <c r="B107" i="15"/>
  <c r="Z106" i="15"/>
  <c r="X106" i="15"/>
  <c r="L106" i="15"/>
  <c r="N106" i="15" s="1"/>
  <c r="B106" i="15"/>
  <c r="Z105" i="15"/>
  <c r="X105" i="15"/>
  <c r="L105" i="15"/>
  <c r="N105" i="15" s="1"/>
  <c r="B105" i="15"/>
  <c r="T104" i="15"/>
  <c r="P104" i="15"/>
  <c r="H104" i="15"/>
  <c r="D104" i="15"/>
  <c r="L104" i="15" s="1"/>
  <c r="T102" i="15"/>
  <c r="Z102" i="15" s="1"/>
  <c r="P102" i="15"/>
  <c r="X102" i="15" s="1"/>
  <c r="N102" i="15"/>
  <c r="L102" i="15"/>
  <c r="H102" i="15"/>
  <c r="D102" i="15"/>
  <c r="B102" i="15"/>
  <c r="T101" i="15"/>
  <c r="P101" i="15"/>
  <c r="H101" i="15"/>
  <c r="D101" i="15"/>
  <c r="B101" i="15"/>
  <c r="T100" i="15"/>
  <c r="Z100" i="15" s="1"/>
  <c r="P100" i="15"/>
  <c r="X100" i="15" s="1"/>
  <c r="L100" i="15"/>
  <c r="N100" i="15" s="1"/>
  <c r="H100" i="15"/>
  <c r="D100" i="15"/>
  <c r="B100" i="15"/>
  <c r="T99" i="15"/>
  <c r="X99" i="15" s="1"/>
  <c r="Z99" i="15" s="1"/>
  <c r="P99" i="15"/>
  <c r="H99" i="15"/>
  <c r="D99" i="15"/>
  <c r="B99" i="15"/>
  <c r="T98" i="15"/>
  <c r="Z98" i="15" s="1"/>
  <c r="P98" i="15"/>
  <c r="X98" i="15" s="1"/>
  <c r="N98" i="15"/>
  <c r="L98" i="15"/>
  <c r="H98" i="15"/>
  <c r="D98" i="15"/>
  <c r="B98" i="15"/>
  <c r="T97" i="15"/>
  <c r="P97" i="15"/>
  <c r="H97" i="15"/>
  <c r="D97" i="15"/>
  <c r="B97" i="15"/>
  <c r="T96" i="15"/>
  <c r="Z96" i="15" s="1"/>
  <c r="P96" i="15"/>
  <c r="X96" i="15" s="1"/>
  <c r="L96" i="15"/>
  <c r="N96" i="15" s="1"/>
  <c r="H96" i="15"/>
  <c r="D96" i="15"/>
  <c r="B96" i="15"/>
  <c r="T95" i="15"/>
  <c r="X95" i="15" s="1"/>
  <c r="Z95" i="15" s="1"/>
  <c r="P95" i="15"/>
  <c r="H95" i="15"/>
  <c r="D95" i="15"/>
  <c r="B95" i="15"/>
  <c r="T94" i="15"/>
  <c r="Z94" i="15" s="1"/>
  <c r="P94" i="15"/>
  <c r="X94" i="15" s="1"/>
  <c r="L94" i="15"/>
  <c r="N94" i="15" s="1"/>
  <c r="H94" i="15"/>
  <c r="D94" i="15"/>
  <c r="B94" i="15"/>
  <c r="T93" i="15"/>
  <c r="P93" i="15"/>
  <c r="H93" i="15"/>
  <c r="D93" i="15"/>
  <c r="B93" i="15"/>
  <c r="T92" i="15"/>
  <c r="Z92" i="15" s="1"/>
  <c r="P92" i="15"/>
  <c r="X92" i="15" s="1"/>
  <c r="L92" i="15"/>
  <c r="N92" i="15" s="1"/>
  <c r="H92" i="15"/>
  <c r="D92" i="15"/>
  <c r="B92" i="15"/>
  <c r="Z91" i="15"/>
  <c r="T91" i="15"/>
  <c r="X91" i="15" s="1"/>
  <c r="P91" i="15"/>
  <c r="H91" i="15"/>
  <c r="N91" i="15" s="1"/>
  <c r="D91" i="15"/>
  <c r="B91" i="15"/>
  <c r="T90" i="15"/>
  <c r="Z90" i="15" s="1"/>
  <c r="P90" i="15"/>
  <c r="X90" i="15" s="1"/>
  <c r="N90" i="15"/>
  <c r="L90" i="15"/>
  <c r="H90" i="15"/>
  <c r="D90" i="15"/>
  <c r="B90" i="15"/>
  <c r="T89" i="15"/>
  <c r="P89" i="15"/>
  <c r="H89" i="15"/>
  <c r="D89" i="15"/>
  <c r="B89" i="15"/>
  <c r="T88" i="15"/>
  <c r="Z88" i="15" s="1"/>
  <c r="P88" i="15"/>
  <c r="X88" i="15" s="1"/>
  <c r="N88" i="15"/>
  <c r="L88" i="15"/>
  <c r="H88" i="15"/>
  <c r="D88" i="15"/>
  <c r="B88" i="15"/>
  <c r="T87" i="15"/>
  <c r="X87" i="15" s="1"/>
  <c r="Z87" i="15" s="1"/>
  <c r="P87" i="15"/>
  <c r="H87" i="15"/>
  <c r="D87" i="15"/>
  <c r="B87" i="15"/>
  <c r="T86" i="15"/>
  <c r="Z86" i="15" s="1"/>
  <c r="P86" i="15"/>
  <c r="X86" i="15" s="1"/>
  <c r="L86" i="15"/>
  <c r="N86" i="15" s="1"/>
  <c r="H86" i="15"/>
  <c r="D86" i="15"/>
  <c r="B86" i="15"/>
  <c r="T85" i="15"/>
  <c r="P85" i="15"/>
  <c r="H85" i="15"/>
  <c r="D85" i="15"/>
  <c r="B85" i="15"/>
  <c r="T84" i="15"/>
  <c r="Z84" i="15" s="1"/>
  <c r="P84" i="15"/>
  <c r="X84" i="15" s="1"/>
  <c r="L84" i="15"/>
  <c r="N84" i="15" s="1"/>
  <c r="H84" i="15"/>
  <c r="D84" i="15"/>
  <c r="B84" i="15"/>
  <c r="Z83" i="15"/>
  <c r="T83" i="15"/>
  <c r="X83" i="15" s="1"/>
  <c r="P83" i="15"/>
  <c r="H83" i="15"/>
  <c r="D83" i="15"/>
  <c r="B83" i="15"/>
  <c r="T82" i="15"/>
  <c r="Z82" i="15" s="1"/>
  <c r="P82" i="15"/>
  <c r="X82" i="15" s="1"/>
  <c r="L82" i="15"/>
  <c r="N82" i="15" s="1"/>
  <c r="H82" i="15"/>
  <c r="D82" i="15"/>
  <c r="B82" i="15"/>
  <c r="T81" i="15"/>
  <c r="P81" i="15"/>
  <c r="H81" i="15"/>
  <c r="D81" i="15"/>
  <c r="B81" i="15"/>
  <c r="T80" i="15"/>
  <c r="P80" i="15"/>
  <c r="X80" i="15" s="1"/>
  <c r="L80" i="15"/>
  <c r="N80" i="15" s="1"/>
  <c r="H80" i="15"/>
  <c r="D80" i="15"/>
  <c r="B80" i="15"/>
  <c r="Z79" i="15"/>
  <c r="T79" i="15"/>
  <c r="X79" i="15" s="1"/>
  <c r="P79" i="15"/>
  <c r="L79" i="15"/>
  <c r="H79" i="15"/>
  <c r="N79" i="15" s="1"/>
  <c r="D79" i="15"/>
  <c r="B79" i="15"/>
  <c r="T78" i="15"/>
  <c r="Z78" i="15" s="1"/>
  <c r="P78" i="15"/>
  <c r="X78" i="15" s="1"/>
  <c r="L78" i="15"/>
  <c r="N78" i="15" s="1"/>
  <c r="H78" i="15"/>
  <c r="D78" i="15"/>
  <c r="B78" i="15"/>
  <c r="T77" i="15"/>
  <c r="P77" i="15"/>
  <c r="H77" i="15"/>
  <c r="D77" i="15"/>
  <c r="B77" i="15"/>
  <c r="T76" i="15"/>
  <c r="P76" i="15"/>
  <c r="X76" i="15" s="1"/>
  <c r="N76" i="15"/>
  <c r="L76" i="15"/>
  <c r="H76" i="15"/>
  <c r="D76" i="15"/>
  <c r="B76" i="15"/>
  <c r="Z75" i="15"/>
  <c r="T75" i="15"/>
  <c r="X75" i="15" s="1"/>
  <c r="P75" i="15"/>
  <c r="L75" i="15"/>
  <c r="H75" i="15"/>
  <c r="N75" i="15" s="1"/>
  <c r="D75" i="15"/>
  <c r="B75" i="15"/>
  <c r="T74" i="15"/>
  <c r="Z74" i="15" s="1"/>
  <c r="P74" i="15"/>
  <c r="X74" i="15" s="1"/>
  <c r="L74" i="15"/>
  <c r="N74" i="15" s="1"/>
  <c r="H74" i="15"/>
  <c r="D74" i="15"/>
  <c r="B74" i="15"/>
  <c r="T73" i="15"/>
  <c r="P73" i="15"/>
  <c r="H73" i="15"/>
  <c r="D73" i="15"/>
  <c r="B73" i="15"/>
  <c r="T72" i="15"/>
  <c r="Z72" i="15" s="1"/>
  <c r="P72" i="15"/>
  <c r="X72" i="15" s="1"/>
  <c r="L72" i="15"/>
  <c r="N72" i="15" s="1"/>
  <c r="H72" i="15"/>
  <c r="D72" i="15"/>
  <c r="B72" i="15"/>
  <c r="Z71" i="15"/>
  <c r="T71" i="15"/>
  <c r="X71" i="15" s="1"/>
  <c r="P71" i="15"/>
  <c r="L71" i="15"/>
  <c r="H71" i="15"/>
  <c r="N71" i="15" s="1"/>
  <c r="D71" i="15"/>
  <c r="B71" i="15"/>
  <c r="T70" i="15"/>
  <c r="Z70" i="15" s="1"/>
  <c r="P70" i="15"/>
  <c r="X70" i="15" s="1"/>
  <c r="L70" i="15"/>
  <c r="N70" i="15" s="1"/>
  <c r="H70" i="15"/>
  <c r="D70" i="15"/>
  <c r="B70" i="15"/>
  <c r="T69" i="15"/>
  <c r="P69" i="15"/>
  <c r="H69" i="15"/>
  <c r="D69" i="15"/>
  <c r="B69" i="15"/>
  <c r="T68" i="15"/>
  <c r="Z68" i="15" s="1"/>
  <c r="P68" i="15"/>
  <c r="X68" i="15" s="1"/>
  <c r="N68" i="15"/>
  <c r="L68" i="15"/>
  <c r="H68" i="15"/>
  <c r="D68" i="15"/>
  <c r="B68" i="15"/>
  <c r="Z67" i="15"/>
  <c r="T67" i="15"/>
  <c r="X67" i="15" s="1"/>
  <c r="P67" i="15"/>
  <c r="L67" i="15"/>
  <c r="H67" i="15"/>
  <c r="N67" i="15" s="1"/>
  <c r="D67" i="15"/>
  <c r="B67" i="15"/>
  <c r="T66" i="15"/>
  <c r="Z66" i="15" s="1"/>
  <c r="P66" i="15"/>
  <c r="X66" i="15" s="1"/>
  <c r="L66" i="15"/>
  <c r="N66" i="15" s="1"/>
  <c r="H66" i="15"/>
  <c r="D66" i="15"/>
  <c r="B66" i="15"/>
  <c r="T65" i="15"/>
  <c r="P65" i="15"/>
  <c r="H65" i="15"/>
  <c r="D65" i="15"/>
  <c r="B65" i="15"/>
  <c r="T64" i="15"/>
  <c r="Z64" i="15" s="1"/>
  <c r="P64" i="15"/>
  <c r="X64" i="15" s="1"/>
  <c r="L64" i="15"/>
  <c r="N64" i="15" s="1"/>
  <c r="H64" i="15"/>
  <c r="D64" i="15"/>
  <c r="B64" i="15"/>
  <c r="Z63" i="15"/>
  <c r="T63" i="15"/>
  <c r="X63" i="15" s="1"/>
  <c r="P63" i="15"/>
  <c r="L63" i="15"/>
  <c r="H63" i="15"/>
  <c r="N63" i="15" s="1"/>
  <c r="D63" i="15"/>
  <c r="B63" i="15"/>
  <c r="T62" i="15"/>
  <c r="Z62" i="15" s="1"/>
  <c r="P62" i="15"/>
  <c r="X62" i="15" s="1"/>
  <c r="L62" i="15"/>
  <c r="N62" i="15" s="1"/>
  <c r="H62" i="15"/>
  <c r="D62" i="15"/>
  <c r="B62" i="15"/>
  <c r="T61" i="15"/>
  <c r="P61" i="15"/>
  <c r="H61" i="15"/>
  <c r="D61" i="15"/>
  <c r="B61" i="15"/>
  <c r="T60" i="15"/>
  <c r="Z60" i="15" s="1"/>
  <c r="P60" i="15"/>
  <c r="X60" i="15" s="1"/>
  <c r="L60" i="15"/>
  <c r="N60" i="15" s="1"/>
  <c r="H60" i="15"/>
  <c r="D60" i="15"/>
  <c r="B60" i="15"/>
  <c r="T59" i="15"/>
  <c r="X59" i="15" s="1"/>
  <c r="Z59" i="15" s="1"/>
  <c r="P59" i="15"/>
  <c r="L59" i="15"/>
  <c r="H59" i="15"/>
  <c r="N59" i="15" s="1"/>
  <c r="D59" i="15"/>
  <c r="B59" i="15"/>
  <c r="T58" i="15"/>
  <c r="Z58" i="15" s="1"/>
  <c r="P58" i="15"/>
  <c r="X58" i="15" s="1"/>
  <c r="L58" i="15"/>
  <c r="N58" i="15" s="1"/>
  <c r="H58" i="15"/>
  <c r="D58" i="15"/>
  <c r="B58" i="15"/>
  <c r="T57" i="15"/>
  <c r="P57" i="15"/>
  <c r="H57" i="15"/>
  <c r="D57" i="15"/>
  <c r="B57" i="15"/>
  <c r="T56" i="15"/>
  <c r="Z56" i="15" s="1"/>
  <c r="P56" i="15"/>
  <c r="X56" i="15" s="1"/>
  <c r="L56" i="15"/>
  <c r="N56" i="15" s="1"/>
  <c r="H56" i="15"/>
  <c r="D56" i="15"/>
  <c r="B56" i="15"/>
  <c r="T55" i="15"/>
  <c r="X55" i="15" s="1"/>
  <c r="Z55" i="15" s="1"/>
  <c r="P55" i="15"/>
  <c r="L55" i="15"/>
  <c r="H55" i="15"/>
  <c r="N55" i="15" s="1"/>
  <c r="D55" i="15"/>
  <c r="B55" i="15"/>
  <c r="T54" i="15"/>
  <c r="Z54" i="15" s="1"/>
  <c r="P54" i="15"/>
  <c r="X54" i="15" s="1"/>
  <c r="L54" i="15"/>
  <c r="N54" i="15" s="1"/>
  <c r="H54" i="15"/>
  <c r="D54" i="15"/>
  <c r="B54" i="15"/>
  <c r="T53" i="15"/>
  <c r="P53" i="15"/>
  <c r="H53" i="15"/>
  <c r="D53" i="15"/>
  <c r="B53" i="15"/>
  <c r="T52" i="15"/>
  <c r="Z52" i="15" s="1"/>
  <c r="P52" i="15"/>
  <c r="X52" i="15" s="1"/>
  <c r="N52" i="15"/>
  <c r="L52" i="15"/>
  <c r="H52" i="15"/>
  <c r="D52" i="15"/>
  <c r="B52" i="15"/>
  <c r="T51" i="15"/>
  <c r="X51" i="15" s="1"/>
  <c r="Z51" i="15" s="1"/>
  <c r="P51" i="15"/>
  <c r="L51" i="15"/>
  <c r="H51" i="15"/>
  <c r="N51" i="15" s="1"/>
  <c r="D51" i="15"/>
  <c r="B51" i="15"/>
  <c r="T50" i="15"/>
  <c r="P50" i="15"/>
  <c r="X50" i="15" s="1"/>
  <c r="L50" i="15"/>
  <c r="N50" i="15" s="1"/>
  <c r="H50" i="15"/>
  <c r="D50" i="15"/>
  <c r="B50" i="15"/>
  <c r="T49" i="15"/>
  <c r="P49" i="15"/>
  <c r="H49" i="15"/>
  <c r="D49" i="15"/>
  <c r="B49" i="15"/>
  <c r="T48" i="15"/>
  <c r="Z48" i="15" s="1"/>
  <c r="P48" i="15"/>
  <c r="X48" i="15" s="1"/>
  <c r="L48" i="15"/>
  <c r="N48" i="15" s="1"/>
  <c r="H48" i="15"/>
  <c r="D48" i="15"/>
  <c r="B48" i="15"/>
  <c r="T47" i="15"/>
  <c r="X47" i="15" s="1"/>
  <c r="Z47" i="15" s="1"/>
  <c r="P47" i="15"/>
  <c r="L47" i="15"/>
  <c r="H47" i="15"/>
  <c r="N47" i="15" s="1"/>
  <c r="D47" i="15"/>
  <c r="B47" i="15"/>
  <c r="T46" i="15"/>
  <c r="P46" i="15"/>
  <c r="X46" i="15" s="1"/>
  <c r="L46" i="15"/>
  <c r="N46" i="15" s="1"/>
  <c r="H46" i="15"/>
  <c r="D46" i="15"/>
  <c r="B46" i="15"/>
  <c r="T45" i="15"/>
  <c r="P45" i="15"/>
  <c r="H45" i="15"/>
  <c r="D45" i="15"/>
  <c r="B45" i="15"/>
  <c r="T44" i="15"/>
  <c r="Z44" i="15" s="1"/>
  <c r="P44" i="15"/>
  <c r="X44" i="15" s="1"/>
  <c r="L44" i="15"/>
  <c r="N44" i="15" s="1"/>
  <c r="H44" i="15"/>
  <c r="D44" i="15"/>
  <c r="B44" i="15"/>
  <c r="T43" i="15"/>
  <c r="X43" i="15" s="1"/>
  <c r="Z43" i="15" s="1"/>
  <c r="P43" i="15"/>
  <c r="L43" i="15"/>
  <c r="H43" i="15"/>
  <c r="N43" i="15" s="1"/>
  <c r="D43" i="15"/>
  <c r="B43" i="15"/>
  <c r="T42" i="15"/>
  <c r="P42" i="15"/>
  <c r="X42" i="15" s="1"/>
  <c r="L42" i="15"/>
  <c r="N42" i="15" s="1"/>
  <c r="H42" i="15"/>
  <c r="D42" i="15"/>
  <c r="B42" i="15"/>
  <c r="T41" i="15"/>
  <c r="P41" i="15"/>
  <c r="H41" i="15"/>
  <c r="D41" i="15"/>
  <c r="B41" i="15"/>
  <c r="T40" i="15"/>
  <c r="Z40" i="15" s="1"/>
  <c r="P40" i="15"/>
  <c r="X40" i="15" s="1"/>
  <c r="L40" i="15"/>
  <c r="N40" i="15" s="1"/>
  <c r="H40" i="15"/>
  <c r="D40" i="15"/>
  <c r="B40" i="15"/>
  <c r="T39" i="15"/>
  <c r="X39" i="15" s="1"/>
  <c r="Z39" i="15" s="1"/>
  <c r="P39" i="15"/>
  <c r="L39" i="15"/>
  <c r="H39" i="15"/>
  <c r="N39" i="15" s="1"/>
  <c r="D39" i="15"/>
  <c r="B39" i="15"/>
  <c r="T38" i="15"/>
  <c r="P38" i="15"/>
  <c r="X38" i="15" s="1"/>
  <c r="L38" i="15"/>
  <c r="N38" i="15" s="1"/>
  <c r="H38" i="15"/>
  <c r="D38" i="15"/>
  <c r="B38" i="15"/>
  <c r="T37" i="15"/>
  <c r="P37" i="15"/>
  <c r="H37" i="15"/>
  <c r="D37" i="15"/>
  <c r="B37" i="15"/>
  <c r="T36" i="15"/>
  <c r="P36" i="15"/>
  <c r="X36" i="15" s="1"/>
  <c r="L36" i="15"/>
  <c r="N36" i="15" s="1"/>
  <c r="H36" i="15"/>
  <c r="D36" i="15"/>
  <c r="B36" i="15"/>
  <c r="Z35" i="15"/>
  <c r="T35" i="15"/>
  <c r="X35" i="15" s="1"/>
  <c r="P35" i="15"/>
  <c r="L35" i="15"/>
  <c r="H35" i="15"/>
  <c r="N35" i="15" s="1"/>
  <c r="D35" i="15"/>
  <c r="B35" i="15"/>
  <c r="T34" i="15"/>
  <c r="P34" i="15"/>
  <c r="X34" i="15" s="1"/>
  <c r="L34" i="15"/>
  <c r="N34" i="15" s="1"/>
  <c r="H34" i="15"/>
  <c r="D34" i="15"/>
  <c r="B34" i="15"/>
  <c r="T33" i="15"/>
  <c r="P33" i="15"/>
  <c r="L33" i="15"/>
  <c r="H33" i="15"/>
  <c r="D33" i="15"/>
  <c r="B33" i="15"/>
  <c r="T32" i="15"/>
  <c r="P32" i="15"/>
  <c r="X32" i="15" s="1"/>
  <c r="L32" i="15"/>
  <c r="N32" i="15" s="1"/>
  <c r="H32" i="15"/>
  <c r="D32" i="15"/>
  <c r="B32" i="15"/>
  <c r="T31" i="15"/>
  <c r="X31" i="15" s="1"/>
  <c r="Z31" i="15" s="1"/>
  <c r="P31" i="15"/>
  <c r="L31" i="15"/>
  <c r="H31" i="15"/>
  <c r="N31" i="15" s="1"/>
  <c r="D31" i="15"/>
  <c r="B31" i="15"/>
  <c r="T30" i="15"/>
  <c r="P30" i="15"/>
  <c r="L30" i="15"/>
  <c r="N30" i="15" s="1"/>
  <c r="H30" i="15"/>
  <c r="D30" i="15"/>
  <c r="B30" i="15"/>
  <c r="T29" i="15"/>
  <c r="P29" i="15"/>
  <c r="L29" i="15"/>
  <c r="H29" i="15"/>
  <c r="D29" i="15"/>
  <c r="B29" i="15"/>
  <c r="T28" i="15"/>
  <c r="Z28" i="15" s="1"/>
  <c r="P28" i="15"/>
  <c r="X28" i="15" s="1"/>
  <c r="L28" i="15"/>
  <c r="N28" i="15" s="1"/>
  <c r="H28" i="15"/>
  <c r="D28" i="15"/>
  <c r="B28" i="15"/>
  <c r="T27" i="15"/>
  <c r="X27" i="15" s="1"/>
  <c r="Z27" i="15" s="1"/>
  <c r="P27" i="15"/>
  <c r="L27" i="15"/>
  <c r="H27" i="15"/>
  <c r="N27" i="15" s="1"/>
  <c r="D27" i="15"/>
  <c r="B27" i="15"/>
  <c r="T26" i="15"/>
  <c r="P26" i="15"/>
  <c r="L26" i="15"/>
  <c r="N26" i="15" s="1"/>
  <c r="H26" i="15"/>
  <c r="D26" i="15"/>
  <c r="B26" i="15"/>
  <c r="T25" i="15"/>
  <c r="P25" i="15"/>
  <c r="L25" i="15"/>
  <c r="H25" i="15"/>
  <c r="D25" i="15"/>
  <c r="B25" i="15"/>
  <c r="T24" i="15"/>
  <c r="Z24" i="15" s="1"/>
  <c r="P24" i="15"/>
  <c r="X24" i="15" s="1"/>
  <c r="L24" i="15"/>
  <c r="N24" i="15" s="1"/>
  <c r="H24" i="15"/>
  <c r="D24" i="15"/>
  <c r="B24" i="15"/>
  <c r="Z23" i="15"/>
  <c r="T23" i="15"/>
  <c r="X23" i="15" s="1"/>
  <c r="P23" i="15"/>
  <c r="L23" i="15"/>
  <c r="H23" i="15"/>
  <c r="N23" i="15" s="1"/>
  <c r="D23" i="15"/>
  <c r="B23" i="15"/>
  <c r="T22" i="15"/>
  <c r="P22" i="15"/>
  <c r="X22" i="15" s="1"/>
  <c r="N22" i="15"/>
  <c r="L22" i="15"/>
  <c r="H22" i="15"/>
  <c r="D22" i="15"/>
  <c r="B22" i="15"/>
  <c r="T21" i="15"/>
  <c r="P21" i="15"/>
  <c r="H21" i="15"/>
  <c r="D21" i="15"/>
  <c r="B21" i="15"/>
  <c r="T20" i="15"/>
  <c r="Z20" i="15" s="1"/>
  <c r="P20" i="15"/>
  <c r="X20" i="15" s="1"/>
  <c r="L20" i="15"/>
  <c r="N20" i="15" s="1"/>
  <c r="H20" i="15"/>
  <c r="D20" i="15"/>
  <c r="B20" i="15"/>
  <c r="Z19" i="15"/>
  <c r="T19" i="15"/>
  <c r="X19" i="15" s="1"/>
  <c r="P19" i="15"/>
  <c r="L19" i="15"/>
  <c r="H19" i="15"/>
  <c r="N19" i="15" s="1"/>
  <c r="D19" i="15"/>
  <c r="B19" i="15"/>
  <c r="T18" i="15"/>
  <c r="P18" i="15"/>
  <c r="X18" i="15" s="1"/>
  <c r="L18" i="15"/>
  <c r="N18" i="15" s="1"/>
  <c r="H18" i="15"/>
  <c r="D18" i="15"/>
  <c r="B18" i="15"/>
  <c r="T17" i="15"/>
  <c r="P17" i="15"/>
  <c r="L17" i="15"/>
  <c r="H17" i="15"/>
  <c r="N17" i="15" s="1"/>
  <c r="D17" i="15"/>
  <c r="B17" i="15"/>
  <c r="T16" i="15"/>
  <c r="P16" i="15"/>
  <c r="L16" i="15"/>
  <c r="N16" i="15" s="1"/>
  <c r="H16" i="15"/>
  <c r="D16" i="15"/>
  <c r="B16" i="15"/>
  <c r="T15" i="15"/>
  <c r="X15" i="15" s="1"/>
  <c r="Z15" i="15" s="1"/>
  <c r="P15" i="15"/>
  <c r="L15" i="15"/>
  <c r="H15" i="15"/>
  <c r="D15" i="15"/>
  <c r="B15" i="15"/>
  <c r="T14" i="15"/>
  <c r="P14" i="15"/>
  <c r="L14" i="15"/>
  <c r="N14" i="15" s="1"/>
  <c r="H14" i="15"/>
  <c r="D14" i="15"/>
  <c r="B14" i="15"/>
  <c r="T13" i="15"/>
  <c r="T12" i="15" s="1"/>
  <c r="P13" i="15"/>
  <c r="L13" i="15"/>
  <c r="H13" i="15"/>
  <c r="D13" i="15"/>
  <c r="D12" i="15" s="1"/>
  <c r="B13" i="15"/>
  <c r="D4" i="15"/>
  <c r="Z262" i="12"/>
  <c r="X262" i="12"/>
  <c r="N262" i="12"/>
  <c r="L262" i="12"/>
  <c r="X258" i="12"/>
  <c r="T258" i="12"/>
  <c r="Z258" i="12" s="1"/>
  <c r="P258" i="12"/>
  <c r="L258" i="12"/>
  <c r="H258" i="12"/>
  <c r="N258" i="12" s="1"/>
  <c r="D258" i="12"/>
  <c r="B258" i="12"/>
  <c r="Z257" i="12"/>
  <c r="X257" i="12"/>
  <c r="T257" i="12"/>
  <c r="P257" i="12"/>
  <c r="N257" i="12"/>
  <c r="H257" i="12"/>
  <c r="L257" i="12" s="1"/>
  <c r="D257" i="12"/>
  <c r="B257" i="12"/>
  <c r="T256" i="12"/>
  <c r="P256" i="12"/>
  <c r="X256" i="12" s="1"/>
  <c r="Z256" i="12" s="1"/>
  <c r="H256" i="12"/>
  <c r="D256" i="12"/>
  <c r="L256" i="12" s="1"/>
  <c r="N256" i="12" s="1"/>
  <c r="B256" i="12"/>
  <c r="X255" i="12"/>
  <c r="Z255" i="12" s="1"/>
  <c r="T255" i="12"/>
  <c r="P255" i="12"/>
  <c r="H255" i="12"/>
  <c r="D255" i="12"/>
  <c r="L255" i="12" s="1"/>
  <c r="N255" i="12" s="1"/>
  <c r="B255" i="12"/>
  <c r="Z254" i="12"/>
  <c r="T254" i="12"/>
  <c r="P254" i="12"/>
  <c r="X254" i="12" s="1"/>
  <c r="H254" i="12"/>
  <c r="D254" i="12"/>
  <c r="B254" i="12"/>
  <c r="T253" i="12"/>
  <c r="P253" i="12"/>
  <c r="H253" i="12"/>
  <c r="H251" i="12" s="1"/>
  <c r="D253" i="12"/>
  <c r="B253" i="12"/>
  <c r="X252" i="12"/>
  <c r="T252" i="12"/>
  <c r="Z252" i="12" s="1"/>
  <c r="P252" i="12"/>
  <c r="L252" i="12"/>
  <c r="H252" i="12"/>
  <c r="N252" i="12" s="1"/>
  <c r="F252" i="12"/>
  <c r="D252" i="12"/>
  <c r="B252" i="12"/>
  <c r="T251" i="12"/>
  <c r="Z249" i="12"/>
  <c r="X249" i="12"/>
  <c r="L249" i="12"/>
  <c r="N249" i="12" s="1"/>
  <c r="J249" i="12"/>
  <c r="B249" i="12"/>
  <c r="T248" i="12"/>
  <c r="Z248" i="12" s="1"/>
  <c r="P248" i="12"/>
  <c r="X248" i="12" s="1"/>
  <c r="N248" i="12"/>
  <c r="H248" i="12"/>
  <c r="D248" i="12"/>
  <c r="L248" i="12" s="1"/>
  <c r="B248" i="12"/>
  <c r="Z247" i="12"/>
  <c r="X247" i="12"/>
  <c r="L247" i="12"/>
  <c r="N247" i="12" s="1"/>
  <c r="B247" i="12"/>
  <c r="Z246" i="12"/>
  <c r="X246" i="12"/>
  <c r="L246" i="12"/>
  <c r="N246" i="12" s="1"/>
  <c r="B246" i="12"/>
  <c r="X245" i="12"/>
  <c r="Z245" i="12" s="1"/>
  <c r="L245" i="12"/>
  <c r="N245" i="12" s="1"/>
  <c r="B245" i="12"/>
  <c r="T244" i="12"/>
  <c r="P244" i="12"/>
  <c r="X244" i="12" s="1"/>
  <c r="Z244" i="12" s="1"/>
  <c r="N244" i="12"/>
  <c r="H244" i="12"/>
  <c r="D244" i="12"/>
  <c r="L244" i="12" s="1"/>
  <c r="B244" i="12"/>
  <c r="X243" i="12"/>
  <c r="Z243" i="12" s="1"/>
  <c r="L243" i="12"/>
  <c r="N243" i="12" s="1"/>
  <c r="B243" i="12"/>
  <c r="X242" i="12"/>
  <c r="T242" i="12"/>
  <c r="Z242" i="12" s="1"/>
  <c r="P242" i="12"/>
  <c r="L242" i="12"/>
  <c r="H242" i="12"/>
  <c r="N242" i="12" s="1"/>
  <c r="D242" i="12"/>
  <c r="B242" i="12"/>
  <c r="Z241" i="12"/>
  <c r="X241" i="12"/>
  <c r="L241" i="12"/>
  <c r="N241" i="12" s="1"/>
  <c r="B241" i="12"/>
  <c r="Z240" i="12"/>
  <c r="X240" i="12"/>
  <c r="N240" i="12"/>
  <c r="L240" i="12"/>
  <c r="B240" i="12"/>
  <c r="T239" i="12"/>
  <c r="P239" i="12"/>
  <c r="N239" i="12"/>
  <c r="H239" i="12"/>
  <c r="L239" i="12" s="1"/>
  <c r="D239" i="12"/>
  <c r="B239" i="12"/>
  <c r="Z238" i="12"/>
  <c r="X238" i="12"/>
  <c r="N238" i="12"/>
  <c r="L238" i="12"/>
  <c r="B238" i="12"/>
  <c r="X237" i="12"/>
  <c r="Z237" i="12" s="1"/>
  <c r="N237" i="12"/>
  <c r="L237" i="12"/>
  <c r="B237" i="12"/>
  <c r="Z236" i="12"/>
  <c r="X236" i="12"/>
  <c r="L236" i="12"/>
  <c r="N236" i="12" s="1"/>
  <c r="B236" i="12"/>
  <c r="Z235" i="12"/>
  <c r="X235" i="12"/>
  <c r="L235" i="12"/>
  <c r="N235" i="12" s="1"/>
  <c r="B235" i="12"/>
  <c r="Z234" i="12"/>
  <c r="X234" i="12"/>
  <c r="L234" i="12"/>
  <c r="N234" i="12" s="1"/>
  <c r="B234" i="12"/>
  <c r="X233" i="12"/>
  <c r="Z233" i="12" s="1"/>
  <c r="N233" i="12"/>
  <c r="L233" i="12"/>
  <c r="B233" i="12"/>
  <c r="Z232" i="12"/>
  <c r="X232" i="12"/>
  <c r="L232" i="12"/>
  <c r="N232" i="12" s="1"/>
  <c r="B232" i="12"/>
  <c r="T231" i="12"/>
  <c r="P231" i="12"/>
  <c r="X231" i="12" s="1"/>
  <c r="H231" i="12"/>
  <c r="D231" i="12"/>
  <c r="L231" i="12" s="1"/>
  <c r="B231" i="12"/>
  <c r="X230" i="12"/>
  <c r="Z230" i="12" s="1"/>
  <c r="N230" i="12"/>
  <c r="L230" i="12"/>
  <c r="B230" i="12"/>
  <c r="X229" i="12"/>
  <c r="Z229" i="12" s="1"/>
  <c r="N229" i="12"/>
  <c r="L229" i="12"/>
  <c r="B229" i="12"/>
  <c r="X228" i="12"/>
  <c r="T228" i="12"/>
  <c r="P228" i="12"/>
  <c r="L228" i="12"/>
  <c r="H228" i="12"/>
  <c r="D228" i="12"/>
  <c r="B228" i="12"/>
  <c r="X227" i="12"/>
  <c r="Z227" i="12" s="1"/>
  <c r="N227" i="12"/>
  <c r="L227" i="12"/>
  <c r="B227" i="12"/>
  <c r="Z226" i="12"/>
  <c r="X226" i="12"/>
  <c r="L226" i="12"/>
  <c r="N226" i="12" s="1"/>
  <c r="B226" i="12"/>
  <c r="Z225" i="12"/>
  <c r="X225" i="12"/>
  <c r="L225" i="12"/>
  <c r="N225" i="12" s="1"/>
  <c r="B225" i="12"/>
  <c r="Z224" i="12"/>
  <c r="X224" i="12"/>
  <c r="N224" i="12"/>
  <c r="L224" i="12"/>
  <c r="B224" i="12"/>
  <c r="X223" i="12"/>
  <c r="Z223" i="12" s="1"/>
  <c r="N223" i="12"/>
  <c r="L223" i="12"/>
  <c r="B223" i="12"/>
  <c r="T222" i="12"/>
  <c r="P222" i="12"/>
  <c r="H222" i="12"/>
  <c r="D222" i="12"/>
  <c r="B222" i="12"/>
  <c r="X221" i="12"/>
  <c r="Z221" i="12" s="1"/>
  <c r="L221" i="12"/>
  <c r="N221" i="12" s="1"/>
  <c r="B221" i="12"/>
  <c r="Z220" i="12"/>
  <c r="X220" i="12"/>
  <c r="L220" i="12"/>
  <c r="N220" i="12" s="1"/>
  <c r="B220" i="12"/>
  <c r="Z219" i="12"/>
  <c r="X219" i="12"/>
  <c r="N219" i="12"/>
  <c r="L219" i="12"/>
  <c r="B219" i="12"/>
  <c r="X218" i="12"/>
  <c r="Z218" i="12" s="1"/>
  <c r="T218" i="12"/>
  <c r="P218" i="12"/>
  <c r="H218" i="12"/>
  <c r="D218" i="12"/>
  <c r="L218" i="12" s="1"/>
  <c r="N218" i="12" s="1"/>
  <c r="B218" i="12"/>
  <c r="Z217" i="12"/>
  <c r="X217" i="12"/>
  <c r="N217" i="12"/>
  <c r="L217" i="12"/>
  <c r="B217" i="12"/>
  <c r="X216" i="12"/>
  <c r="Z216" i="12" s="1"/>
  <c r="N216" i="12"/>
  <c r="L216" i="12"/>
  <c r="B216" i="12"/>
  <c r="X215" i="12"/>
  <c r="Z215" i="12" s="1"/>
  <c r="N215" i="12"/>
  <c r="L215" i="12"/>
  <c r="B215" i="12"/>
  <c r="X214" i="12"/>
  <c r="T214" i="12"/>
  <c r="Z214" i="12" s="1"/>
  <c r="P214" i="12"/>
  <c r="H214" i="12"/>
  <c r="D214" i="12"/>
  <c r="B214" i="12"/>
  <c r="Z213" i="12"/>
  <c r="X213" i="12"/>
  <c r="L213" i="12"/>
  <c r="N213" i="12" s="1"/>
  <c r="B213" i="12"/>
  <c r="T212" i="12"/>
  <c r="P212" i="12"/>
  <c r="H212" i="12"/>
  <c r="N212" i="12" s="1"/>
  <c r="D212" i="12"/>
  <c r="L212" i="12" s="1"/>
  <c r="B212" i="12"/>
  <c r="Z211" i="12"/>
  <c r="X211" i="12"/>
  <c r="N211" i="12"/>
  <c r="L211" i="12"/>
  <c r="B211" i="12"/>
  <c r="T210" i="12"/>
  <c r="P210" i="12"/>
  <c r="X210" i="12" s="1"/>
  <c r="Z210" i="12" s="1"/>
  <c r="N210" i="12"/>
  <c r="H210" i="12"/>
  <c r="D210" i="12"/>
  <c r="L210" i="12" s="1"/>
  <c r="B210" i="12"/>
  <c r="Z209" i="12"/>
  <c r="X209" i="12"/>
  <c r="N209" i="12"/>
  <c r="L209" i="12"/>
  <c r="B209" i="12"/>
  <c r="X208" i="12"/>
  <c r="T208" i="12"/>
  <c r="P208" i="12"/>
  <c r="L208" i="12"/>
  <c r="H208" i="12"/>
  <c r="N208" i="12" s="1"/>
  <c r="D208" i="12"/>
  <c r="B208" i="12"/>
  <c r="X207" i="12"/>
  <c r="Z207" i="12" s="1"/>
  <c r="N207" i="12"/>
  <c r="L207" i="12"/>
  <c r="B207" i="12"/>
  <c r="T206" i="12"/>
  <c r="P206" i="12"/>
  <c r="H206" i="12"/>
  <c r="L206" i="12" s="1"/>
  <c r="D206" i="12"/>
  <c r="B206" i="12"/>
  <c r="X205" i="12"/>
  <c r="Z205" i="12" s="1"/>
  <c r="L205" i="12"/>
  <c r="N205" i="12" s="1"/>
  <c r="B205" i="12"/>
  <c r="T204" i="12"/>
  <c r="P204" i="12"/>
  <c r="X204" i="12" s="1"/>
  <c r="Z204" i="12" s="1"/>
  <c r="N204" i="12"/>
  <c r="L204" i="12"/>
  <c r="H204" i="12"/>
  <c r="D204" i="12"/>
  <c r="B204" i="12"/>
  <c r="X203" i="12"/>
  <c r="Z203" i="12" s="1"/>
  <c r="N203" i="12"/>
  <c r="L203" i="12"/>
  <c r="B203" i="12"/>
  <c r="X202" i="12"/>
  <c r="T202" i="12"/>
  <c r="P202" i="12"/>
  <c r="H202" i="12"/>
  <c r="F202" i="12"/>
  <c r="D202" i="12"/>
  <c r="L202" i="12" s="1"/>
  <c r="B202" i="12"/>
  <c r="Z201" i="12"/>
  <c r="X201" i="12"/>
  <c r="L201" i="12"/>
  <c r="N201" i="12" s="1"/>
  <c r="B201" i="12"/>
  <c r="X200" i="12"/>
  <c r="Z200" i="12" s="1"/>
  <c r="N200" i="12"/>
  <c r="L200" i="12"/>
  <c r="B200" i="12"/>
  <c r="Z199" i="12"/>
  <c r="X199" i="12"/>
  <c r="T199" i="12"/>
  <c r="P199" i="12"/>
  <c r="H199" i="12"/>
  <c r="D199" i="12"/>
  <c r="B199" i="12"/>
  <c r="X198" i="12"/>
  <c r="Z198" i="12" s="1"/>
  <c r="L198" i="12"/>
  <c r="N198" i="12" s="1"/>
  <c r="B198" i="12"/>
  <c r="T197" i="12"/>
  <c r="P197" i="12"/>
  <c r="X197" i="12" s="1"/>
  <c r="N197" i="12"/>
  <c r="H197" i="12"/>
  <c r="D197" i="12"/>
  <c r="L197" i="12" s="1"/>
  <c r="B197" i="12"/>
  <c r="X196" i="12"/>
  <c r="Z196" i="12" s="1"/>
  <c r="L196" i="12"/>
  <c r="N196" i="12" s="1"/>
  <c r="B196" i="12"/>
  <c r="X195" i="12"/>
  <c r="Z195" i="12" s="1"/>
  <c r="T195" i="12"/>
  <c r="P195" i="12"/>
  <c r="N195" i="12"/>
  <c r="L195" i="12"/>
  <c r="H195" i="12"/>
  <c r="D195" i="12"/>
  <c r="B195" i="12"/>
  <c r="Z194" i="12"/>
  <c r="X194" i="12"/>
  <c r="L194" i="12"/>
  <c r="N194" i="12" s="1"/>
  <c r="B194" i="12"/>
  <c r="Z193" i="12"/>
  <c r="T193" i="12"/>
  <c r="X193" i="12" s="1"/>
  <c r="P193" i="12"/>
  <c r="L193" i="12"/>
  <c r="H193" i="12"/>
  <c r="D193" i="12"/>
  <c r="B193" i="12"/>
  <c r="Z192" i="12"/>
  <c r="X192" i="12"/>
  <c r="L192" i="12"/>
  <c r="N192" i="12" s="1"/>
  <c r="B192" i="12"/>
  <c r="Z191" i="12"/>
  <c r="X191" i="12"/>
  <c r="L191" i="12"/>
  <c r="N191" i="12" s="1"/>
  <c r="B191" i="12"/>
  <c r="T190" i="12"/>
  <c r="P190" i="12"/>
  <c r="X190" i="12" s="1"/>
  <c r="Z190" i="12" s="1"/>
  <c r="H190" i="12"/>
  <c r="D190" i="12"/>
  <c r="L190" i="12" s="1"/>
  <c r="N190" i="12" s="1"/>
  <c r="B190" i="12"/>
  <c r="X189" i="12"/>
  <c r="Z189" i="12" s="1"/>
  <c r="N189" i="12"/>
  <c r="L189" i="12"/>
  <c r="B189" i="12"/>
  <c r="X188" i="12"/>
  <c r="Z188" i="12" s="1"/>
  <c r="N188" i="12"/>
  <c r="L188" i="12"/>
  <c r="B188" i="12"/>
  <c r="X187" i="12"/>
  <c r="Z187" i="12" s="1"/>
  <c r="T187" i="12"/>
  <c r="P187" i="12"/>
  <c r="L187" i="12"/>
  <c r="N187" i="12" s="1"/>
  <c r="H187" i="12"/>
  <c r="D187" i="12"/>
  <c r="B187" i="12"/>
  <c r="Z186" i="12"/>
  <c r="X186" i="12"/>
  <c r="L186" i="12"/>
  <c r="N186" i="12" s="1"/>
  <c r="B186" i="12"/>
  <c r="Z185" i="12"/>
  <c r="T185" i="12"/>
  <c r="X185" i="12" s="1"/>
  <c r="P185" i="12"/>
  <c r="H185" i="12"/>
  <c r="D185" i="12"/>
  <c r="B185" i="12"/>
  <c r="Z184" i="12"/>
  <c r="X184" i="12"/>
  <c r="L184" i="12"/>
  <c r="N184" i="12" s="1"/>
  <c r="B184" i="12"/>
  <c r="Z183" i="12"/>
  <c r="X183" i="12"/>
  <c r="T183" i="12"/>
  <c r="P183" i="12"/>
  <c r="H183" i="12"/>
  <c r="F183" i="12"/>
  <c r="D183" i="12"/>
  <c r="L183" i="12" s="1"/>
  <c r="B183" i="12"/>
  <c r="X182" i="12"/>
  <c r="Z182" i="12" s="1"/>
  <c r="N182" i="12"/>
  <c r="L182" i="12"/>
  <c r="B182" i="12"/>
  <c r="T181" i="12"/>
  <c r="P181" i="12"/>
  <c r="H181" i="12"/>
  <c r="D181" i="12"/>
  <c r="L181" i="12" s="1"/>
  <c r="N181" i="12" s="1"/>
  <c r="B181" i="12"/>
  <c r="Z180" i="12"/>
  <c r="X180" i="12"/>
  <c r="N180" i="12"/>
  <c r="L180" i="12"/>
  <c r="B180" i="12"/>
  <c r="X179" i="12"/>
  <c r="Z179" i="12" s="1"/>
  <c r="N179" i="12"/>
  <c r="L179" i="12"/>
  <c r="B179" i="12"/>
  <c r="Z178" i="12"/>
  <c r="X178" i="12"/>
  <c r="L178" i="12"/>
  <c r="N178" i="12" s="1"/>
  <c r="B178" i="12"/>
  <c r="Z177" i="12"/>
  <c r="X177" i="12"/>
  <c r="L177" i="12"/>
  <c r="N177" i="12" s="1"/>
  <c r="B177" i="12"/>
  <c r="X176" i="12"/>
  <c r="Z176" i="12" s="1"/>
  <c r="N176" i="12"/>
  <c r="L176" i="12"/>
  <c r="B176" i="12"/>
  <c r="X175" i="12"/>
  <c r="Z175" i="12" s="1"/>
  <c r="L175" i="12"/>
  <c r="N175" i="12" s="1"/>
  <c r="B175" i="12"/>
  <c r="Z174" i="12"/>
  <c r="X174" i="12"/>
  <c r="L174" i="12"/>
  <c r="N174" i="12" s="1"/>
  <c r="B174" i="12"/>
  <c r="T173" i="12"/>
  <c r="X173" i="12" s="1"/>
  <c r="P173" i="12"/>
  <c r="N173" i="12"/>
  <c r="L173" i="12"/>
  <c r="H173" i="12"/>
  <c r="D173" i="12"/>
  <c r="B173" i="12"/>
  <c r="Z172" i="12"/>
  <c r="X172" i="12"/>
  <c r="L172" i="12"/>
  <c r="N172" i="12" s="1"/>
  <c r="B172" i="12"/>
  <c r="Z171" i="12"/>
  <c r="X171" i="12"/>
  <c r="L171" i="12"/>
  <c r="N171" i="12" s="1"/>
  <c r="B171" i="12"/>
  <c r="Z170" i="12"/>
  <c r="X170" i="12"/>
  <c r="N170" i="12"/>
  <c r="L170" i="12"/>
  <c r="B170" i="12"/>
  <c r="X169" i="12"/>
  <c r="Z169" i="12" s="1"/>
  <c r="L169" i="12"/>
  <c r="N169" i="12" s="1"/>
  <c r="B169" i="12"/>
  <c r="Z168" i="12"/>
  <c r="X168" i="12"/>
  <c r="L168" i="12"/>
  <c r="N168" i="12" s="1"/>
  <c r="B168" i="12"/>
  <c r="X167" i="12"/>
  <c r="Z167" i="12" s="1"/>
  <c r="L167" i="12"/>
  <c r="N167" i="12" s="1"/>
  <c r="B167" i="12"/>
  <c r="X166" i="12"/>
  <c r="Z166" i="12" s="1"/>
  <c r="N166" i="12"/>
  <c r="L166" i="12"/>
  <c r="B166" i="12"/>
  <c r="X165" i="12"/>
  <c r="Z165" i="12" s="1"/>
  <c r="N165" i="12"/>
  <c r="L165" i="12"/>
  <c r="B165" i="12"/>
  <c r="Z164" i="12"/>
  <c r="X164" i="12"/>
  <c r="L164" i="12"/>
  <c r="N164" i="12" s="1"/>
  <c r="F164" i="12"/>
  <c r="B164" i="12"/>
  <c r="T163" i="12"/>
  <c r="P163" i="12"/>
  <c r="X163" i="12" s="1"/>
  <c r="Z163" i="12" s="1"/>
  <c r="H163" i="12"/>
  <c r="D163" i="12"/>
  <c r="B163" i="12"/>
  <c r="Z162" i="12"/>
  <c r="X162" i="12"/>
  <c r="T162" i="12"/>
  <c r="P162" i="12"/>
  <c r="H162" i="12"/>
  <c r="D162" i="12"/>
  <c r="Z158" i="12"/>
  <c r="X158" i="12"/>
  <c r="N158" i="12"/>
  <c r="L158" i="12"/>
  <c r="B158" i="12"/>
  <c r="Z157" i="12"/>
  <c r="X157" i="12"/>
  <c r="N157" i="12"/>
  <c r="L157" i="12"/>
  <c r="J157" i="12"/>
  <c r="B157" i="12"/>
  <c r="X156" i="12"/>
  <c r="Z156" i="12" s="1"/>
  <c r="N156" i="12"/>
  <c r="L156" i="12"/>
  <c r="B156" i="12"/>
  <c r="Z155" i="12"/>
  <c r="X155" i="12"/>
  <c r="N155" i="12"/>
  <c r="L155" i="12"/>
  <c r="B155" i="12"/>
  <c r="X154" i="12"/>
  <c r="Z154" i="12" s="1"/>
  <c r="L154" i="12"/>
  <c r="N154" i="12" s="1"/>
  <c r="B154" i="12"/>
  <c r="X153" i="12"/>
  <c r="Z153" i="12" s="1"/>
  <c r="L153" i="12"/>
  <c r="N153" i="12" s="1"/>
  <c r="B153" i="12"/>
  <c r="X152" i="12"/>
  <c r="Z152" i="12" s="1"/>
  <c r="L152" i="12"/>
  <c r="N152" i="12" s="1"/>
  <c r="B152" i="12"/>
  <c r="Z151" i="12"/>
  <c r="X151" i="12"/>
  <c r="L151" i="12"/>
  <c r="N151" i="12" s="1"/>
  <c r="B151" i="12"/>
  <c r="X150" i="12"/>
  <c r="Z150" i="12" s="1"/>
  <c r="N150" i="12"/>
  <c r="L150" i="12"/>
  <c r="B150" i="12"/>
  <c r="Z149" i="12"/>
  <c r="X149" i="12"/>
  <c r="N149" i="12"/>
  <c r="L149" i="12"/>
  <c r="B149" i="12"/>
  <c r="X148" i="12"/>
  <c r="Z148" i="12" s="1"/>
  <c r="N148" i="12"/>
  <c r="L148" i="12"/>
  <c r="B148" i="12"/>
  <c r="Z147" i="12"/>
  <c r="X147" i="12"/>
  <c r="N147" i="12"/>
  <c r="L147" i="12"/>
  <c r="B147" i="12"/>
  <c r="Z146" i="12"/>
  <c r="X146" i="12"/>
  <c r="N146" i="12"/>
  <c r="L146" i="12"/>
  <c r="B146" i="12"/>
  <c r="Z145" i="12"/>
  <c r="X145" i="12"/>
  <c r="N145" i="12"/>
  <c r="L145" i="12"/>
  <c r="B145" i="12"/>
  <c r="X144" i="12"/>
  <c r="Z144" i="12" s="1"/>
  <c r="L144" i="12"/>
  <c r="N144" i="12" s="1"/>
  <c r="B144" i="12"/>
  <c r="X143" i="12"/>
  <c r="Z143" i="12" s="1"/>
  <c r="N143" i="12"/>
  <c r="L143" i="12"/>
  <c r="B143" i="12"/>
  <c r="Z142" i="12"/>
  <c r="X142" i="12"/>
  <c r="L142" i="12"/>
  <c r="N142" i="12" s="1"/>
  <c r="B142" i="12"/>
  <c r="Z141" i="12"/>
  <c r="X141" i="12"/>
  <c r="N141" i="12"/>
  <c r="L141" i="12"/>
  <c r="B141" i="12"/>
  <c r="X140" i="12"/>
  <c r="Z140" i="12" s="1"/>
  <c r="L140" i="12"/>
  <c r="N140" i="12" s="1"/>
  <c r="B140" i="12"/>
  <c r="X139" i="12"/>
  <c r="Z139" i="12" s="1"/>
  <c r="N139" i="12"/>
  <c r="L139" i="12"/>
  <c r="B139" i="12"/>
  <c r="Z138" i="12"/>
  <c r="X138" i="12"/>
  <c r="L138" i="12"/>
  <c r="N138" i="12" s="1"/>
  <c r="B138" i="12"/>
  <c r="Z137" i="12"/>
  <c r="X137" i="12"/>
  <c r="N137" i="12"/>
  <c r="L137" i="12"/>
  <c r="B137" i="12"/>
  <c r="X136" i="12"/>
  <c r="Z136" i="12" s="1"/>
  <c r="L136" i="12"/>
  <c r="N136" i="12" s="1"/>
  <c r="B136" i="12"/>
  <c r="X135" i="12"/>
  <c r="Z135" i="12" s="1"/>
  <c r="N135" i="12"/>
  <c r="L135" i="12"/>
  <c r="B135" i="12"/>
  <c r="Z134" i="12"/>
  <c r="X134" i="12"/>
  <c r="L134" i="12"/>
  <c r="N134" i="12" s="1"/>
  <c r="B134" i="12"/>
  <c r="Z133" i="12"/>
  <c r="X133" i="12"/>
  <c r="N133" i="12"/>
  <c r="L133" i="12"/>
  <c r="B133" i="12"/>
  <c r="X132" i="12"/>
  <c r="Z132" i="12" s="1"/>
  <c r="L132" i="12"/>
  <c r="N132" i="12" s="1"/>
  <c r="B132" i="12"/>
  <c r="X131" i="12"/>
  <c r="Z131" i="12" s="1"/>
  <c r="N131" i="12"/>
  <c r="L131" i="12"/>
  <c r="B131" i="12"/>
  <c r="Z130" i="12"/>
  <c r="X130" i="12"/>
  <c r="L130" i="12"/>
  <c r="N130" i="12" s="1"/>
  <c r="B130" i="12"/>
  <c r="Z129" i="12"/>
  <c r="X129" i="12"/>
  <c r="N129" i="12"/>
  <c r="L129" i="12"/>
  <c r="B129" i="12"/>
  <c r="X128" i="12"/>
  <c r="Z128" i="12" s="1"/>
  <c r="L128" i="12"/>
  <c r="N128" i="12" s="1"/>
  <c r="B128" i="12"/>
  <c r="X127" i="12"/>
  <c r="Z127" i="12" s="1"/>
  <c r="N127" i="12"/>
  <c r="L127" i="12"/>
  <c r="B127" i="12"/>
  <c r="Z126" i="12"/>
  <c r="X126" i="12"/>
  <c r="L126" i="12"/>
  <c r="N126" i="12" s="1"/>
  <c r="B126" i="12"/>
  <c r="Z125" i="12"/>
  <c r="X125" i="12"/>
  <c r="N125" i="12"/>
  <c r="L125" i="12"/>
  <c r="B125" i="12"/>
  <c r="X124" i="12"/>
  <c r="Z124" i="12" s="1"/>
  <c r="L124" i="12"/>
  <c r="N124" i="12" s="1"/>
  <c r="B124" i="12"/>
  <c r="X123" i="12"/>
  <c r="Z123" i="12" s="1"/>
  <c r="N123" i="12"/>
  <c r="L123" i="12"/>
  <c r="B123" i="12"/>
  <c r="Z122" i="12"/>
  <c r="X122" i="12"/>
  <c r="L122" i="12"/>
  <c r="N122" i="12" s="1"/>
  <c r="B122" i="12"/>
  <c r="Z121" i="12"/>
  <c r="X121" i="12"/>
  <c r="N121" i="12"/>
  <c r="L121" i="12"/>
  <c r="B121" i="12"/>
  <c r="X120" i="12"/>
  <c r="Z120" i="12" s="1"/>
  <c r="L120" i="12"/>
  <c r="N120" i="12" s="1"/>
  <c r="B120" i="12"/>
  <c r="X119" i="12"/>
  <c r="Z119" i="12" s="1"/>
  <c r="N119" i="12"/>
  <c r="L119" i="12"/>
  <c r="B119" i="12"/>
  <c r="Z118" i="12"/>
  <c r="X118" i="12"/>
  <c r="N118" i="12"/>
  <c r="L118" i="12"/>
  <c r="B118" i="12"/>
  <c r="Z117" i="12"/>
  <c r="X117" i="12"/>
  <c r="N117" i="12"/>
  <c r="L117" i="12"/>
  <c r="B117" i="12"/>
  <c r="Z116" i="12"/>
  <c r="X116" i="12"/>
  <c r="L116" i="12"/>
  <c r="N116" i="12" s="1"/>
  <c r="B116" i="12"/>
  <c r="X115" i="12"/>
  <c r="Z115" i="12" s="1"/>
  <c r="N115" i="12"/>
  <c r="L115" i="12"/>
  <c r="B115" i="12"/>
  <c r="Z114" i="12"/>
  <c r="X114" i="12"/>
  <c r="L114" i="12"/>
  <c r="N114" i="12" s="1"/>
  <c r="B114" i="12"/>
  <c r="Z113" i="12"/>
  <c r="X113" i="12"/>
  <c r="N113" i="12"/>
  <c r="L113" i="12"/>
  <c r="B113" i="12"/>
  <c r="X112" i="12"/>
  <c r="Z112" i="12" s="1"/>
  <c r="L112" i="12"/>
  <c r="N112" i="12" s="1"/>
  <c r="B112" i="12"/>
  <c r="X111" i="12"/>
  <c r="Z111" i="12" s="1"/>
  <c r="N111" i="12"/>
  <c r="L111" i="12"/>
  <c r="B111" i="12"/>
  <c r="Z110" i="12"/>
  <c r="X110" i="12"/>
  <c r="L110" i="12"/>
  <c r="N110" i="12" s="1"/>
  <c r="B110" i="12"/>
  <c r="Z109" i="12"/>
  <c r="X109" i="12"/>
  <c r="N109" i="12"/>
  <c r="L109" i="12"/>
  <c r="B109" i="12"/>
  <c r="T108" i="12"/>
  <c r="Z108" i="12" s="1"/>
  <c r="P108" i="12"/>
  <c r="X108" i="12" s="1"/>
  <c r="H108" i="12"/>
  <c r="D108" i="12"/>
  <c r="L108" i="12" s="1"/>
  <c r="N108" i="12" s="1"/>
  <c r="X106" i="12"/>
  <c r="T106" i="12"/>
  <c r="Z106" i="12" s="1"/>
  <c r="P106" i="12"/>
  <c r="L106" i="12"/>
  <c r="H106" i="12"/>
  <c r="N106" i="12" s="1"/>
  <c r="D106" i="12"/>
  <c r="B106" i="12"/>
  <c r="T105" i="12"/>
  <c r="Z105" i="12" s="1"/>
  <c r="P105" i="12"/>
  <c r="N105" i="12"/>
  <c r="H105" i="12"/>
  <c r="D105" i="12"/>
  <c r="L105" i="12" s="1"/>
  <c r="B105" i="12"/>
  <c r="Z104" i="12"/>
  <c r="X104" i="12"/>
  <c r="T104" i="12"/>
  <c r="P104" i="12"/>
  <c r="L104" i="12"/>
  <c r="N104" i="12" s="1"/>
  <c r="H104" i="12"/>
  <c r="D104" i="12"/>
  <c r="B104" i="12"/>
  <c r="T103" i="12"/>
  <c r="P103" i="12"/>
  <c r="H103" i="12"/>
  <c r="D103" i="12"/>
  <c r="L103" i="12" s="1"/>
  <c r="N103" i="12" s="1"/>
  <c r="B103" i="12"/>
  <c r="X102" i="12"/>
  <c r="T102" i="12"/>
  <c r="Z102" i="12" s="1"/>
  <c r="P102" i="12"/>
  <c r="L102" i="12"/>
  <c r="H102" i="12"/>
  <c r="N102" i="12" s="1"/>
  <c r="D102" i="12"/>
  <c r="B102" i="12"/>
  <c r="T101" i="12"/>
  <c r="P101" i="12"/>
  <c r="N101" i="12"/>
  <c r="H101" i="12"/>
  <c r="L101" i="12" s="1"/>
  <c r="D101" i="12"/>
  <c r="B101" i="12"/>
  <c r="Z100" i="12"/>
  <c r="X100" i="12"/>
  <c r="T100" i="12"/>
  <c r="P100" i="12"/>
  <c r="L100" i="12"/>
  <c r="N100" i="12" s="1"/>
  <c r="H100" i="12"/>
  <c r="D100" i="12"/>
  <c r="B100" i="12"/>
  <c r="T99" i="12"/>
  <c r="P99" i="12"/>
  <c r="H99" i="12"/>
  <c r="D99" i="12"/>
  <c r="L99" i="12" s="1"/>
  <c r="N99" i="12" s="1"/>
  <c r="B99" i="12"/>
  <c r="X98" i="12"/>
  <c r="T98" i="12"/>
  <c r="Z98" i="12" s="1"/>
  <c r="P98" i="12"/>
  <c r="L98" i="12"/>
  <c r="H98" i="12"/>
  <c r="N98" i="12" s="1"/>
  <c r="D98" i="12"/>
  <c r="B98" i="12"/>
  <c r="T97" i="12"/>
  <c r="P97" i="12"/>
  <c r="H97" i="12"/>
  <c r="L97" i="12" s="1"/>
  <c r="N97" i="12" s="1"/>
  <c r="D97" i="12"/>
  <c r="B97" i="12"/>
  <c r="Z96" i="12"/>
  <c r="X96" i="12"/>
  <c r="T96" i="12"/>
  <c r="P96" i="12"/>
  <c r="L96" i="12"/>
  <c r="N96" i="12" s="1"/>
  <c r="H96" i="12"/>
  <c r="D96" i="12"/>
  <c r="B96" i="12"/>
  <c r="T95" i="12"/>
  <c r="P95" i="12"/>
  <c r="N95" i="12"/>
  <c r="H95" i="12"/>
  <c r="D95" i="12"/>
  <c r="L95" i="12" s="1"/>
  <c r="B95" i="12"/>
  <c r="X94" i="12"/>
  <c r="T94" i="12"/>
  <c r="Z94" i="12" s="1"/>
  <c r="P94" i="12"/>
  <c r="L94" i="12"/>
  <c r="H94" i="12"/>
  <c r="N94" i="12" s="1"/>
  <c r="D94" i="12"/>
  <c r="B94" i="12"/>
  <c r="T93" i="12"/>
  <c r="Z93" i="12" s="1"/>
  <c r="P93" i="12"/>
  <c r="N93" i="12"/>
  <c r="H93" i="12"/>
  <c r="L93" i="12" s="1"/>
  <c r="D93" i="12"/>
  <c r="B93" i="12"/>
  <c r="Z92" i="12"/>
  <c r="X92" i="12"/>
  <c r="T92" i="12"/>
  <c r="P92" i="12"/>
  <c r="N92" i="12"/>
  <c r="L92" i="12"/>
  <c r="H92" i="12"/>
  <c r="D92" i="12"/>
  <c r="B92" i="12"/>
  <c r="T91" i="12"/>
  <c r="P91" i="12"/>
  <c r="H91" i="12"/>
  <c r="D91" i="12"/>
  <c r="L91" i="12" s="1"/>
  <c r="N91" i="12" s="1"/>
  <c r="B91" i="12"/>
  <c r="X90" i="12"/>
  <c r="T90" i="12"/>
  <c r="Z90" i="12" s="1"/>
  <c r="P90" i="12"/>
  <c r="L90" i="12"/>
  <c r="H90" i="12"/>
  <c r="D90" i="12"/>
  <c r="B90" i="12"/>
  <c r="T89" i="12"/>
  <c r="P89" i="12"/>
  <c r="H89" i="12"/>
  <c r="L89" i="12" s="1"/>
  <c r="N89" i="12" s="1"/>
  <c r="D89" i="12"/>
  <c r="B89" i="12"/>
  <c r="Z88" i="12"/>
  <c r="X88" i="12"/>
  <c r="T88" i="12"/>
  <c r="P88" i="12"/>
  <c r="L88" i="12"/>
  <c r="N88" i="12" s="1"/>
  <c r="H88" i="12"/>
  <c r="D88" i="12"/>
  <c r="B88" i="12"/>
  <c r="T87" i="12"/>
  <c r="P87" i="12"/>
  <c r="X87" i="12" s="1"/>
  <c r="H87" i="12"/>
  <c r="D87" i="12"/>
  <c r="L87" i="12" s="1"/>
  <c r="N87" i="12" s="1"/>
  <c r="B87" i="12"/>
  <c r="X86" i="12"/>
  <c r="T86" i="12"/>
  <c r="Z86" i="12" s="1"/>
  <c r="P86" i="12"/>
  <c r="L86" i="12"/>
  <c r="H86" i="12"/>
  <c r="N86" i="12" s="1"/>
  <c r="D86" i="12"/>
  <c r="B86" i="12"/>
  <c r="T85" i="12"/>
  <c r="P85" i="12"/>
  <c r="N85" i="12"/>
  <c r="L85" i="12"/>
  <c r="H85" i="12"/>
  <c r="D85" i="12"/>
  <c r="B85" i="12"/>
  <c r="Z84" i="12"/>
  <c r="X84" i="12"/>
  <c r="T84" i="12"/>
  <c r="P84" i="12"/>
  <c r="L84" i="12"/>
  <c r="N84" i="12" s="1"/>
  <c r="H84" i="12"/>
  <c r="D84" i="12"/>
  <c r="B84" i="12"/>
  <c r="T83" i="12"/>
  <c r="P83" i="12"/>
  <c r="H83" i="12"/>
  <c r="D83" i="12"/>
  <c r="L83" i="12" s="1"/>
  <c r="N83" i="12" s="1"/>
  <c r="B83" i="12"/>
  <c r="X82" i="12"/>
  <c r="T82" i="12"/>
  <c r="Z82" i="12" s="1"/>
  <c r="P82" i="12"/>
  <c r="L82" i="12"/>
  <c r="H82" i="12"/>
  <c r="D82" i="12"/>
  <c r="B82" i="12"/>
  <c r="T81" i="12"/>
  <c r="P81" i="12"/>
  <c r="N81" i="12"/>
  <c r="L81" i="12"/>
  <c r="H81" i="12"/>
  <c r="D81" i="12"/>
  <c r="B81" i="12"/>
  <c r="T80" i="12"/>
  <c r="X80" i="12" s="1"/>
  <c r="Z80" i="12" s="1"/>
  <c r="P80" i="12"/>
  <c r="N80" i="12"/>
  <c r="L80" i="12"/>
  <c r="H80" i="12"/>
  <c r="D80" i="12"/>
  <c r="B80" i="12"/>
  <c r="T79" i="12"/>
  <c r="P79" i="12"/>
  <c r="X79" i="12" s="1"/>
  <c r="N79" i="12"/>
  <c r="H79" i="12"/>
  <c r="D79" i="12"/>
  <c r="L79" i="12" s="1"/>
  <c r="B79" i="12"/>
  <c r="X78" i="12"/>
  <c r="T78" i="12"/>
  <c r="Z78" i="12" s="1"/>
  <c r="P78" i="12"/>
  <c r="L78" i="12"/>
  <c r="H78" i="12"/>
  <c r="N78" i="12" s="1"/>
  <c r="D78" i="12"/>
  <c r="B78" i="12"/>
  <c r="T77" i="12"/>
  <c r="P77" i="12"/>
  <c r="N77" i="12"/>
  <c r="L77" i="12"/>
  <c r="H77" i="12"/>
  <c r="D77" i="12"/>
  <c r="B77" i="12"/>
  <c r="T76" i="12"/>
  <c r="X76" i="12" s="1"/>
  <c r="Z76" i="12" s="1"/>
  <c r="P76" i="12"/>
  <c r="L76" i="12"/>
  <c r="N76" i="12" s="1"/>
  <c r="H76" i="12"/>
  <c r="D76" i="12"/>
  <c r="B76" i="12"/>
  <c r="T75" i="12"/>
  <c r="P75" i="12"/>
  <c r="L75" i="12"/>
  <c r="N75" i="12" s="1"/>
  <c r="H75" i="12"/>
  <c r="D75" i="12"/>
  <c r="B75" i="12"/>
  <c r="X74" i="12"/>
  <c r="T74" i="12"/>
  <c r="Z74" i="12" s="1"/>
  <c r="P74" i="12"/>
  <c r="L74" i="12"/>
  <c r="H74" i="12"/>
  <c r="D74" i="12"/>
  <c r="B74" i="12"/>
  <c r="T73" i="12"/>
  <c r="P73" i="12"/>
  <c r="N73" i="12"/>
  <c r="L73" i="12"/>
  <c r="H73" i="12"/>
  <c r="D73" i="12"/>
  <c r="B73" i="12"/>
  <c r="T72" i="12"/>
  <c r="X72" i="12" s="1"/>
  <c r="Z72" i="12" s="1"/>
  <c r="P72" i="12"/>
  <c r="L72" i="12"/>
  <c r="N72" i="12" s="1"/>
  <c r="H72" i="12"/>
  <c r="D72" i="12"/>
  <c r="B72" i="12"/>
  <c r="T71" i="12"/>
  <c r="P71" i="12"/>
  <c r="X71" i="12" s="1"/>
  <c r="L71" i="12"/>
  <c r="N71" i="12" s="1"/>
  <c r="H71" i="12"/>
  <c r="D71" i="12"/>
  <c r="B71" i="12"/>
  <c r="X70" i="12"/>
  <c r="T70" i="12"/>
  <c r="Z70" i="12" s="1"/>
  <c r="P70" i="12"/>
  <c r="L70" i="12"/>
  <c r="H70" i="12"/>
  <c r="D70" i="12"/>
  <c r="B70" i="12"/>
  <c r="T69" i="12"/>
  <c r="P69" i="12"/>
  <c r="N69" i="12"/>
  <c r="L69" i="12"/>
  <c r="H69" i="12"/>
  <c r="D69" i="12"/>
  <c r="B69" i="12"/>
  <c r="T68" i="12"/>
  <c r="X68" i="12" s="1"/>
  <c r="Z68" i="12" s="1"/>
  <c r="P68" i="12"/>
  <c r="L68" i="12"/>
  <c r="N68" i="12" s="1"/>
  <c r="H68" i="12"/>
  <c r="D68" i="12"/>
  <c r="B68" i="12"/>
  <c r="T67" i="12"/>
  <c r="P67" i="12"/>
  <c r="L67" i="12"/>
  <c r="N67" i="12" s="1"/>
  <c r="H67" i="12"/>
  <c r="D67" i="12"/>
  <c r="B67" i="12"/>
  <c r="X66" i="12"/>
  <c r="T66" i="12"/>
  <c r="Z66" i="12" s="1"/>
  <c r="P66" i="12"/>
  <c r="L66" i="12"/>
  <c r="H66" i="12"/>
  <c r="D66" i="12"/>
  <c r="B66" i="12"/>
  <c r="T65" i="12"/>
  <c r="P65" i="12"/>
  <c r="N65" i="12"/>
  <c r="L65" i="12"/>
  <c r="H65" i="12"/>
  <c r="D65" i="12"/>
  <c r="B65" i="12"/>
  <c r="T64" i="12"/>
  <c r="X64" i="12" s="1"/>
  <c r="Z64" i="12" s="1"/>
  <c r="P64" i="12"/>
  <c r="L64" i="12"/>
  <c r="N64" i="12" s="1"/>
  <c r="H64" i="12"/>
  <c r="D64" i="12"/>
  <c r="B64" i="12"/>
  <c r="T63" i="12"/>
  <c r="P63" i="12"/>
  <c r="X63" i="12" s="1"/>
  <c r="L63" i="12"/>
  <c r="N63" i="12" s="1"/>
  <c r="H63" i="12"/>
  <c r="D63" i="12"/>
  <c r="B63" i="12"/>
  <c r="X62" i="12"/>
  <c r="T62" i="12"/>
  <c r="Z62" i="12" s="1"/>
  <c r="P62" i="12"/>
  <c r="L62" i="12"/>
  <c r="H62" i="12"/>
  <c r="N62" i="12" s="1"/>
  <c r="D62" i="12"/>
  <c r="B62" i="12"/>
  <c r="T61" i="12"/>
  <c r="P61" i="12"/>
  <c r="N61" i="12"/>
  <c r="L61" i="12"/>
  <c r="H61" i="12"/>
  <c r="D61" i="12"/>
  <c r="B61" i="12"/>
  <c r="T60" i="12"/>
  <c r="X60" i="12" s="1"/>
  <c r="Z60" i="12" s="1"/>
  <c r="P60" i="12"/>
  <c r="L60" i="12"/>
  <c r="N60" i="12" s="1"/>
  <c r="H60" i="12"/>
  <c r="D60" i="12"/>
  <c r="B60" i="12"/>
  <c r="T59" i="12"/>
  <c r="P59" i="12"/>
  <c r="L59" i="12"/>
  <c r="N59" i="12" s="1"/>
  <c r="H59" i="12"/>
  <c r="D59" i="12"/>
  <c r="B59" i="12"/>
  <c r="T58" i="12"/>
  <c r="P58" i="12"/>
  <c r="L58" i="12"/>
  <c r="H58" i="12"/>
  <c r="D58" i="12"/>
  <c r="B58" i="12"/>
  <c r="T57" i="12"/>
  <c r="P57" i="12"/>
  <c r="L57" i="12"/>
  <c r="N57" i="12" s="1"/>
  <c r="H57" i="12"/>
  <c r="D57" i="12"/>
  <c r="B57" i="12"/>
  <c r="T56" i="12"/>
  <c r="X56" i="12" s="1"/>
  <c r="Z56" i="12" s="1"/>
  <c r="P56" i="12"/>
  <c r="L56" i="12"/>
  <c r="N56" i="12" s="1"/>
  <c r="H56" i="12"/>
  <c r="D56" i="12"/>
  <c r="B56" i="12"/>
  <c r="T55" i="12"/>
  <c r="P55" i="12"/>
  <c r="L55" i="12"/>
  <c r="N55" i="12" s="1"/>
  <c r="H55" i="12"/>
  <c r="D55" i="12"/>
  <c r="B55" i="12"/>
  <c r="T54" i="12"/>
  <c r="P54" i="12"/>
  <c r="L54" i="12"/>
  <c r="H54" i="12"/>
  <c r="N54" i="12" s="1"/>
  <c r="D54" i="12"/>
  <c r="B54" i="12"/>
  <c r="T53" i="12"/>
  <c r="P53" i="12"/>
  <c r="N53" i="12"/>
  <c r="L53" i="12"/>
  <c r="H53" i="12"/>
  <c r="D53" i="12"/>
  <c r="B53" i="12"/>
  <c r="T52" i="12"/>
  <c r="X52" i="12" s="1"/>
  <c r="Z52" i="12" s="1"/>
  <c r="P52" i="12"/>
  <c r="L52" i="12"/>
  <c r="N52" i="12" s="1"/>
  <c r="H52" i="12"/>
  <c r="D52" i="12"/>
  <c r="B52" i="12"/>
  <c r="T51" i="12"/>
  <c r="P51" i="12"/>
  <c r="L51" i="12"/>
  <c r="N51" i="12" s="1"/>
  <c r="H51" i="12"/>
  <c r="D51" i="12"/>
  <c r="B51" i="12"/>
  <c r="T50" i="12"/>
  <c r="P50" i="12"/>
  <c r="L50" i="12"/>
  <c r="H50" i="12"/>
  <c r="N50" i="12" s="1"/>
  <c r="D50" i="12"/>
  <c r="B50" i="12"/>
  <c r="T49" i="12"/>
  <c r="P49" i="12"/>
  <c r="L49" i="12"/>
  <c r="N49" i="12" s="1"/>
  <c r="H49" i="12"/>
  <c r="D49" i="12"/>
  <c r="B49" i="12"/>
  <c r="T48" i="12"/>
  <c r="X48" i="12" s="1"/>
  <c r="Z48" i="12" s="1"/>
  <c r="P48" i="12"/>
  <c r="L48" i="12"/>
  <c r="N48" i="12" s="1"/>
  <c r="H48" i="12"/>
  <c r="D48" i="12"/>
  <c r="B48" i="12"/>
  <c r="T47" i="12"/>
  <c r="P47" i="12"/>
  <c r="L47" i="12"/>
  <c r="N47" i="12" s="1"/>
  <c r="H47" i="12"/>
  <c r="D47" i="12"/>
  <c r="B47" i="12"/>
  <c r="T46" i="12"/>
  <c r="P46" i="12"/>
  <c r="L46" i="12"/>
  <c r="H46" i="12"/>
  <c r="N46" i="12" s="1"/>
  <c r="D46" i="12"/>
  <c r="B46" i="12"/>
  <c r="T45" i="12"/>
  <c r="P45" i="12"/>
  <c r="L45" i="12"/>
  <c r="N45" i="12" s="1"/>
  <c r="H45" i="12"/>
  <c r="D45" i="12"/>
  <c r="B45" i="12"/>
  <c r="T44" i="12"/>
  <c r="X44" i="12" s="1"/>
  <c r="Z44" i="12" s="1"/>
  <c r="P44" i="12"/>
  <c r="L44" i="12"/>
  <c r="N44" i="12" s="1"/>
  <c r="H44" i="12"/>
  <c r="D44" i="12"/>
  <c r="B44" i="12"/>
  <c r="T43" i="12"/>
  <c r="P43" i="12"/>
  <c r="L43" i="12"/>
  <c r="N43" i="12" s="1"/>
  <c r="H43" i="12"/>
  <c r="D43" i="12"/>
  <c r="B43" i="12"/>
  <c r="T42" i="12"/>
  <c r="P42" i="12"/>
  <c r="L42" i="12"/>
  <c r="H42" i="12"/>
  <c r="N42" i="12" s="1"/>
  <c r="D42" i="12"/>
  <c r="B42" i="12"/>
  <c r="T41" i="12"/>
  <c r="P41" i="12"/>
  <c r="L41" i="12"/>
  <c r="N41" i="12" s="1"/>
  <c r="H41" i="12"/>
  <c r="D41" i="12"/>
  <c r="B41" i="12"/>
  <c r="T40" i="12"/>
  <c r="X40" i="12" s="1"/>
  <c r="Z40" i="12" s="1"/>
  <c r="P40" i="12"/>
  <c r="L40" i="12"/>
  <c r="N40" i="12" s="1"/>
  <c r="H40" i="12"/>
  <c r="D40" i="12"/>
  <c r="B40" i="12"/>
  <c r="T39" i="12"/>
  <c r="P39" i="12"/>
  <c r="L39" i="12"/>
  <c r="N39" i="12" s="1"/>
  <c r="H39" i="12"/>
  <c r="D39" i="12"/>
  <c r="B39" i="12"/>
  <c r="T38" i="12"/>
  <c r="P38" i="12"/>
  <c r="L38" i="12"/>
  <c r="H38" i="12"/>
  <c r="N38" i="12" s="1"/>
  <c r="D38" i="12"/>
  <c r="B38" i="12"/>
  <c r="T37" i="12"/>
  <c r="P37" i="12"/>
  <c r="L37" i="12"/>
  <c r="N37" i="12" s="1"/>
  <c r="H37" i="12"/>
  <c r="D37" i="12"/>
  <c r="B37" i="12"/>
  <c r="T36" i="12"/>
  <c r="X36" i="12" s="1"/>
  <c r="P36" i="12"/>
  <c r="L36" i="12"/>
  <c r="N36" i="12" s="1"/>
  <c r="H36" i="12"/>
  <c r="D36" i="12"/>
  <c r="B36" i="12"/>
  <c r="T35" i="12"/>
  <c r="P35" i="12"/>
  <c r="L35" i="12"/>
  <c r="N35" i="12" s="1"/>
  <c r="H35" i="12"/>
  <c r="D35" i="12"/>
  <c r="B35" i="12"/>
  <c r="T34" i="12"/>
  <c r="P34" i="12"/>
  <c r="L34" i="12"/>
  <c r="H34" i="12"/>
  <c r="N34" i="12" s="1"/>
  <c r="D34" i="12"/>
  <c r="B34" i="12"/>
  <c r="T33" i="12"/>
  <c r="P33" i="12"/>
  <c r="L33" i="12"/>
  <c r="N33" i="12" s="1"/>
  <c r="H33" i="12"/>
  <c r="D33" i="12"/>
  <c r="B33" i="12"/>
  <c r="T32" i="12"/>
  <c r="X32" i="12" s="1"/>
  <c r="P32" i="12"/>
  <c r="L32" i="12"/>
  <c r="N32" i="12" s="1"/>
  <c r="H32" i="12"/>
  <c r="D32" i="12"/>
  <c r="B32" i="12"/>
  <c r="T31" i="12"/>
  <c r="P31" i="12"/>
  <c r="L31" i="12"/>
  <c r="N31" i="12" s="1"/>
  <c r="H31" i="12"/>
  <c r="D31" i="12"/>
  <c r="B31" i="12"/>
  <c r="T30" i="12"/>
  <c r="P30" i="12"/>
  <c r="L30" i="12"/>
  <c r="H30" i="12"/>
  <c r="N30" i="12" s="1"/>
  <c r="D30" i="12"/>
  <c r="B30" i="12"/>
  <c r="T29" i="12"/>
  <c r="P29" i="12"/>
  <c r="L29" i="12"/>
  <c r="N29" i="12" s="1"/>
  <c r="H29" i="12"/>
  <c r="D29" i="12"/>
  <c r="B29" i="12"/>
  <c r="T28" i="12"/>
  <c r="X28" i="12" s="1"/>
  <c r="P28" i="12"/>
  <c r="L28" i="12"/>
  <c r="N28" i="12" s="1"/>
  <c r="H28" i="12"/>
  <c r="D28" i="12"/>
  <c r="B28" i="12"/>
  <c r="T27" i="12"/>
  <c r="P27" i="12"/>
  <c r="L27" i="12"/>
  <c r="N27" i="12" s="1"/>
  <c r="H27" i="12"/>
  <c r="D27" i="12"/>
  <c r="B27" i="12"/>
  <c r="T26" i="12"/>
  <c r="P26" i="12"/>
  <c r="L26" i="12"/>
  <c r="H26" i="12"/>
  <c r="N26" i="12" s="1"/>
  <c r="D26" i="12"/>
  <c r="B26" i="12"/>
  <c r="T25" i="12"/>
  <c r="P25" i="12"/>
  <c r="L25" i="12"/>
  <c r="N25" i="12" s="1"/>
  <c r="H25" i="12"/>
  <c r="D25" i="12"/>
  <c r="B25" i="12"/>
  <c r="T24" i="12"/>
  <c r="X24" i="12" s="1"/>
  <c r="P24" i="12"/>
  <c r="L24" i="12"/>
  <c r="N24" i="12" s="1"/>
  <c r="H24" i="12"/>
  <c r="D24" i="12"/>
  <c r="B24" i="12"/>
  <c r="T23" i="12"/>
  <c r="P23" i="12"/>
  <c r="L23" i="12"/>
  <c r="N23" i="12" s="1"/>
  <c r="H23" i="12"/>
  <c r="D23" i="12"/>
  <c r="B23" i="12"/>
  <c r="T22" i="12"/>
  <c r="P22" i="12"/>
  <c r="L22" i="12"/>
  <c r="H22" i="12"/>
  <c r="N22" i="12" s="1"/>
  <c r="D22" i="12"/>
  <c r="B22" i="12"/>
  <c r="T21" i="12"/>
  <c r="P21" i="12"/>
  <c r="L21" i="12"/>
  <c r="N21" i="12" s="1"/>
  <c r="H21" i="12"/>
  <c r="D21" i="12"/>
  <c r="B21" i="12"/>
  <c r="T20" i="12"/>
  <c r="X20" i="12" s="1"/>
  <c r="P20" i="12"/>
  <c r="L20" i="12"/>
  <c r="N20" i="12" s="1"/>
  <c r="H20" i="12"/>
  <c r="D20" i="12"/>
  <c r="B20" i="12"/>
  <c r="T19" i="12"/>
  <c r="P19" i="12"/>
  <c r="L19" i="12"/>
  <c r="N19" i="12" s="1"/>
  <c r="H19" i="12"/>
  <c r="D19" i="12"/>
  <c r="B19" i="12"/>
  <c r="T18" i="12"/>
  <c r="P18" i="12"/>
  <c r="L18" i="12"/>
  <c r="H18" i="12"/>
  <c r="N18" i="12" s="1"/>
  <c r="D18" i="12"/>
  <c r="B18" i="12"/>
  <c r="T17" i="12"/>
  <c r="Z17" i="12" s="1"/>
  <c r="P17" i="12"/>
  <c r="N17" i="12"/>
  <c r="L17" i="12"/>
  <c r="H17" i="12"/>
  <c r="D17" i="12"/>
  <c r="B17" i="12"/>
  <c r="T16" i="12"/>
  <c r="X16" i="12" s="1"/>
  <c r="P16" i="12"/>
  <c r="L16" i="12"/>
  <c r="N16" i="12" s="1"/>
  <c r="H16" i="12"/>
  <c r="D16" i="12"/>
  <c r="B16" i="12"/>
  <c r="T15" i="12"/>
  <c r="P15" i="12"/>
  <c r="X15" i="12" s="1"/>
  <c r="L15" i="12"/>
  <c r="N15" i="12" s="1"/>
  <c r="H15" i="12"/>
  <c r="D15" i="12"/>
  <c r="B15" i="12"/>
  <c r="T14" i="12"/>
  <c r="P14" i="12"/>
  <c r="P12" i="12" s="1"/>
  <c r="L14" i="12"/>
  <c r="H14" i="12"/>
  <c r="N14" i="12" s="1"/>
  <c r="D14" i="12"/>
  <c r="B14" i="12"/>
  <c r="T13" i="12"/>
  <c r="P13" i="12"/>
  <c r="L13" i="12"/>
  <c r="N13" i="12" s="1"/>
  <c r="H13" i="12"/>
  <c r="H12" i="12" s="1"/>
  <c r="D13" i="12"/>
  <c r="B13" i="12"/>
  <c r="D12" i="12"/>
  <c r="F195" i="12" s="1"/>
  <c r="D4" i="12"/>
  <c r="Z92" i="9"/>
  <c r="X92" i="9"/>
  <c r="N92" i="9"/>
  <c r="L92" i="9"/>
  <c r="F90" i="9"/>
  <c r="Z88" i="9"/>
  <c r="X88" i="9"/>
  <c r="T88" i="9"/>
  <c r="P88" i="9"/>
  <c r="N88" i="9"/>
  <c r="L88" i="9"/>
  <c r="H88" i="9"/>
  <c r="F88" i="9"/>
  <c r="D88" i="9"/>
  <c r="X86" i="9"/>
  <c r="Z86" i="9" s="1"/>
  <c r="N86" i="9"/>
  <c r="L86" i="9"/>
  <c r="B86" i="9"/>
  <c r="X85" i="9"/>
  <c r="Z85" i="9" s="1"/>
  <c r="N85" i="9"/>
  <c r="L85" i="9"/>
  <c r="F85" i="9"/>
  <c r="B85" i="9"/>
  <c r="X84" i="9"/>
  <c r="T84" i="9"/>
  <c r="Z84" i="9" s="1"/>
  <c r="P84" i="9"/>
  <c r="L84" i="9"/>
  <c r="N84" i="9" s="1"/>
  <c r="H84" i="9"/>
  <c r="F84" i="9"/>
  <c r="D84" i="9"/>
  <c r="B84" i="9"/>
  <c r="Z83" i="9"/>
  <c r="X83" i="9"/>
  <c r="L83" i="9"/>
  <c r="N83" i="9" s="1"/>
  <c r="B83" i="9"/>
  <c r="T82" i="9"/>
  <c r="X82" i="9" s="1"/>
  <c r="Z82" i="9" s="1"/>
  <c r="P82" i="9"/>
  <c r="H82" i="9"/>
  <c r="D82" i="9"/>
  <c r="L82" i="9" s="1"/>
  <c r="N82" i="9" s="1"/>
  <c r="B82" i="9"/>
  <c r="Z81" i="9"/>
  <c r="X81" i="9"/>
  <c r="L81" i="9"/>
  <c r="N81" i="9" s="1"/>
  <c r="B81" i="9"/>
  <c r="X80" i="9"/>
  <c r="Z80" i="9" s="1"/>
  <c r="V80" i="9"/>
  <c r="L80" i="9"/>
  <c r="N80" i="9" s="1"/>
  <c r="B80" i="9"/>
  <c r="T79" i="9"/>
  <c r="P79" i="9"/>
  <c r="X79" i="9" s="1"/>
  <c r="H79" i="9"/>
  <c r="D79" i="9"/>
  <c r="L79" i="9" s="1"/>
  <c r="N79" i="9" s="1"/>
  <c r="B79" i="9"/>
  <c r="X78" i="9"/>
  <c r="Z78" i="9" s="1"/>
  <c r="N78" i="9"/>
  <c r="L78" i="9"/>
  <c r="B78" i="9"/>
  <c r="X77" i="9"/>
  <c r="Z77" i="9" s="1"/>
  <c r="N77" i="9"/>
  <c r="L77" i="9"/>
  <c r="F77" i="9"/>
  <c r="B77" i="9"/>
  <c r="X76" i="9"/>
  <c r="Z76" i="9" s="1"/>
  <c r="N76" i="9"/>
  <c r="L76" i="9"/>
  <c r="B76" i="9"/>
  <c r="X75" i="9"/>
  <c r="Z75" i="9" s="1"/>
  <c r="N75" i="9"/>
  <c r="L75" i="9"/>
  <c r="F75" i="9"/>
  <c r="B75" i="9"/>
  <c r="X74" i="9"/>
  <c r="Z74" i="9" s="1"/>
  <c r="T74" i="9"/>
  <c r="P74" i="9"/>
  <c r="L74" i="9"/>
  <c r="N74" i="9" s="1"/>
  <c r="H74" i="9"/>
  <c r="F74" i="9"/>
  <c r="D74" i="9"/>
  <c r="B74" i="9"/>
  <c r="Z73" i="9"/>
  <c r="X73" i="9"/>
  <c r="N73" i="9"/>
  <c r="L73" i="9"/>
  <c r="B73" i="9"/>
  <c r="T72" i="9"/>
  <c r="P72" i="9"/>
  <c r="X72" i="9" s="1"/>
  <c r="Z72" i="9" s="1"/>
  <c r="N72" i="9"/>
  <c r="H72" i="9"/>
  <c r="L72" i="9" s="1"/>
  <c r="D72" i="9"/>
  <c r="B72" i="9"/>
  <c r="X71" i="9"/>
  <c r="Z71" i="9" s="1"/>
  <c r="N71" i="9"/>
  <c r="L71" i="9"/>
  <c r="B71" i="9"/>
  <c r="X70" i="9"/>
  <c r="Z70" i="9" s="1"/>
  <c r="L70" i="9"/>
  <c r="N70" i="9" s="1"/>
  <c r="B70" i="9"/>
  <c r="T69" i="9"/>
  <c r="P69" i="9"/>
  <c r="X69" i="9" s="1"/>
  <c r="Z69" i="9" s="1"/>
  <c r="H69" i="9"/>
  <c r="D69" i="9"/>
  <c r="L69" i="9" s="1"/>
  <c r="B69" i="9"/>
  <c r="X68" i="9"/>
  <c r="Z68" i="9" s="1"/>
  <c r="N68" i="9"/>
  <c r="L68" i="9"/>
  <c r="B68" i="9"/>
  <c r="X67" i="9"/>
  <c r="Z67" i="9" s="1"/>
  <c r="N67" i="9"/>
  <c r="L67" i="9"/>
  <c r="F67" i="9"/>
  <c r="B67" i="9"/>
  <c r="X66" i="9"/>
  <c r="Z66" i="9" s="1"/>
  <c r="N66" i="9"/>
  <c r="L66" i="9"/>
  <c r="B66" i="9"/>
  <c r="X65" i="9"/>
  <c r="T65" i="9"/>
  <c r="Z65" i="9" s="1"/>
  <c r="P65" i="9"/>
  <c r="L65" i="9"/>
  <c r="H65" i="9"/>
  <c r="D65" i="9"/>
  <c r="B65" i="9"/>
  <c r="Z64" i="9"/>
  <c r="X64" i="9"/>
  <c r="N64" i="9"/>
  <c r="L64" i="9"/>
  <c r="J64" i="9"/>
  <c r="B64" i="9"/>
  <c r="Z63" i="9"/>
  <c r="X63" i="9"/>
  <c r="L63" i="9"/>
  <c r="N63" i="9" s="1"/>
  <c r="B63" i="9"/>
  <c r="Z62" i="9"/>
  <c r="X62" i="9"/>
  <c r="L62" i="9"/>
  <c r="N62" i="9" s="1"/>
  <c r="J62" i="9"/>
  <c r="B62" i="9"/>
  <c r="Z61" i="9"/>
  <c r="X61" i="9"/>
  <c r="N61" i="9"/>
  <c r="L61" i="9"/>
  <c r="B61" i="9"/>
  <c r="T60" i="9"/>
  <c r="P60" i="9"/>
  <c r="X60" i="9" s="1"/>
  <c r="Z60" i="9" s="1"/>
  <c r="H60" i="9"/>
  <c r="L60" i="9" s="1"/>
  <c r="N60" i="9" s="1"/>
  <c r="D60" i="9"/>
  <c r="B60" i="9"/>
  <c r="X59" i="9"/>
  <c r="Z59" i="9" s="1"/>
  <c r="L59" i="9"/>
  <c r="N59" i="9" s="1"/>
  <c r="B59" i="9"/>
  <c r="T58" i="9"/>
  <c r="P58" i="9"/>
  <c r="X58" i="9" s="1"/>
  <c r="Z58" i="9" s="1"/>
  <c r="J58" i="9"/>
  <c r="H58" i="9"/>
  <c r="D58" i="9"/>
  <c r="L58" i="9" s="1"/>
  <c r="B58" i="9"/>
  <c r="X57" i="9"/>
  <c r="Z57" i="9" s="1"/>
  <c r="N57" i="9"/>
  <c r="L57" i="9"/>
  <c r="F57" i="9"/>
  <c r="B57" i="9"/>
  <c r="X56" i="9"/>
  <c r="T56" i="9"/>
  <c r="Z56" i="9" s="1"/>
  <c r="P56" i="9"/>
  <c r="L56" i="9"/>
  <c r="N56" i="9" s="1"/>
  <c r="H56" i="9"/>
  <c r="F56" i="9"/>
  <c r="D56" i="9"/>
  <c r="B56" i="9"/>
  <c r="Z55" i="9"/>
  <c r="X55" i="9"/>
  <c r="L55" i="9"/>
  <c r="N55" i="9" s="1"/>
  <c r="B55" i="9"/>
  <c r="T54" i="9"/>
  <c r="X54" i="9" s="1"/>
  <c r="Z54" i="9" s="1"/>
  <c r="P54" i="9"/>
  <c r="H54" i="9"/>
  <c r="D54" i="9"/>
  <c r="L54" i="9" s="1"/>
  <c r="N54" i="9" s="1"/>
  <c r="B54" i="9"/>
  <c r="Z53" i="9"/>
  <c r="X53" i="9"/>
  <c r="L53" i="9"/>
  <c r="N53" i="9" s="1"/>
  <c r="B53" i="9"/>
  <c r="T52" i="9"/>
  <c r="P52" i="9"/>
  <c r="X52" i="9" s="1"/>
  <c r="J52" i="9"/>
  <c r="H52" i="9"/>
  <c r="D52" i="9"/>
  <c r="L52" i="9" s="1"/>
  <c r="N52" i="9" s="1"/>
  <c r="B52" i="9"/>
  <c r="X51" i="9"/>
  <c r="Z51" i="9" s="1"/>
  <c r="N51" i="9"/>
  <c r="L51" i="9"/>
  <c r="F51" i="9"/>
  <c r="B51" i="9"/>
  <c r="X50" i="9"/>
  <c r="Z50" i="9" s="1"/>
  <c r="T50" i="9"/>
  <c r="P50" i="9"/>
  <c r="L50" i="9"/>
  <c r="H50" i="9"/>
  <c r="N50" i="9" s="1"/>
  <c r="F50" i="9"/>
  <c r="D50" i="9"/>
  <c r="B50" i="9"/>
  <c r="Z49" i="9"/>
  <c r="X49" i="9"/>
  <c r="N49" i="9"/>
  <c r="L49" i="9"/>
  <c r="B49" i="9"/>
  <c r="T48" i="9"/>
  <c r="P48" i="9"/>
  <c r="X48" i="9" s="1"/>
  <c r="Z48" i="9" s="1"/>
  <c r="H48" i="9"/>
  <c r="L48" i="9" s="1"/>
  <c r="N48" i="9" s="1"/>
  <c r="D48" i="9"/>
  <c r="B48" i="9"/>
  <c r="X47" i="9"/>
  <c r="Z47" i="9" s="1"/>
  <c r="L47" i="9"/>
  <c r="N47" i="9" s="1"/>
  <c r="B47" i="9"/>
  <c r="X46" i="9"/>
  <c r="Z46" i="9" s="1"/>
  <c r="L46" i="9"/>
  <c r="N46" i="9" s="1"/>
  <c r="B46" i="9"/>
  <c r="T45" i="9"/>
  <c r="P45" i="9"/>
  <c r="X45" i="9" s="1"/>
  <c r="Z45" i="9" s="1"/>
  <c r="J45" i="9"/>
  <c r="H45" i="9"/>
  <c r="D45" i="9"/>
  <c r="L45" i="9" s="1"/>
  <c r="N45" i="9" s="1"/>
  <c r="B45" i="9"/>
  <c r="X44" i="9"/>
  <c r="Z44" i="9" s="1"/>
  <c r="N44" i="9"/>
  <c r="L44" i="9"/>
  <c r="F44" i="9"/>
  <c r="B44" i="9"/>
  <c r="X43" i="9"/>
  <c r="T43" i="9"/>
  <c r="Z43" i="9" s="1"/>
  <c r="P43" i="9"/>
  <c r="L43" i="9"/>
  <c r="N43" i="9" s="1"/>
  <c r="H43" i="9"/>
  <c r="F43" i="9"/>
  <c r="D43" i="9"/>
  <c r="B43" i="9"/>
  <c r="Z42" i="9"/>
  <c r="X42" i="9"/>
  <c r="L42" i="9"/>
  <c r="N42" i="9" s="1"/>
  <c r="J42" i="9"/>
  <c r="B42" i="9"/>
  <c r="T41" i="9"/>
  <c r="P41" i="9"/>
  <c r="X41" i="9" s="1"/>
  <c r="H41" i="9"/>
  <c r="D41" i="9"/>
  <c r="B41" i="9"/>
  <c r="X40" i="9"/>
  <c r="Z40" i="9" s="1"/>
  <c r="L40" i="9"/>
  <c r="N40" i="9" s="1"/>
  <c r="B40" i="9"/>
  <c r="V39" i="9"/>
  <c r="T39" i="9"/>
  <c r="Z39" i="9" s="1"/>
  <c r="P39" i="9"/>
  <c r="X39" i="9" s="1"/>
  <c r="J39" i="9"/>
  <c r="H39" i="9"/>
  <c r="D39" i="9"/>
  <c r="L39" i="9" s="1"/>
  <c r="N39" i="9" s="1"/>
  <c r="B39" i="9"/>
  <c r="Z38" i="9"/>
  <c r="X38" i="9"/>
  <c r="N38" i="9"/>
  <c r="L38" i="9"/>
  <c r="F38" i="9"/>
  <c r="B38" i="9"/>
  <c r="X37" i="9"/>
  <c r="Z37" i="9" s="1"/>
  <c r="N37" i="9"/>
  <c r="L37" i="9"/>
  <c r="F37" i="9"/>
  <c r="B37" i="9"/>
  <c r="X36" i="9"/>
  <c r="Z36" i="9" s="1"/>
  <c r="N36" i="9"/>
  <c r="L36" i="9"/>
  <c r="F36" i="9"/>
  <c r="B36" i="9"/>
  <c r="X35" i="9"/>
  <c r="Z35" i="9" s="1"/>
  <c r="N35" i="9"/>
  <c r="L35" i="9"/>
  <c r="F35" i="9"/>
  <c r="B35" i="9"/>
  <c r="X34" i="9"/>
  <c r="Z34" i="9" s="1"/>
  <c r="N34" i="9"/>
  <c r="L34" i="9"/>
  <c r="F34" i="9"/>
  <c r="B34" i="9"/>
  <c r="X33" i="9"/>
  <c r="Z33" i="9" s="1"/>
  <c r="N33" i="9"/>
  <c r="L33" i="9"/>
  <c r="F33" i="9"/>
  <c r="B33" i="9"/>
  <c r="X32" i="9"/>
  <c r="Z32" i="9" s="1"/>
  <c r="N32" i="9"/>
  <c r="L32" i="9"/>
  <c r="F32" i="9"/>
  <c r="B32" i="9"/>
  <c r="X31" i="9"/>
  <c r="T31" i="9"/>
  <c r="Z31" i="9" s="1"/>
  <c r="P31" i="9"/>
  <c r="L31" i="9"/>
  <c r="N31" i="9" s="1"/>
  <c r="H31" i="9"/>
  <c r="F31" i="9"/>
  <c r="D31" i="9"/>
  <c r="B31" i="9"/>
  <c r="Z30" i="9"/>
  <c r="X30" i="9"/>
  <c r="L30" i="9"/>
  <c r="N30" i="9" s="1"/>
  <c r="J30" i="9"/>
  <c r="B30" i="9"/>
  <c r="Z29" i="9"/>
  <c r="X29" i="9"/>
  <c r="N29" i="9"/>
  <c r="L29" i="9"/>
  <c r="J29" i="9"/>
  <c r="B29" i="9"/>
  <c r="Z28" i="9"/>
  <c r="X28" i="9"/>
  <c r="N28" i="9"/>
  <c r="L28" i="9"/>
  <c r="J28" i="9"/>
  <c r="F28" i="9"/>
  <c r="B28" i="9"/>
  <c r="Z27" i="9"/>
  <c r="X27" i="9"/>
  <c r="L27" i="9"/>
  <c r="N27" i="9" s="1"/>
  <c r="J27" i="9"/>
  <c r="B27" i="9"/>
  <c r="Z26" i="9"/>
  <c r="X26" i="9"/>
  <c r="L26" i="9"/>
  <c r="N26" i="9" s="1"/>
  <c r="J26" i="9"/>
  <c r="B26" i="9"/>
  <c r="Z25" i="9"/>
  <c r="X25" i="9"/>
  <c r="N25" i="9"/>
  <c r="L25" i="9"/>
  <c r="J25" i="9"/>
  <c r="B25" i="9"/>
  <c r="Z24" i="9"/>
  <c r="X24" i="9"/>
  <c r="N24" i="9"/>
  <c r="L24" i="9"/>
  <c r="J24" i="9"/>
  <c r="F24" i="9"/>
  <c r="B24" i="9"/>
  <c r="Z23" i="9"/>
  <c r="X23" i="9"/>
  <c r="L23" i="9"/>
  <c r="N23" i="9" s="1"/>
  <c r="J23" i="9"/>
  <c r="B23" i="9"/>
  <c r="Z22" i="9"/>
  <c r="X22" i="9"/>
  <c r="L22" i="9"/>
  <c r="N22" i="9" s="1"/>
  <c r="J22" i="9"/>
  <c r="B22" i="9"/>
  <c r="Z21" i="9"/>
  <c r="X21" i="9"/>
  <c r="N21" i="9"/>
  <c r="L21" i="9"/>
  <c r="J21" i="9"/>
  <c r="B21" i="9"/>
  <c r="Z20" i="9"/>
  <c r="X20" i="9"/>
  <c r="N20" i="9"/>
  <c r="L20" i="9"/>
  <c r="J20" i="9"/>
  <c r="F20" i="9"/>
  <c r="B20" i="9"/>
  <c r="T19" i="9"/>
  <c r="P19" i="9"/>
  <c r="H19" i="9"/>
  <c r="N19" i="9" s="1"/>
  <c r="F19" i="9"/>
  <c r="D19" i="9"/>
  <c r="L19" i="9" s="1"/>
  <c r="B19" i="9"/>
  <c r="T18" i="9"/>
  <c r="P18" i="9"/>
  <c r="X18" i="9" s="1"/>
  <c r="J18" i="9"/>
  <c r="H18" i="9"/>
  <c r="F18" i="9"/>
  <c r="D18" i="9"/>
  <c r="L18" i="9" s="1"/>
  <c r="J16" i="9"/>
  <c r="F16" i="9"/>
  <c r="D16" i="9"/>
  <c r="T14" i="9"/>
  <c r="Z14" i="9" s="1"/>
  <c r="P14" i="9"/>
  <c r="J14" i="9"/>
  <c r="H14" i="9"/>
  <c r="N14" i="9" s="1"/>
  <c r="F14" i="9"/>
  <c r="D14" i="9"/>
  <c r="T12" i="9"/>
  <c r="V70" i="9" s="1"/>
  <c r="P12" i="9"/>
  <c r="R56" i="9" s="1"/>
  <c r="N12" i="9"/>
  <c r="L12" i="9"/>
  <c r="H12" i="9"/>
  <c r="J86" i="9" s="1"/>
  <c r="D12" i="9"/>
  <c r="F71" i="9" s="1"/>
  <c r="D4" i="9"/>
  <c r="V31" i="6"/>
  <c r="R31" i="6"/>
  <c r="V29" i="6"/>
  <c r="T29" i="6"/>
  <c r="R29" i="6"/>
  <c r="P29" i="6"/>
  <c r="X29" i="6" s="1"/>
  <c r="Z29" i="6" s="1"/>
  <c r="H29" i="6"/>
  <c r="L29" i="6" s="1"/>
  <c r="D29" i="6"/>
  <c r="V28" i="6"/>
  <c r="T28" i="6"/>
  <c r="R28" i="6"/>
  <c r="P28" i="6"/>
  <c r="X28" i="6" s="1"/>
  <c r="Z28" i="6" s="1"/>
  <c r="H28" i="6"/>
  <c r="L28" i="6" s="1"/>
  <c r="D28" i="6"/>
  <c r="V26" i="6"/>
  <c r="R26" i="6"/>
  <c r="Z24" i="6"/>
  <c r="X24" i="6"/>
  <c r="V24" i="6"/>
  <c r="R24" i="6"/>
  <c r="N24" i="6"/>
  <c r="L24" i="6"/>
  <c r="R22" i="6"/>
  <c r="J22" i="6"/>
  <c r="Z20" i="6"/>
  <c r="X20" i="6"/>
  <c r="T20" i="6"/>
  <c r="R20" i="6"/>
  <c r="P20" i="6"/>
  <c r="J20" i="6"/>
  <c r="H20" i="6"/>
  <c r="N20" i="6" s="1"/>
  <c r="D20" i="6"/>
  <c r="Z18" i="6"/>
  <c r="X18" i="6"/>
  <c r="T18" i="6"/>
  <c r="R18" i="6"/>
  <c r="P18" i="6"/>
  <c r="J18" i="6"/>
  <c r="H18" i="6"/>
  <c r="N18" i="6" s="1"/>
  <c r="D18" i="6"/>
  <c r="R16" i="6"/>
  <c r="J16" i="6"/>
  <c r="Z14" i="6"/>
  <c r="X14" i="6"/>
  <c r="T14" i="6"/>
  <c r="R14" i="6"/>
  <c r="P14" i="6"/>
  <c r="P16" i="6" s="1"/>
  <c r="J14" i="6"/>
  <c r="H14" i="6"/>
  <c r="H16" i="6" s="1"/>
  <c r="D14" i="6"/>
  <c r="Z12" i="6"/>
  <c r="X12" i="6"/>
  <c r="T12" i="6"/>
  <c r="V22" i="6" s="1"/>
  <c r="P12" i="6"/>
  <c r="N12" i="6"/>
  <c r="L12" i="6"/>
  <c r="H12" i="6"/>
  <c r="J31" i="6" s="1"/>
  <c r="D12" i="6"/>
  <c r="F24" i="6" s="1"/>
  <c r="D4" i="6"/>
  <c r="T308" i="3"/>
  <c r="P308" i="3"/>
  <c r="X308" i="3" s="1"/>
  <c r="Z308" i="3" s="1"/>
  <c r="H308" i="3"/>
  <c r="D308" i="3"/>
  <c r="L308" i="3" s="1"/>
  <c r="T307" i="3"/>
  <c r="P307" i="3"/>
  <c r="X307" i="3" s="1"/>
  <c r="Z307" i="3" s="1"/>
  <c r="H307" i="3"/>
  <c r="D307" i="3"/>
  <c r="L307" i="3" s="1"/>
  <c r="Z303" i="3"/>
  <c r="X303" i="3"/>
  <c r="L303" i="3"/>
  <c r="N303" i="3" s="1"/>
  <c r="X299" i="3"/>
  <c r="T299" i="3"/>
  <c r="Z299" i="3" s="1"/>
  <c r="P299" i="3"/>
  <c r="H299" i="3"/>
  <c r="D299" i="3"/>
  <c r="L299" i="3" s="1"/>
  <c r="N299" i="3" s="1"/>
  <c r="B299" i="3"/>
  <c r="X298" i="3"/>
  <c r="Z298" i="3" s="1"/>
  <c r="T298" i="3"/>
  <c r="P298" i="3"/>
  <c r="H298" i="3"/>
  <c r="D298" i="3"/>
  <c r="L298" i="3" s="1"/>
  <c r="B298" i="3"/>
  <c r="Z297" i="3"/>
  <c r="X297" i="3"/>
  <c r="T297" i="3"/>
  <c r="P297" i="3"/>
  <c r="H297" i="3"/>
  <c r="N297" i="3" s="1"/>
  <c r="D297" i="3"/>
  <c r="L297" i="3" s="1"/>
  <c r="B297" i="3"/>
  <c r="T296" i="3"/>
  <c r="X296" i="3" s="1"/>
  <c r="P296" i="3"/>
  <c r="H296" i="3"/>
  <c r="D296" i="3"/>
  <c r="L296" i="3" s="1"/>
  <c r="N296" i="3" s="1"/>
  <c r="B296" i="3"/>
  <c r="T295" i="3"/>
  <c r="P295" i="3"/>
  <c r="X295" i="3" s="1"/>
  <c r="Z295" i="3" s="1"/>
  <c r="H295" i="3"/>
  <c r="N295" i="3" s="1"/>
  <c r="D295" i="3"/>
  <c r="L295" i="3" s="1"/>
  <c r="B295" i="3"/>
  <c r="Z294" i="3"/>
  <c r="X294" i="3"/>
  <c r="T294" i="3"/>
  <c r="P294" i="3"/>
  <c r="H294" i="3"/>
  <c r="N294" i="3" s="1"/>
  <c r="D294" i="3"/>
  <c r="L294" i="3" s="1"/>
  <c r="B294" i="3"/>
  <c r="T293" i="3"/>
  <c r="P293" i="3"/>
  <c r="X293" i="3" s="1"/>
  <c r="Z293" i="3" s="1"/>
  <c r="L293" i="3"/>
  <c r="J293" i="3"/>
  <c r="H293" i="3"/>
  <c r="N293" i="3" s="1"/>
  <c r="D293" i="3"/>
  <c r="B293" i="3"/>
  <c r="T292" i="3"/>
  <c r="P292" i="3"/>
  <c r="X292" i="3" s="1"/>
  <c r="L292" i="3"/>
  <c r="N292" i="3" s="1"/>
  <c r="H292" i="3"/>
  <c r="D292" i="3"/>
  <c r="D289" i="3" s="1"/>
  <c r="B292" i="3"/>
  <c r="T291" i="3"/>
  <c r="P291" i="3"/>
  <c r="X291" i="3" s="1"/>
  <c r="H291" i="3"/>
  <c r="L291" i="3" s="1"/>
  <c r="N291" i="3" s="1"/>
  <c r="D291" i="3"/>
  <c r="B291" i="3"/>
  <c r="Z290" i="3"/>
  <c r="T290" i="3"/>
  <c r="P290" i="3"/>
  <c r="X290" i="3" s="1"/>
  <c r="H290" i="3"/>
  <c r="L290" i="3" s="1"/>
  <c r="D290" i="3"/>
  <c r="B290" i="3"/>
  <c r="T289" i="3"/>
  <c r="Z287" i="3"/>
  <c r="X287" i="3"/>
  <c r="N287" i="3"/>
  <c r="L287" i="3"/>
  <c r="B287" i="3"/>
  <c r="T286" i="3"/>
  <c r="Z286" i="3" s="1"/>
  <c r="P286" i="3"/>
  <c r="X286" i="3" s="1"/>
  <c r="L286" i="3"/>
  <c r="N286" i="3" s="1"/>
  <c r="H286" i="3"/>
  <c r="D286" i="3"/>
  <c r="B286" i="3"/>
  <c r="X285" i="3"/>
  <c r="Z285" i="3" s="1"/>
  <c r="L285" i="3"/>
  <c r="N285" i="3" s="1"/>
  <c r="J285" i="3"/>
  <c r="B285" i="3"/>
  <c r="X284" i="3"/>
  <c r="Z284" i="3" s="1"/>
  <c r="N284" i="3"/>
  <c r="L284" i="3"/>
  <c r="B284" i="3"/>
  <c r="Z283" i="3"/>
  <c r="X283" i="3"/>
  <c r="N283" i="3"/>
  <c r="L283" i="3"/>
  <c r="B283" i="3"/>
  <c r="T282" i="3"/>
  <c r="P282" i="3"/>
  <c r="X282" i="3" s="1"/>
  <c r="L282" i="3"/>
  <c r="N282" i="3" s="1"/>
  <c r="H282" i="3"/>
  <c r="D282" i="3"/>
  <c r="B282" i="3"/>
  <c r="X281" i="3"/>
  <c r="Z281" i="3" s="1"/>
  <c r="L281" i="3"/>
  <c r="N281" i="3" s="1"/>
  <c r="B281" i="3"/>
  <c r="T280" i="3"/>
  <c r="P280" i="3"/>
  <c r="X280" i="3" s="1"/>
  <c r="Z280" i="3" s="1"/>
  <c r="H280" i="3"/>
  <c r="D280" i="3"/>
  <c r="L280" i="3" s="1"/>
  <c r="B280" i="3"/>
  <c r="Z279" i="3"/>
  <c r="X279" i="3"/>
  <c r="N279" i="3"/>
  <c r="L279" i="3"/>
  <c r="B279" i="3"/>
  <c r="X278" i="3"/>
  <c r="Z278" i="3" s="1"/>
  <c r="N278" i="3"/>
  <c r="L278" i="3"/>
  <c r="B278" i="3"/>
  <c r="T277" i="3"/>
  <c r="P277" i="3"/>
  <c r="X277" i="3" s="1"/>
  <c r="Z277" i="3" s="1"/>
  <c r="H277" i="3"/>
  <c r="N277" i="3" s="1"/>
  <c r="D277" i="3"/>
  <c r="L277" i="3" s="1"/>
  <c r="B277" i="3"/>
  <c r="X276" i="3"/>
  <c r="Z276" i="3" s="1"/>
  <c r="N276" i="3"/>
  <c r="L276" i="3"/>
  <c r="B276" i="3"/>
  <c r="Z275" i="3"/>
  <c r="X275" i="3"/>
  <c r="N275" i="3"/>
  <c r="L275" i="3"/>
  <c r="B275" i="3"/>
  <c r="X274" i="3"/>
  <c r="Z274" i="3" s="1"/>
  <c r="L274" i="3"/>
  <c r="N274" i="3" s="1"/>
  <c r="B274" i="3"/>
  <c r="X273" i="3"/>
  <c r="Z273" i="3" s="1"/>
  <c r="L273" i="3"/>
  <c r="N273" i="3" s="1"/>
  <c r="J273" i="3"/>
  <c r="B273" i="3"/>
  <c r="X272" i="3"/>
  <c r="Z272" i="3" s="1"/>
  <c r="N272" i="3"/>
  <c r="L272" i="3"/>
  <c r="B272" i="3"/>
  <c r="Z271" i="3"/>
  <c r="X271" i="3"/>
  <c r="N271" i="3"/>
  <c r="L271" i="3"/>
  <c r="B271" i="3"/>
  <c r="X270" i="3"/>
  <c r="Z270" i="3" s="1"/>
  <c r="L270" i="3"/>
  <c r="N270" i="3" s="1"/>
  <c r="B270" i="3"/>
  <c r="X269" i="3"/>
  <c r="Z269" i="3" s="1"/>
  <c r="L269" i="3"/>
  <c r="N269" i="3" s="1"/>
  <c r="J269" i="3"/>
  <c r="B269" i="3"/>
  <c r="X268" i="3"/>
  <c r="T268" i="3"/>
  <c r="Z268" i="3" s="1"/>
  <c r="P268" i="3"/>
  <c r="H268" i="3"/>
  <c r="N268" i="3" s="1"/>
  <c r="D268" i="3"/>
  <c r="L268" i="3" s="1"/>
  <c r="B268" i="3"/>
  <c r="Z267" i="3"/>
  <c r="X267" i="3"/>
  <c r="N267" i="3"/>
  <c r="L267" i="3"/>
  <c r="B267" i="3"/>
  <c r="X266" i="3"/>
  <c r="Z266" i="3" s="1"/>
  <c r="L266" i="3"/>
  <c r="N266" i="3" s="1"/>
  <c r="B266" i="3"/>
  <c r="X265" i="3"/>
  <c r="T265" i="3"/>
  <c r="Z265" i="3" s="1"/>
  <c r="P265" i="3"/>
  <c r="H265" i="3"/>
  <c r="L265" i="3" s="1"/>
  <c r="N265" i="3" s="1"/>
  <c r="D265" i="3"/>
  <c r="B265" i="3"/>
  <c r="X264" i="3"/>
  <c r="Z264" i="3" s="1"/>
  <c r="L264" i="3"/>
  <c r="N264" i="3" s="1"/>
  <c r="B264" i="3"/>
  <c r="Z263" i="3"/>
  <c r="X263" i="3"/>
  <c r="N263" i="3"/>
  <c r="L263" i="3"/>
  <c r="B263" i="3"/>
  <c r="X262" i="3"/>
  <c r="Z262" i="3" s="1"/>
  <c r="N262" i="3"/>
  <c r="L262" i="3"/>
  <c r="B262" i="3"/>
  <c r="Z261" i="3"/>
  <c r="X261" i="3"/>
  <c r="L261" i="3"/>
  <c r="N261" i="3" s="1"/>
  <c r="B261" i="3"/>
  <c r="X260" i="3"/>
  <c r="Z260" i="3" s="1"/>
  <c r="L260" i="3"/>
  <c r="N260" i="3" s="1"/>
  <c r="B260" i="3"/>
  <c r="T259" i="3"/>
  <c r="Z259" i="3" s="1"/>
  <c r="P259" i="3"/>
  <c r="X259" i="3" s="1"/>
  <c r="H259" i="3"/>
  <c r="D259" i="3"/>
  <c r="L259" i="3" s="1"/>
  <c r="N259" i="3" s="1"/>
  <c r="B259" i="3"/>
  <c r="X258" i="3"/>
  <c r="Z258" i="3" s="1"/>
  <c r="L258" i="3"/>
  <c r="N258" i="3" s="1"/>
  <c r="B258" i="3"/>
  <c r="X257" i="3"/>
  <c r="Z257" i="3" s="1"/>
  <c r="L257" i="3"/>
  <c r="N257" i="3" s="1"/>
  <c r="J257" i="3"/>
  <c r="B257" i="3"/>
  <c r="X256" i="3"/>
  <c r="Z256" i="3" s="1"/>
  <c r="N256" i="3"/>
  <c r="L256" i="3"/>
  <c r="B256" i="3"/>
  <c r="Z255" i="3"/>
  <c r="X255" i="3"/>
  <c r="T255" i="3"/>
  <c r="P255" i="3"/>
  <c r="H255" i="3"/>
  <c r="D255" i="3"/>
  <c r="L255" i="3" s="1"/>
  <c r="N255" i="3" s="1"/>
  <c r="B255" i="3"/>
  <c r="X254" i="3"/>
  <c r="Z254" i="3" s="1"/>
  <c r="L254" i="3"/>
  <c r="N254" i="3" s="1"/>
  <c r="B254" i="3"/>
  <c r="X253" i="3"/>
  <c r="Z253" i="3" s="1"/>
  <c r="N253" i="3"/>
  <c r="L253" i="3"/>
  <c r="B253" i="3"/>
  <c r="Z252" i="3"/>
  <c r="X252" i="3"/>
  <c r="L252" i="3"/>
  <c r="N252" i="3" s="1"/>
  <c r="B252" i="3"/>
  <c r="T251" i="3"/>
  <c r="X251" i="3" s="1"/>
  <c r="Z251" i="3" s="1"/>
  <c r="P251" i="3"/>
  <c r="L251" i="3"/>
  <c r="J251" i="3"/>
  <c r="H251" i="3"/>
  <c r="N251" i="3" s="1"/>
  <c r="D251" i="3"/>
  <c r="B251" i="3"/>
  <c r="X250" i="3"/>
  <c r="Z250" i="3" s="1"/>
  <c r="N250" i="3"/>
  <c r="L250" i="3"/>
  <c r="B250" i="3"/>
  <c r="T249" i="3"/>
  <c r="P249" i="3"/>
  <c r="X249" i="3" s="1"/>
  <c r="Z249" i="3" s="1"/>
  <c r="H249" i="3"/>
  <c r="D249" i="3"/>
  <c r="L249" i="3" s="1"/>
  <c r="B249" i="3"/>
  <c r="X248" i="3"/>
  <c r="Z248" i="3" s="1"/>
  <c r="N248" i="3"/>
  <c r="L248" i="3"/>
  <c r="B248" i="3"/>
  <c r="Z247" i="3"/>
  <c r="X247" i="3"/>
  <c r="T247" i="3"/>
  <c r="P247" i="3"/>
  <c r="H247" i="3"/>
  <c r="D247" i="3"/>
  <c r="L247" i="3" s="1"/>
  <c r="N247" i="3" s="1"/>
  <c r="B247" i="3"/>
  <c r="X246" i="3"/>
  <c r="Z246" i="3" s="1"/>
  <c r="L246" i="3"/>
  <c r="N246" i="3" s="1"/>
  <c r="B246" i="3"/>
  <c r="X245" i="3"/>
  <c r="T245" i="3"/>
  <c r="Z245" i="3" s="1"/>
  <c r="P245" i="3"/>
  <c r="H245" i="3"/>
  <c r="L245" i="3" s="1"/>
  <c r="N245" i="3" s="1"/>
  <c r="D245" i="3"/>
  <c r="B245" i="3"/>
  <c r="X244" i="3"/>
  <c r="Z244" i="3" s="1"/>
  <c r="L244" i="3"/>
  <c r="N244" i="3" s="1"/>
  <c r="B244" i="3"/>
  <c r="T243" i="3"/>
  <c r="P243" i="3"/>
  <c r="X243" i="3" s="1"/>
  <c r="H243" i="3"/>
  <c r="D243" i="3"/>
  <c r="L243" i="3" s="1"/>
  <c r="N243" i="3" s="1"/>
  <c r="B243" i="3"/>
  <c r="Z242" i="3"/>
  <c r="X242" i="3"/>
  <c r="L242" i="3"/>
  <c r="N242" i="3" s="1"/>
  <c r="B242" i="3"/>
  <c r="T241" i="3"/>
  <c r="P241" i="3"/>
  <c r="X241" i="3" s="1"/>
  <c r="Z241" i="3" s="1"/>
  <c r="N241" i="3"/>
  <c r="L241" i="3"/>
  <c r="H241" i="3"/>
  <c r="D241" i="3"/>
  <c r="B241" i="3"/>
  <c r="Z240" i="3"/>
  <c r="X240" i="3"/>
  <c r="L240" i="3"/>
  <c r="N240" i="3" s="1"/>
  <c r="B240" i="3"/>
  <c r="T239" i="3"/>
  <c r="P239" i="3"/>
  <c r="L239" i="3"/>
  <c r="J239" i="3"/>
  <c r="H239" i="3"/>
  <c r="N239" i="3" s="1"/>
  <c r="D239" i="3"/>
  <c r="B239" i="3"/>
  <c r="X238" i="3"/>
  <c r="Z238" i="3" s="1"/>
  <c r="N238" i="3"/>
  <c r="L238" i="3"/>
  <c r="B238" i="3"/>
  <c r="Z237" i="3"/>
  <c r="X237" i="3"/>
  <c r="L237" i="3"/>
  <c r="N237" i="3" s="1"/>
  <c r="B237" i="3"/>
  <c r="X236" i="3"/>
  <c r="Z236" i="3" s="1"/>
  <c r="T236" i="3"/>
  <c r="P236" i="3"/>
  <c r="H236" i="3"/>
  <c r="D236" i="3"/>
  <c r="B236" i="3"/>
  <c r="Z235" i="3"/>
  <c r="X235" i="3"/>
  <c r="N235" i="3"/>
  <c r="L235" i="3"/>
  <c r="B235" i="3"/>
  <c r="Z234" i="3"/>
  <c r="X234" i="3"/>
  <c r="L234" i="3"/>
  <c r="N234" i="3" s="1"/>
  <c r="B234" i="3"/>
  <c r="T233" i="3"/>
  <c r="P233" i="3"/>
  <c r="X233" i="3" s="1"/>
  <c r="Z233" i="3" s="1"/>
  <c r="N233" i="3"/>
  <c r="L233" i="3"/>
  <c r="H233" i="3"/>
  <c r="D233" i="3"/>
  <c r="B233" i="3"/>
  <c r="Z232" i="3"/>
  <c r="X232" i="3"/>
  <c r="L232" i="3"/>
  <c r="N232" i="3" s="1"/>
  <c r="B232" i="3"/>
  <c r="T231" i="3"/>
  <c r="X231" i="3" s="1"/>
  <c r="Z231" i="3" s="1"/>
  <c r="P231" i="3"/>
  <c r="L231" i="3"/>
  <c r="J231" i="3"/>
  <c r="H231" i="3"/>
  <c r="N231" i="3" s="1"/>
  <c r="D231" i="3"/>
  <c r="B231" i="3"/>
  <c r="X230" i="3"/>
  <c r="Z230" i="3" s="1"/>
  <c r="N230" i="3"/>
  <c r="L230" i="3"/>
  <c r="B230" i="3"/>
  <c r="T229" i="3"/>
  <c r="P229" i="3"/>
  <c r="X229" i="3" s="1"/>
  <c r="Z229" i="3" s="1"/>
  <c r="H229" i="3"/>
  <c r="D229" i="3"/>
  <c r="L229" i="3" s="1"/>
  <c r="B229" i="3"/>
  <c r="X228" i="3"/>
  <c r="Z228" i="3" s="1"/>
  <c r="N228" i="3"/>
  <c r="L228" i="3"/>
  <c r="B228" i="3"/>
  <c r="Z227" i="3"/>
  <c r="X227" i="3"/>
  <c r="T227" i="3"/>
  <c r="P227" i="3"/>
  <c r="H227" i="3"/>
  <c r="D227" i="3"/>
  <c r="L227" i="3" s="1"/>
  <c r="N227" i="3" s="1"/>
  <c r="B227" i="3"/>
  <c r="X226" i="3"/>
  <c r="Z226" i="3" s="1"/>
  <c r="L226" i="3"/>
  <c r="N226" i="3" s="1"/>
  <c r="B226" i="3"/>
  <c r="X225" i="3"/>
  <c r="Z225" i="3" s="1"/>
  <c r="N225" i="3"/>
  <c r="L225" i="3"/>
  <c r="B225" i="3"/>
  <c r="T224" i="3"/>
  <c r="P224" i="3"/>
  <c r="X224" i="3" s="1"/>
  <c r="Z224" i="3" s="1"/>
  <c r="H224" i="3"/>
  <c r="N224" i="3" s="1"/>
  <c r="D224" i="3"/>
  <c r="L224" i="3" s="1"/>
  <c r="B224" i="3"/>
  <c r="Z223" i="3"/>
  <c r="X223" i="3"/>
  <c r="N223" i="3"/>
  <c r="L223" i="3"/>
  <c r="B223" i="3"/>
  <c r="X222" i="3"/>
  <c r="Z222" i="3" s="1"/>
  <c r="N222" i="3"/>
  <c r="L222" i="3"/>
  <c r="B222" i="3"/>
  <c r="Z221" i="3"/>
  <c r="X221" i="3"/>
  <c r="L221" i="3"/>
  <c r="N221" i="3" s="1"/>
  <c r="B221" i="3"/>
  <c r="X220" i="3"/>
  <c r="Z220" i="3" s="1"/>
  <c r="T220" i="3"/>
  <c r="P220" i="3"/>
  <c r="H220" i="3"/>
  <c r="D220" i="3"/>
  <c r="B220" i="3"/>
  <c r="Z219" i="3"/>
  <c r="X219" i="3"/>
  <c r="N219" i="3"/>
  <c r="L219" i="3"/>
  <c r="B219" i="3"/>
  <c r="T218" i="3"/>
  <c r="P218" i="3"/>
  <c r="X218" i="3" s="1"/>
  <c r="L218" i="3"/>
  <c r="H218" i="3"/>
  <c r="N218" i="3" s="1"/>
  <c r="D218" i="3"/>
  <c r="B218" i="3"/>
  <c r="X217" i="3"/>
  <c r="Z217" i="3" s="1"/>
  <c r="N217" i="3"/>
  <c r="L217" i="3"/>
  <c r="B217" i="3"/>
  <c r="T216" i="3"/>
  <c r="P216" i="3"/>
  <c r="X216" i="3" s="1"/>
  <c r="Z216" i="3" s="1"/>
  <c r="H216" i="3"/>
  <c r="D216" i="3"/>
  <c r="L216" i="3" s="1"/>
  <c r="B216" i="3"/>
  <c r="Z215" i="3"/>
  <c r="X215" i="3"/>
  <c r="N215" i="3"/>
  <c r="L215" i="3"/>
  <c r="B215" i="3"/>
  <c r="T214" i="3"/>
  <c r="P214" i="3"/>
  <c r="L214" i="3"/>
  <c r="N214" i="3" s="1"/>
  <c r="H214" i="3"/>
  <c r="D214" i="3"/>
  <c r="B214" i="3"/>
  <c r="X213" i="3"/>
  <c r="Z213" i="3" s="1"/>
  <c r="L213" i="3"/>
  <c r="N213" i="3" s="1"/>
  <c r="J213" i="3"/>
  <c r="B213" i="3"/>
  <c r="X212" i="3"/>
  <c r="Z212" i="3" s="1"/>
  <c r="N212" i="3"/>
  <c r="L212" i="3"/>
  <c r="B212" i="3"/>
  <c r="Z211" i="3"/>
  <c r="X211" i="3"/>
  <c r="N211" i="3"/>
  <c r="L211" i="3"/>
  <c r="B211" i="3"/>
  <c r="X210" i="3"/>
  <c r="Z210" i="3" s="1"/>
  <c r="L210" i="3"/>
  <c r="N210" i="3" s="1"/>
  <c r="B210" i="3"/>
  <c r="X209" i="3"/>
  <c r="Z209" i="3" s="1"/>
  <c r="L209" i="3"/>
  <c r="N209" i="3" s="1"/>
  <c r="J209" i="3"/>
  <c r="B209" i="3"/>
  <c r="X208" i="3"/>
  <c r="Z208" i="3" s="1"/>
  <c r="N208" i="3"/>
  <c r="L208" i="3"/>
  <c r="B208" i="3"/>
  <c r="Z207" i="3"/>
  <c r="X207" i="3"/>
  <c r="N207" i="3"/>
  <c r="L207" i="3"/>
  <c r="B207" i="3"/>
  <c r="T206" i="3"/>
  <c r="P206" i="3"/>
  <c r="X206" i="3" s="1"/>
  <c r="L206" i="3"/>
  <c r="H206" i="3"/>
  <c r="N206" i="3" s="1"/>
  <c r="D206" i="3"/>
  <c r="B206" i="3"/>
  <c r="X205" i="3"/>
  <c r="Z205" i="3" s="1"/>
  <c r="N205" i="3"/>
  <c r="L205" i="3"/>
  <c r="B205" i="3"/>
  <c r="Z204" i="3"/>
  <c r="X204" i="3"/>
  <c r="L204" i="3"/>
  <c r="N204" i="3" s="1"/>
  <c r="B204" i="3"/>
  <c r="Z203" i="3"/>
  <c r="X203" i="3"/>
  <c r="N203" i="3"/>
  <c r="L203" i="3"/>
  <c r="B203" i="3"/>
  <c r="X202" i="3"/>
  <c r="Z202" i="3" s="1"/>
  <c r="L202" i="3"/>
  <c r="N202" i="3" s="1"/>
  <c r="B202" i="3"/>
  <c r="X201" i="3"/>
  <c r="Z201" i="3" s="1"/>
  <c r="N201" i="3"/>
  <c r="L201" i="3"/>
  <c r="B201" i="3"/>
  <c r="Z200" i="3"/>
  <c r="X200" i="3"/>
  <c r="L200" i="3"/>
  <c r="N200" i="3" s="1"/>
  <c r="B200" i="3"/>
  <c r="Z199" i="3"/>
  <c r="X199" i="3"/>
  <c r="N199" i="3"/>
  <c r="L199" i="3"/>
  <c r="B199" i="3"/>
  <c r="X198" i="3"/>
  <c r="Z198" i="3" s="1"/>
  <c r="N198" i="3"/>
  <c r="L198" i="3"/>
  <c r="B198" i="3"/>
  <c r="X197" i="3"/>
  <c r="Z197" i="3" s="1"/>
  <c r="N197" i="3"/>
  <c r="L197" i="3"/>
  <c r="B197" i="3"/>
  <c r="T196" i="3"/>
  <c r="P196" i="3"/>
  <c r="X196" i="3" s="1"/>
  <c r="Z196" i="3" s="1"/>
  <c r="H196" i="3"/>
  <c r="D196" i="3"/>
  <c r="L196" i="3" s="1"/>
  <c r="B196" i="3"/>
  <c r="T195" i="3"/>
  <c r="P195" i="3"/>
  <c r="X195" i="3" s="1"/>
  <c r="H195" i="3"/>
  <c r="N195" i="3" s="1"/>
  <c r="D195" i="3"/>
  <c r="L195" i="3" s="1"/>
  <c r="Z191" i="3"/>
  <c r="X191" i="3"/>
  <c r="N191" i="3"/>
  <c r="L191" i="3"/>
  <c r="B191" i="3"/>
  <c r="Z190" i="3"/>
  <c r="X190" i="3"/>
  <c r="N190" i="3"/>
  <c r="L190" i="3"/>
  <c r="B190" i="3"/>
  <c r="Z189" i="3"/>
  <c r="X189" i="3"/>
  <c r="N189" i="3"/>
  <c r="L189" i="3"/>
  <c r="B189" i="3"/>
  <c r="Z188" i="3"/>
  <c r="X188" i="3"/>
  <c r="N188" i="3"/>
  <c r="L188" i="3"/>
  <c r="B188" i="3"/>
  <c r="Z187" i="3"/>
  <c r="X187" i="3"/>
  <c r="N187" i="3"/>
  <c r="L187" i="3"/>
  <c r="B187" i="3"/>
  <c r="Z186" i="3"/>
  <c r="X186" i="3"/>
  <c r="N186" i="3"/>
  <c r="L186" i="3"/>
  <c r="B186" i="3"/>
  <c r="Z185" i="3"/>
  <c r="X185" i="3"/>
  <c r="L185" i="3"/>
  <c r="N185" i="3" s="1"/>
  <c r="B185" i="3"/>
  <c r="Z184" i="3"/>
  <c r="X184" i="3"/>
  <c r="N184" i="3"/>
  <c r="L184" i="3"/>
  <c r="B184" i="3"/>
  <c r="Z183" i="3"/>
  <c r="X183" i="3"/>
  <c r="N183" i="3"/>
  <c r="L183" i="3"/>
  <c r="B183" i="3"/>
  <c r="Z182" i="3"/>
  <c r="X182" i="3"/>
  <c r="L182" i="3"/>
  <c r="N182" i="3" s="1"/>
  <c r="B182" i="3"/>
  <c r="Z181" i="3"/>
  <c r="X181" i="3"/>
  <c r="L181" i="3"/>
  <c r="N181" i="3" s="1"/>
  <c r="B181" i="3"/>
  <c r="X180" i="3"/>
  <c r="Z180" i="3" s="1"/>
  <c r="L180" i="3"/>
  <c r="N180" i="3" s="1"/>
  <c r="B180" i="3"/>
  <c r="Z179" i="3"/>
  <c r="X179" i="3"/>
  <c r="N179" i="3"/>
  <c r="L179" i="3"/>
  <c r="B179" i="3"/>
  <c r="Z178" i="3"/>
  <c r="X178" i="3"/>
  <c r="N178" i="3"/>
  <c r="L178" i="3"/>
  <c r="B178" i="3"/>
  <c r="Z177" i="3"/>
  <c r="X177" i="3"/>
  <c r="L177" i="3"/>
  <c r="N177" i="3" s="1"/>
  <c r="B177" i="3"/>
  <c r="X176" i="3"/>
  <c r="Z176" i="3" s="1"/>
  <c r="L176" i="3"/>
  <c r="N176" i="3" s="1"/>
  <c r="B176" i="3"/>
  <c r="Z175" i="3"/>
  <c r="X175" i="3"/>
  <c r="N175" i="3"/>
  <c r="L175" i="3"/>
  <c r="B175" i="3"/>
  <c r="Z174" i="3"/>
  <c r="X174" i="3"/>
  <c r="L174" i="3"/>
  <c r="N174" i="3" s="1"/>
  <c r="B174" i="3"/>
  <c r="Z173" i="3"/>
  <c r="X173" i="3"/>
  <c r="L173" i="3"/>
  <c r="N173" i="3" s="1"/>
  <c r="B173" i="3"/>
  <c r="X172" i="3"/>
  <c r="Z172" i="3" s="1"/>
  <c r="L172" i="3"/>
  <c r="N172" i="3" s="1"/>
  <c r="B172" i="3"/>
  <c r="Z171" i="3"/>
  <c r="X171" i="3"/>
  <c r="N171" i="3"/>
  <c r="L171" i="3"/>
  <c r="B171" i="3"/>
  <c r="Z170" i="3"/>
  <c r="X170" i="3"/>
  <c r="N170" i="3"/>
  <c r="L170" i="3"/>
  <c r="B170" i="3"/>
  <c r="Z169" i="3"/>
  <c r="X169" i="3"/>
  <c r="L169" i="3"/>
  <c r="N169" i="3" s="1"/>
  <c r="B169" i="3"/>
  <c r="Z168" i="3"/>
  <c r="X168" i="3"/>
  <c r="L168" i="3"/>
  <c r="N168" i="3" s="1"/>
  <c r="B168" i="3"/>
  <c r="Z167" i="3"/>
  <c r="X167" i="3"/>
  <c r="N167" i="3"/>
  <c r="L167" i="3"/>
  <c r="B167" i="3"/>
  <c r="X166" i="3"/>
  <c r="Z166" i="3" s="1"/>
  <c r="L166" i="3"/>
  <c r="N166" i="3" s="1"/>
  <c r="B166" i="3"/>
  <c r="Z165" i="3"/>
  <c r="X165" i="3"/>
  <c r="N165" i="3"/>
  <c r="L165" i="3"/>
  <c r="B165" i="3"/>
  <c r="X164" i="3"/>
  <c r="Z164" i="3" s="1"/>
  <c r="L164" i="3"/>
  <c r="N164" i="3" s="1"/>
  <c r="B164" i="3"/>
  <c r="Z163" i="3"/>
  <c r="X163" i="3"/>
  <c r="N163" i="3"/>
  <c r="L163" i="3"/>
  <c r="B163" i="3"/>
  <c r="X162" i="3"/>
  <c r="Z162" i="3" s="1"/>
  <c r="L162" i="3"/>
  <c r="N162" i="3" s="1"/>
  <c r="B162" i="3"/>
  <c r="Z161" i="3"/>
  <c r="X161" i="3"/>
  <c r="L161" i="3"/>
  <c r="N161" i="3" s="1"/>
  <c r="B161" i="3"/>
  <c r="X160" i="3"/>
  <c r="Z160" i="3" s="1"/>
  <c r="L160" i="3"/>
  <c r="N160" i="3" s="1"/>
  <c r="B160" i="3"/>
  <c r="Z159" i="3"/>
  <c r="X159" i="3"/>
  <c r="N159" i="3"/>
  <c r="L159" i="3"/>
  <c r="B159" i="3"/>
  <c r="X158" i="3"/>
  <c r="Z158" i="3" s="1"/>
  <c r="L158" i="3"/>
  <c r="N158" i="3" s="1"/>
  <c r="B158" i="3"/>
  <c r="Z157" i="3"/>
  <c r="X157" i="3"/>
  <c r="L157" i="3"/>
  <c r="N157" i="3" s="1"/>
  <c r="B157" i="3"/>
  <c r="X156" i="3"/>
  <c r="Z156" i="3" s="1"/>
  <c r="L156" i="3"/>
  <c r="N156" i="3" s="1"/>
  <c r="B156" i="3"/>
  <c r="Z155" i="3"/>
  <c r="X155" i="3"/>
  <c r="N155" i="3"/>
  <c r="L155" i="3"/>
  <c r="B155" i="3"/>
  <c r="X154" i="3"/>
  <c r="Z154" i="3" s="1"/>
  <c r="L154" i="3"/>
  <c r="N154" i="3" s="1"/>
  <c r="B154" i="3"/>
  <c r="Z153" i="3"/>
  <c r="X153" i="3"/>
  <c r="L153" i="3"/>
  <c r="N153" i="3" s="1"/>
  <c r="B153" i="3"/>
  <c r="X152" i="3"/>
  <c r="Z152" i="3" s="1"/>
  <c r="L152" i="3"/>
  <c r="N152" i="3" s="1"/>
  <c r="B152" i="3"/>
  <c r="Z151" i="3"/>
  <c r="X151" i="3"/>
  <c r="N151" i="3"/>
  <c r="L151" i="3"/>
  <c r="B151" i="3"/>
  <c r="X150" i="3"/>
  <c r="Z150" i="3" s="1"/>
  <c r="L150" i="3"/>
  <c r="N150" i="3" s="1"/>
  <c r="B150" i="3"/>
  <c r="Z149" i="3"/>
  <c r="X149" i="3"/>
  <c r="L149" i="3"/>
  <c r="N149" i="3" s="1"/>
  <c r="B149" i="3"/>
  <c r="X148" i="3"/>
  <c r="Z148" i="3" s="1"/>
  <c r="L148" i="3"/>
  <c r="N148" i="3" s="1"/>
  <c r="B148" i="3"/>
  <c r="Z147" i="3"/>
  <c r="X147" i="3"/>
  <c r="N147" i="3"/>
  <c r="L147" i="3"/>
  <c r="B147" i="3"/>
  <c r="X146" i="3"/>
  <c r="Z146" i="3" s="1"/>
  <c r="L146" i="3"/>
  <c r="N146" i="3" s="1"/>
  <c r="B146" i="3"/>
  <c r="Z145" i="3"/>
  <c r="X145" i="3"/>
  <c r="L145" i="3"/>
  <c r="N145" i="3" s="1"/>
  <c r="B145" i="3"/>
  <c r="X144" i="3"/>
  <c r="Z144" i="3" s="1"/>
  <c r="N144" i="3"/>
  <c r="L144" i="3"/>
  <c r="B144" i="3"/>
  <c r="Z143" i="3"/>
  <c r="X143" i="3"/>
  <c r="N143" i="3"/>
  <c r="L143" i="3"/>
  <c r="B143" i="3"/>
  <c r="Z142" i="3"/>
  <c r="X142" i="3"/>
  <c r="L142" i="3"/>
  <c r="N142" i="3" s="1"/>
  <c r="B142" i="3"/>
  <c r="Z141" i="3"/>
  <c r="X141" i="3"/>
  <c r="L141" i="3"/>
  <c r="N141" i="3" s="1"/>
  <c r="B141" i="3"/>
  <c r="X140" i="3"/>
  <c r="Z140" i="3" s="1"/>
  <c r="L140" i="3"/>
  <c r="N140" i="3" s="1"/>
  <c r="B140" i="3"/>
  <c r="Z139" i="3"/>
  <c r="X139" i="3"/>
  <c r="N139" i="3"/>
  <c r="L139" i="3"/>
  <c r="B139" i="3"/>
  <c r="X138" i="3"/>
  <c r="Z138" i="3" s="1"/>
  <c r="L138" i="3"/>
  <c r="N138" i="3" s="1"/>
  <c r="B138" i="3"/>
  <c r="Z137" i="3"/>
  <c r="X137" i="3"/>
  <c r="L137" i="3"/>
  <c r="N137" i="3" s="1"/>
  <c r="B137" i="3"/>
  <c r="X136" i="3"/>
  <c r="Z136" i="3" s="1"/>
  <c r="L136" i="3"/>
  <c r="N136" i="3" s="1"/>
  <c r="B136" i="3"/>
  <c r="Z135" i="3"/>
  <c r="X135" i="3"/>
  <c r="N135" i="3"/>
  <c r="L135" i="3"/>
  <c r="B135" i="3"/>
  <c r="T134" i="3"/>
  <c r="P134" i="3"/>
  <c r="L134" i="3"/>
  <c r="N134" i="3" s="1"/>
  <c r="H134" i="3"/>
  <c r="D134" i="3"/>
  <c r="T132" i="3"/>
  <c r="Z132" i="3" s="1"/>
  <c r="P132" i="3"/>
  <c r="X132" i="3" s="1"/>
  <c r="H132" i="3"/>
  <c r="N132" i="3" s="1"/>
  <c r="D132" i="3"/>
  <c r="L132" i="3" s="1"/>
  <c r="B132" i="3"/>
  <c r="T131" i="3"/>
  <c r="Z131" i="3" s="1"/>
  <c r="P131" i="3"/>
  <c r="X131" i="3" s="1"/>
  <c r="L131" i="3"/>
  <c r="H131" i="3"/>
  <c r="N131" i="3" s="1"/>
  <c r="D131" i="3"/>
  <c r="B131" i="3"/>
  <c r="Z130" i="3"/>
  <c r="X130" i="3"/>
  <c r="T130" i="3"/>
  <c r="P130" i="3"/>
  <c r="L130" i="3"/>
  <c r="H130" i="3"/>
  <c r="N130" i="3" s="1"/>
  <c r="D130" i="3"/>
  <c r="B130" i="3"/>
  <c r="Z129" i="3"/>
  <c r="T129" i="3"/>
  <c r="P129" i="3"/>
  <c r="X129" i="3" s="1"/>
  <c r="N129" i="3"/>
  <c r="L129" i="3"/>
  <c r="H129" i="3"/>
  <c r="D129" i="3"/>
  <c r="B129" i="3"/>
  <c r="T128" i="3"/>
  <c r="Z128" i="3" s="1"/>
  <c r="P128" i="3"/>
  <c r="X128" i="3" s="1"/>
  <c r="H128" i="3"/>
  <c r="N128" i="3" s="1"/>
  <c r="D128" i="3"/>
  <c r="L128" i="3" s="1"/>
  <c r="B128" i="3"/>
  <c r="T127" i="3"/>
  <c r="Z127" i="3" s="1"/>
  <c r="P127" i="3"/>
  <c r="X127" i="3" s="1"/>
  <c r="L127" i="3"/>
  <c r="H127" i="3"/>
  <c r="N127" i="3" s="1"/>
  <c r="D127" i="3"/>
  <c r="B127" i="3"/>
  <c r="X126" i="3"/>
  <c r="Z126" i="3" s="1"/>
  <c r="T126" i="3"/>
  <c r="P126" i="3"/>
  <c r="L126" i="3"/>
  <c r="H126" i="3"/>
  <c r="N126" i="3" s="1"/>
  <c r="D126" i="3"/>
  <c r="B126" i="3"/>
  <c r="Z125" i="3"/>
  <c r="T125" i="3"/>
  <c r="P125" i="3"/>
  <c r="X125" i="3" s="1"/>
  <c r="N125" i="3"/>
  <c r="L125" i="3"/>
  <c r="H125" i="3"/>
  <c r="D125" i="3"/>
  <c r="B125" i="3"/>
  <c r="T124" i="3"/>
  <c r="P124" i="3"/>
  <c r="X124" i="3" s="1"/>
  <c r="H124" i="3"/>
  <c r="N124" i="3" s="1"/>
  <c r="D124" i="3"/>
  <c r="L124" i="3" s="1"/>
  <c r="B124" i="3"/>
  <c r="T123" i="3"/>
  <c r="P123" i="3"/>
  <c r="X123" i="3" s="1"/>
  <c r="L123" i="3"/>
  <c r="H123" i="3"/>
  <c r="N123" i="3" s="1"/>
  <c r="D123" i="3"/>
  <c r="B123" i="3"/>
  <c r="X122" i="3"/>
  <c r="Z122" i="3" s="1"/>
  <c r="T122" i="3"/>
  <c r="P122" i="3"/>
  <c r="L122" i="3"/>
  <c r="H122" i="3"/>
  <c r="N122" i="3" s="1"/>
  <c r="D122" i="3"/>
  <c r="B122" i="3"/>
  <c r="T121" i="3"/>
  <c r="P121" i="3"/>
  <c r="X121" i="3" s="1"/>
  <c r="Z121" i="3" s="1"/>
  <c r="N121" i="3"/>
  <c r="L121" i="3"/>
  <c r="H121" i="3"/>
  <c r="D121" i="3"/>
  <c r="B121" i="3"/>
  <c r="T120" i="3"/>
  <c r="P120" i="3"/>
  <c r="X120" i="3" s="1"/>
  <c r="H120" i="3"/>
  <c r="N120" i="3" s="1"/>
  <c r="D120" i="3"/>
  <c r="L120" i="3" s="1"/>
  <c r="B120" i="3"/>
  <c r="T119" i="3"/>
  <c r="Z119" i="3" s="1"/>
  <c r="P119" i="3"/>
  <c r="X119" i="3" s="1"/>
  <c r="L119" i="3"/>
  <c r="H119" i="3"/>
  <c r="N119" i="3" s="1"/>
  <c r="D119" i="3"/>
  <c r="B119" i="3"/>
  <c r="X118" i="3"/>
  <c r="Z118" i="3" s="1"/>
  <c r="T118" i="3"/>
  <c r="P118" i="3"/>
  <c r="L118" i="3"/>
  <c r="H118" i="3"/>
  <c r="N118" i="3" s="1"/>
  <c r="D118" i="3"/>
  <c r="B118" i="3"/>
  <c r="T117" i="3"/>
  <c r="P117" i="3"/>
  <c r="X117" i="3" s="1"/>
  <c r="Z117" i="3" s="1"/>
  <c r="N117" i="3"/>
  <c r="L117" i="3"/>
  <c r="H117" i="3"/>
  <c r="D117" i="3"/>
  <c r="B117" i="3"/>
  <c r="T116" i="3"/>
  <c r="Z116" i="3" s="1"/>
  <c r="P116" i="3"/>
  <c r="X116" i="3" s="1"/>
  <c r="H116" i="3"/>
  <c r="N116" i="3" s="1"/>
  <c r="D116" i="3"/>
  <c r="L116" i="3" s="1"/>
  <c r="B116" i="3"/>
  <c r="T115" i="3"/>
  <c r="Z115" i="3" s="1"/>
  <c r="P115" i="3"/>
  <c r="X115" i="3" s="1"/>
  <c r="L115" i="3"/>
  <c r="H115" i="3"/>
  <c r="N115" i="3" s="1"/>
  <c r="D115" i="3"/>
  <c r="B115" i="3"/>
  <c r="Z114" i="3"/>
  <c r="X114" i="3"/>
  <c r="T114" i="3"/>
  <c r="P114" i="3"/>
  <c r="L114" i="3"/>
  <c r="H114" i="3"/>
  <c r="N114" i="3" s="1"/>
  <c r="D114" i="3"/>
  <c r="B114" i="3"/>
  <c r="T113" i="3"/>
  <c r="P113" i="3"/>
  <c r="X113" i="3" s="1"/>
  <c r="Z113" i="3" s="1"/>
  <c r="N113" i="3"/>
  <c r="L113" i="3"/>
  <c r="H113" i="3"/>
  <c r="D113" i="3"/>
  <c r="B113" i="3"/>
  <c r="T112" i="3"/>
  <c r="Z112" i="3" s="1"/>
  <c r="P112" i="3"/>
  <c r="X112" i="3" s="1"/>
  <c r="H112" i="3"/>
  <c r="N112" i="3" s="1"/>
  <c r="D112" i="3"/>
  <c r="L112" i="3" s="1"/>
  <c r="B112" i="3"/>
  <c r="T111" i="3"/>
  <c r="P111" i="3"/>
  <c r="X111" i="3" s="1"/>
  <c r="L111" i="3"/>
  <c r="H111" i="3"/>
  <c r="N111" i="3" s="1"/>
  <c r="D111" i="3"/>
  <c r="B111" i="3"/>
  <c r="X110" i="3"/>
  <c r="Z110" i="3" s="1"/>
  <c r="T110" i="3"/>
  <c r="P110" i="3"/>
  <c r="L110" i="3"/>
  <c r="H110" i="3"/>
  <c r="N110" i="3" s="1"/>
  <c r="D110" i="3"/>
  <c r="B110" i="3"/>
  <c r="T109" i="3"/>
  <c r="P109" i="3"/>
  <c r="X109" i="3" s="1"/>
  <c r="Z109" i="3" s="1"/>
  <c r="N109" i="3"/>
  <c r="L109" i="3"/>
  <c r="H109" i="3"/>
  <c r="D109" i="3"/>
  <c r="B109" i="3"/>
  <c r="T108" i="3"/>
  <c r="P108" i="3"/>
  <c r="X108" i="3" s="1"/>
  <c r="H108" i="3"/>
  <c r="D108" i="3"/>
  <c r="L108" i="3" s="1"/>
  <c r="B108" i="3"/>
  <c r="T107" i="3"/>
  <c r="Z107" i="3" s="1"/>
  <c r="P107" i="3"/>
  <c r="X107" i="3" s="1"/>
  <c r="L107" i="3"/>
  <c r="H107" i="3"/>
  <c r="N107" i="3" s="1"/>
  <c r="D107" i="3"/>
  <c r="B107" i="3"/>
  <c r="X106" i="3"/>
  <c r="Z106" i="3" s="1"/>
  <c r="T106" i="3"/>
  <c r="P106" i="3"/>
  <c r="L106" i="3"/>
  <c r="H106" i="3"/>
  <c r="N106" i="3" s="1"/>
  <c r="D106" i="3"/>
  <c r="B106" i="3"/>
  <c r="T105" i="3"/>
  <c r="P105" i="3"/>
  <c r="X105" i="3" s="1"/>
  <c r="Z105" i="3" s="1"/>
  <c r="N105" i="3"/>
  <c r="L105" i="3"/>
  <c r="H105" i="3"/>
  <c r="D105" i="3"/>
  <c r="B105" i="3"/>
  <c r="T104" i="3"/>
  <c r="Z104" i="3" s="1"/>
  <c r="P104" i="3"/>
  <c r="X104" i="3" s="1"/>
  <c r="H104" i="3"/>
  <c r="N104" i="3" s="1"/>
  <c r="D104" i="3"/>
  <c r="L104" i="3" s="1"/>
  <c r="B104" i="3"/>
  <c r="T103" i="3"/>
  <c r="P103" i="3"/>
  <c r="X103" i="3" s="1"/>
  <c r="L103" i="3"/>
  <c r="H103" i="3"/>
  <c r="N103" i="3" s="1"/>
  <c r="D103" i="3"/>
  <c r="B103" i="3"/>
  <c r="X102" i="3"/>
  <c r="Z102" i="3" s="1"/>
  <c r="T102" i="3"/>
  <c r="P102" i="3"/>
  <c r="L102" i="3"/>
  <c r="H102" i="3"/>
  <c r="N102" i="3" s="1"/>
  <c r="D102" i="3"/>
  <c r="B102" i="3"/>
  <c r="T101" i="3"/>
  <c r="P101" i="3"/>
  <c r="X101" i="3" s="1"/>
  <c r="Z101" i="3" s="1"/>
  <c r="N101" i="3"/>
  <c r="L101" i="3"/>
  <c r="H101" i="3"/>
  <c r="D101" i="3"/>
  <c r="B101" i="3"/>
  <c r="T100" i="3"/>
  <c r="P100" i="3"/>
  <c r="X100" i="3" s="1"/>
  <c r="H100" i="3"/>
  <c r="D100" i="3"/>
  <c r="L100" i="3" s="1"/>
  <c r="B100" i="3"/>
  <c r="T99" i="3"/>
  <c r="P99" i="3"/>
  <c r="X99" i="3" s="1"/>
  <c r="L99" i="3"/>
  <c r="H99" i="3"/>
  <c r="N99" i="3" s="1"/>
  <c r="D99" i="3"/>
  <c r="B99" i="3"/>
  <c r="X98" i="3"/>
  <c r="Z98" i="3" s="1"/>
  <c r="T98" i="3"/>
  <c r="P98" i="3"/>
  <c r="L98" i="3"/>
  <c r="H98" i="3"/>
  <c r="N98" i="3" s="1"/>
  <c r="D98" i="3"/>
  <c r="B98" i="3"/>
  <c r="T97" i="3"/>
  <c r="P97" i="3"/>
  <c r="X97" i="3" s="1"/>
  <c r="Z97" i="3" s="1"/>
  <c r="N97" i="3"/>
  <c r="L97" i="3"/>
  <c r="H97" i="3"/>
  <c r="D97" i="3"/>
  <c r="B97" i="3"/>
  <c r="T96" i="3"/>
  <c r="Z96" i="3" s="1"/>
  <c r="P96" i="3"/>
  <c r="X96" i="3" s="1"/>
  <c r="H96" i="3"/>
  <c r="N96" i="3" s="1"/>
  <c r="D96" i="3"/>
  <c r="L96" i="3" s="1"/>
  <c r="B96" i="3"/>
  <c r="T95" i="3"/>
  <c r="P95" i="3"/>
  <c r="X95" i="3" s="1"/>
  <c r="L95" i="3"/>
  <c r="H95" i="3"/>
  <c r="N95" i="3" s="1"/>
  <c r="D95" i="3"/>
  <c r="B95" i="3"/>
  <c r="X94" i="3"/>
  <c r="Z94" i="3" s="1"/>
  <c r="T94" i="3"/>
  <c r="P94" i="3"/>
  <c r="L94" i="3"/>
  <c r="H94" i="3"/>
  <c r="N94" i="3" s="1"/>
  <c r="D94" i="3"/>
  <c r="B94" i="3"/>
  <c r="T93" i="3"/>
  <c r="P93" i="3"/>
  <c r="X93" i="3" s="1"/>
  <c r="Z93" i="3" s="1"/>
  <c r="N93" i="3"/>
  <c r="L93" i="3"/>
  <c r="H93" i="3"/>
  <c r="D93" i="3"/>
  <c r="B93" i="3"/>
  <c r="T92" i="3"/>
  <c r="P92" i="3"/>
  <c r="X92" i="3" s="1"/>
  <c r="H92" i="3"/>
  <c r="N92" i="3" s="1"/>
  <c r="D92" i="3"/>
  <c r="L92" i="3" s="1"/>
  <c r="B92" i="3"/>
  <c r="T91" i="3"/>
  <c r="Z91" i="3" s="1"/>
  <c r="P91" i="3"/>
  <c r="X91" i="3" s="1"/>
  <c r="L91" i="3"/>
  <c r="H91" i="3"/>
  <c r="N91" i="3" s="1"/>
  <c r="D91" i="3"/>
  <c r="B91" i="3"/>
  <c r="X90" i="3"/>
  <c r="Z90" i="3" s="1"/>
  <c r="T90" i="3"/>
  <c r="P90" i="3"/>
  <c r="L90" i="3"/>
  <c r="H90" i="3"/>
  <c r="N90" i="3" s="1"/>
  <c r="D90" i="3"/>
  <c r="B90" i="3"/>
  <c r="T89" i="3"/>
  <c r="P89" i="3"/>
  <c r="X89" i="3" s="1"/>
  <c r="Z89" i="3" s="1"/>
  <c r="N89" i="3"/>
  <c r="L89" i="3"/>
  <c r="H89" i="3"/>
  <c r="D89" i="3"/>
  <c r="B89" i="3"/>
  <c r="T88" i="3"/>
  <c r="Z88" i="3" s="1"/>
  <c r="P88" i="3"/>
  <c r="X88" i="3" s="1"/>
  <c r="H88" i="3"/>
  <c r="D88" i="3"/>
  <c r="L88" i="3" s="1"/>
  <c r="B88" i="3"/>
  <c r="T87" i="3"/>
  <c r="Z87" i="3" s="1"/>
  <c r="P87" i="3"/>
  <c r="X87" i="3" s="1"/>
  <c r="L87" i="3"/>
  <c r="H87" i="3"/>
  <c r="N87" i="3" s="1"/>
  <c r="D87" i="3"/>
  <c r="B87" i="3"/>
  <c r="X86" i="3"/>
  <c r="Z86" i="3" s="1"/>
  <c r="T86" i="3"/>
  <c r="P86" i="3"/>
  <c r="L86" i="3"/>
  <c r="H86" i="3"/>
  <c r="N86" i="3" s="1"/>
  <c r="D86" i="3"/>
  <c r="B86" i="3"/>
  <c r="T85" i="3"/>
  <c r="P85" i="3"/>
  <c r="X85" i="3" s="1"/>
  <c r="Z85" i="3" s="1"/>
  <c r="N85" i="3"/>
  <c r="L85" i="3"/>
  <c r="H85" i="3"/>
  <c r="D85" i="3"/>
  <c r="B85" i="3"/>
  <c r="T84" i="3"/>
  <c r="P84" i="3"/>
  <c r="X84" i="3" s="1"/>
  <c r="H84" i="3"/>
  <c r="D84" i="3"/>
  <c r="L84" i="3" s="1"/>
  <c r="B84" i="3"/>
  <c r="T83" i="3"/>
  <c r="Z83" i="3" s="1"/>
  <c r="P83" i="3"/>
  <c r="X83" i="3" s="1"/>
  <c r="L83" i="3"/>
  <c r="H83" i="3"/>
  <c r="N83" i="3" s="1"/>
  <c r="D83" i="3"/>
  <c r="B83" i="3"/>
  <c r="X82" i="3"/>
  <c r="Z82" i="3" s="1"/>
  <c r="T82" i="3"/>
  <c r="P82" i="3"/>
  <c r="L82" i="3"/>
  <c r="H82" i="3"/>
  <c r="N82" i="3" s="1"/>
  <c r="D82" i="3"/>
  <c r="B82" i="3"/>
  <c r="T81" i="3"/>
  <c r="P81" i="3"/>
  <c r="X81" i="3" s="1"/>
  <c r="Z81" i="3" s="1"/>
  <c r="N81" i="3"/>
  <c r="L81" i="3"/>
  <c r="H81" i="3"/>
  <c r="D81" i="3"/>
  <c r="B81" i="3"/>
  <c r="T80" i="3"/>
  <c r="P80" i="3"/>
  <c r="X80" i="3" s="1"/>
  <c r="H80" i="3"/>
  <c r="N80" i="3" s="1"/>
  <c r="D80" i="3"/>
  <c r="L80" i="3" s="1"/>
  <c r="B80" i="3"/>
  <c r="T79" i="3"/>
  <c r="P79" i="3"/>
  <c r="X79" i="3" s="1"/>
  <c r="L79" i="3"/>
  <c r="H79" i="3"/>
  <c r="N79" i="3" s="1"/>
  <c r="D79" i="3"/>
  <c r="B79" i="3"/>
  <c r="X78" i="3"/>
  <c r="Z78" i="3" s="1"/>
  <c r="T78" i="3"/>
  <c r="P78" i="3"/>
  <c r="L78" i="3"/>
  <c r="H78" i="3"/>
  <c r="N78" i="3" s="1"/>
  <c r="D78" i="3"/>
  <c r="B78" i="3"/>
  <c r="T77" i="3"/>
  <c r="P77" i="3"/>
  <c r="X77" i="3" s="1"/>
  <c r="Z77" i="3" s="1"/>
  <c r="N77" i="3"/>
  <c r="L77" i="3"/>
  <c r="H77" i="3"/>
  <c r="D77" i="3"/>
  <c r="B77" i="3"/>
  <c r="T76" i="3"/>
  <c r="P76" i="3"/>
  <c r="X76" i="3" s="1"/>
  <c r="H76" i="3"/>
  <c r="N76" i="3" s="1"/>
  <c r="D76" i="3"/>
  <c r="L76" i="3" s="1"/>
  <c r="B76" i="3"/>
  <c r="T75" i="3"/>
  <c r="Z75" i="3" s="1"/>
  <c r="P75" i="3"/>
  <c r="X75" i="3" s="1"/>
  <c r="L75" i="3"/>
  <c r="H75" i="3"/>
  <c r="N75" i="3" s="1"/>
  <c r="D75" i="3"/>
  <c r="B75" i="3"/>
  <c r="X74" i="3"/>
  <c r="Z74" i="3" s="1"/>
  <c r="T74" i="3"/>
  <c r="P74" i="3"/>
  <c r="L74" i="3"/>
  <c r="H74" i="3"/>
  <c r="N74" i="3" s="1"/>
  <c r="D74" i="3"/>
  <c r="B74" i="3"/>
  <c r="T73" i="3"/>
  <c r="P73" i="3"/>
  <c r="X73" i="3" s="1"/>
  <c r="Z73" i="3" s="1"/>
  <c r="N73" i="3"/>
  <c r="L73" i="3"/>
  <c r="H73" i="3"/>
  <c r="D73" i="3"/>
  <c r="B73" i="3"/>
  <c r="T72" i="3"/>
  <c r="Z72" i="3" s="1"/>
  <c r="P72" i="3"/>
  <c r="X72" i="3" s="1"/>
  <c r="H72" i="3"/>
  <c r="N72" i="3" s="1"/>
  <c r="D72" i="3"/>
  <c r="L72" i="3" s="1"/>
  <c r="B72" i="3"/>
  <c r="T71" i="3"/>
  <c r="P71" i="3"/>
  <c r="X71" i="3" s="1"/>
  <c r="L71" i="3"/>
  <c r="H71" i="3"/>
  <c r="N71" i="3" s="1"/>
  <c r="D71" i="3"/>
  <c r="B71" i="3"/>
  <c r="X70" i="3"/>
  <c r="Z70" i="3" s="1"/>
  <c r="T70" i="3"/>
  <c r="P70" i="3"/>
  <c r="L70" i="3"/>
  <c r="H70" i="3"/>
  <c r="N70" i="3" s="1"/>
  <c r="D70" i="3"/>
  <c r="B70" i="3"/>
  <c r="T69" i="3"/>
  <c r="P69" i="3"/>
  <c r="X69" i="3" s="1"/>
  <c r="Z69" i="3" s="1"/>
  <c r="N69" i="3"/>
  <c r="L69" i="3"/>
  <c r="H69" i="3"/>
  <c r="D69" i="3"/>
  <c r="B69" i="3"/>
  <c r="T68" i="3"/>
  <c r="Z68" i="3" s="1"/>
  <c r="P68" i="3"/>
  <c r="X68" i="3" s="1"/>
  <c r="H68" i="3"/>
  <c r="D68" i="3"/>
  <c r="L68" i="3" s="1"/>
  <c r="B68" i="3"/>
  <c r="T67" i="3"/>
  <c r="Z67" i="3" s="1"/>
  <c r="P67" i="3"/>
  <c r="X67" i="3" s="1"/>
  <c r="L67" i="3"/>
  <c r="H67" i="3"/>
  <c r="N67" i="3" s="1"/>
  <c r="D67" i="3"/>
  <c r="B67" i="3"/>
  <c r="X66" i="3"/>
  <c r="Z66" i="3" s="1"/>
  <c r="T66" i="3"/>
  <c r="P66" i="3"/>
  <c r="L66" i="3"/>
  <c r="H66" i="3"/>
  <c r="N66" i="3" s="1"/>
  <c r="D66" i="3"/>
  <c r="B66" i="3"/>
  <c r="T65" i="3"/>
  <c r="P65" i="3"/>
  <c r="X65" i="3" s="1"/>
  <c r="Z65" i="3" s="1"/>
  <c r="N65" i="3"/>
  <c r="L65" i="3"/>
  <c r="H65" i="3"/>
  <c r="D65" i="3"/>
  <c r="B65" i="3"/>
  <c r="T64" i="3"/>
  <c r="Z64" i="3" s="1"/>
  <c r="P64" i="3"/>
  <c r="X64" i="3" s="1"/>
  <c r="H64" i="3"/>
  <c r="N64" i="3" s="1"/>
  <c r="D64" i="3"/>
  <c r="L64" i="3" s="1"/>
  <c r="B64" i="3"/>
  <c r="T63" i="3"/>
  <c r="P63" i="3"/>
  <c r="X63" i="3" s="1"/>
  <c r="L63" i="3"/>
  <c r="H63" i="3"/>
  <c r="N63" i="3" s="1"/>
  <c r="D63" i="3"/>
  <c r="B63" i="3"/>
  <c r="X62" i="3"/>
  <c r="Z62" i="3" s="1"/>
  <c r="T62" i="3"/>
  <c r="P62" i="3"/>
  <c r="L62" i="3"/>
  <c r="H62" i="3"/>
  <c r="N62" i="3" s="1"/>
  <c r="D62" i="3"/>
  <c r="B62" i="3"/>
  <c r="T61" i="3"/>
  <c r="P61" i="3"/>
  <c r="X61" i="3" s="1"/>
  <c r="Z61" i="3" s="1"/>
  <c r="N61" i="3"/>
  <c r="L61" i="3"/>
  <c r="H61" i="3"/>
  <c r="D61" i="3"/>
  <c r="B61" i="3"/>
  <c r="T60" i="3"/>
  <c r="P60" i="3"/>
  <c r="X60" i="3" s="1"/>
  <c r="H60" i="3"/>
  <c r="D60" i="3"/>
  <c r="L60" i="3" s="1"/>
  <c r="B60" i="3"/>
  <c r="T59" i="3"/>
  <c r="Z59" i="3" s="1"/>
  <c r="P59" i="3"/>
  <c r="X59" i="3" s="1"/>
  <c r="L59" i="3"/>
  <c r="H59" i="3"/>
  <c r="N59" i="3" s="1"/>
  <c r="D59" i="3"/>
  <c r="B59" i="3"/>
  <c r="X58" i="3"/>
  <c r="Z58" i="3" s="1"/>
  <c r="T58" i="3"/>
  <c r="P58" i="3"/>
  <c r="L58" i="3"/>
  <c r="H58" i="3"/>
  <c r="N58" i="3" s="1"/>
  <c r="D58" i="3"/>
  <c r="B58" i="3"/>
  <c r="T57" i="3"/>
  <c r="P57" i="3"/>
  <c r="X57" i="3" s="1"/>
  <c r="Z57" i="3" s="1"/>
  <c r="N57" i="3"/>
  <c r="L57" i="3"/>
  <c r="H57" i="3"/>
  <c r="D57" i="3"/>
  <c r="B57" i="3"/>
  <c r="T56" i="3"/>
  <c r="Z56" i="3" s="1"/>
  <c r="P56" i="3"/>
  <c r="X56" i="3" s="1"/>
  <c r="H56" i="3"/>
  <c r="N56" i="3" s="1"/>
  <c r="D56" i="3"/>
  <c r="L56" i="3" s="1"/>
  <c r="B56" i="3"/>
  <c r="T55" i="3"/>
  <c r="P55" i="3"/>
  <c r="X55" i="3" s="1"/>
  <c r="L55" i="3"/>
  <c r="H55" i="3"/>
  <c r="N55" i="3" s="1"/>
  <c r="D55" i="3"/>
  <c r="B55" i="3"/>
  <c r="X54" i="3"/>
  <c r="Z54" i="3" s="1"/>
  <c r="T54" i="3"/>
  <c r="P54" i="3"/>
  <c r="L54" i="3"/>
  <c r="H54" i="3"/>
  <c r="N54" i="3" s="1"/>
  <c r="D54" i="3"/>
  <c r="B54" i="3"/>
  <c r="T53" i="3"/>
  <c r="P53" i="3"/>
  <c r="X53" i="3" s="1"/>
  <c r="Z53" i="3" s="1"/>
  <c r="N53" i="3"/>
  <c r="L53" i="3"/>
  <c r="H53" i="3"/>
  <c r="D53" i="3"/>
  <c r="B53" i="3"/>
  <c r="T52" i="3"/>
  <c r="P52" i="3"/>
  <c r="X52" i="3" s="1"/>
  <c r="H52" i="3"/>
  <c r="D52" i="3"/>
  <c r="L52" i="3" s="1"/>
  <c r="B52" i="3"/>
  <c r="T51" i="3"/>
  <c r="P51" i="3"/>
  <c r="X51" i="3" s="1"/>
  <c r="L51" i="3"/>
  <c r="H51" i="3"/>
  <c r="N51" i="3" s="1"/>
  <c r="D51" i="3"/>
  <c r="B51" i="3"/>
  <c r="X50" i="3"/>
  <c r="Z50" i="3" s="1"/>
  <c r="T50" i="3"/>
  <c r="P50" i="3"/>
  <c r="L50" i="3"/>
  <c r="H50" i="3"/>
  <c r="N50" i="3" s="1"/>
  <c r="D50" i="3"/>
  <c r="B50" i="3"/>
  <c r="T49" i="3"/>
  <c r="P49" i="3"/>
  <c r="X49" i="3" s="1"/>
  <c r="Z49" i="3" s="1"/>
  <c r="N49" i="3"/>
  <c r="L49" i="3"/>
  <c r="H49" i="3"/>
  <c r="D49" i="3"/>
  <c r="B49" i="3"/>
  <c r="T48" i="3"/>
  <c r="Z48" i="3" s="1"/>
  <c r="P48" i="3"/>
  <c r="X48" i="3" s="1"/>
  <c r="H48" i="3"/>
  <c r="N48" i="3" s="1"/>
  <c r="D48" i="3"/>
  <c r="L48" i="3" s="1"/>
  <c r="B48" i="3"/>
  <c r="T47" i="3"/>
  <c r="P47" i="3"/>
  <c r="X47" i="3" s="1"/>
  <c r="L47" i="3"/>
  <c r="H47" i="3"/>
  <c r="N47" i="3" s="1"/>
  <c r="D47" i="3"/>
  <c r="B47" i="3"/>
  <c r="X46" i="3"/>
  <c r="Z46" i="3" s="1"/>
  <c r="T46" i="3"/>
  <c r="P46" i="3"/>
  <c r="L46" i="3"/>
  <c r="H46" i="3"/>
  <c r="N46" i="3" s="1"/>
  <c r="D46" i="3"/>
  <c r="B46" i="3"/>
  <c r="T45" i="3"/>
  <c r="P45" i="3"/>
  <c r="X45" i="3" s="1"/>
  <c r="Z45" i="3" s="1"/>
  <c r="N45" i="3"/>
  <c r="L45" i="3"/>
  <c r="H45" i="3"/>
  <c r="D45" i="3"/>
  <c r="B45" i="3"/>
  <c r="T44" i="3"/>
  <c r="P44" i="3"/>
  <c r="X44" i="3" s="1"/>
  <c r="H44" i="3"/>
  <c r="N44" i="3" s="1"/>
  <c r="D44" i="3"/>
  <c r="L44" i="3" s="1"/>
  <c r="B44" i="3"/>
  <c r="T43" i="3"/>
  <c r="Z43" i="3" s="1"/>
  <c r="P43" i="3"/>
  <c r="X43" i="3" s="1"/>
  <c r="L43" i="3"/>
  <c r="H43" i="3"/>
  <c r="N43" i="3" s="1"/>
  <c r="D43" i="3"/>
  <c r="B43" i="3"/>
  <c r="X42" i="3"/>
  <c r="Z42" i="3" s="1"/>
  <c r="T42" i="3"/>
  <c r="P42" i="3"/>
  <c r="L42" i="3"/>
  <c r="H42" i="3"/>
  <c r="N42" i="3" s="1"/>
  <c r="D42" i="3"/>
  <c r="B42" i="3"/>
  <c r="T41" i="3"/>
  <c r="P41" i="3"/>
  <c r="X41" i="3" s="1"/>
  <c r="Z41" i="3" s="1"/>
  <c r="N41" i="3"/>
  <c r="L41" i="3"/>
  <c r="H41" i="3"/>
  <c r="D41" i="3"/>
  <c r="B41" i="3"/>
  <c r="T40" i="3"/>
  <c r="Z40" i="3" s="1"/>
  <c r="P40" i="3"/>
  <c r="X40" i="3" s="1"/>
  <c r="H40" i="3"/>
  <c r="D40" i="3"/>
  <c r="L40" i="3" s="1"/>
  <c r="B40" i="3"/>
  <c r="T39" i="3"/>
  <c r="Z39" i="3" s="1"/>
  <c r="P39" i="3"/>
  <c r="X39" i="3" s="1"/>
  <c r="L39" i="3"/>
  <c r="H39" i="3"/>
  <c r="N39" i="3" s="1"/>
  <c r="D39" i="3"/>
  <c r="B39" i="3"/>
  <c r="X38" i="3"/>
  <c r="Z38" i="3" s="1"/>
  <c r="T38" i="3"/>
  <c r="P38" i="3"/>
  <c r="L38" i="3"/>
  <c r="H38" i="3"/>
  <c r="N38" i="3" s="1"/>
  <c r="D38" i="3"/>
  <c r="B38" i="3"/>
  <c r="T37" i="3"/>
  <c r="P37" i="3"/>
  <c r="X37" i="3" s="1"/>
  <c r="Z37" i="3" s="1"/>
  <c r="N37" i="3"/>
  <c r="L37" i="3"/>
  <c r="H37" i="3"/>
  <c r="D37" i="3"/>
  <c r="B37" i="3"/>
  <c r="T36" i="3"/>
  <c r="P36" i="3"/>
  <c r="X36" i="3" s="1"/>
  <c r="H36" i="3"/>
  <c r="D36" i="3"/>
  <c r="L36" i="3" s="1"/>
  <c r="B36" i="3"/>
  <c r="T35" i="3"/>
  <c r="Z35" i="3" s="1"/>
  <c r="P35" i="3"/>
  <c r="X35" i="3" s="1"/>
  <c r="L35" i="3"/>
  <c r="H35" i="3"/>
  <c r="N35" i="3" s="1"/>
  <c r="D35" i="3"/>
  <c r="B35" i="3"/>
  <c r="X34" i="3"/>
  <c r="Z34" i="3" s="1"/>
  <c r="T34" i="3"/>
  <c r="P34" i="3"/>
  <c r="L34" i="3"/>
  <c r="H34" i="3"/>
  <c r="N34" i="3" s="1"/>
  <c r="D34" i="3"/>
  <c r="B34" i="3"/>
  <c r="T33" i="3"/>
  <c r="P33" i="3"/>
  <c r="X33" i="3" s="1"/>
  <c r="Z33" i="3" s="1"/>
  <c r="N33" i="3"/>
  <c r="L33" i="3"/>
  <c r="H33" i="3"/>
  <c r="D33" i="3"/>
  <c r="B33" i="3"/>
  <c r="T32" i="3"/>
  <c r="P32" i="3"/>
  <c r="X32" i="3" s="1"/>
  <c r="H32" i="3"/>
  <c r="N32" i="3" s="1"/>
  <c r="D32" i="3"/>
  <c r="L32" i="3" s="1"/>
  <c r="B32" i="3"/>
  <c r="T31" i="3"/>
  <c r="P31" i="3"/>
  <c r="X31" i="3" s="1"/>
  <c r="L31" i="3"/>
  <c r="H31" i="3"/>
  <c r="N31" i="3" s="1"/>
  <c r="D31" i="3"/>
  <c r="B31" i="3"/>
  <c r="X30" i="3"/>
  <c r="Z30" i="3" s="1"/>
  <c r="T30" i="3"/>
  <c r="P30" i="3"/>
  <c r="L30" i="3"/>
  <c r="H30" i="3"/>
  <c r="N30" i="3" s="1"/>
  <c r="D30" i="3"/>
  <c r="B30" i="3"/>
  <c r="T29" i="3"/>
  <c r="P29" i="3"/>
  <c r="X29" i="3" s="1"/>
  <c r="Z29" i="3" s="1"/>
  <c r="N29" i="3"/>
  <c r="L29" i="3"/>
  <c r="H29" i="3"/>
  <c r="D29" i="3"/>
  <c r="B29" i="3"/>
  <c r="T28" i="3"/>
  <c r="P28" i="3"/>
  <c r="X28" i="3" s="1"/>
  <c r="H28" i="3"/>
  <c r="N28" i="3" s="1"/>
  <c r="D28" i="3"/>
  <c r="L28" i="3" s="1"/>
  <c r="B28" i="3"/>
  <c r="T27" i="3"/>
  <c r="Z27" i="3" s="1"/>
  <c r="P27" i="3"/>
  <c r="X27" i="3" s="1"/>
  <c r="L27" i="3"/>
  <c r="H27" i="3"/>
  <c r="N27" i="3" s="1"/>
  <c r="D27" i="3"/>
  <c r="B27" i="3"/>
  <c r="X26" i="3"/>
  <c r="Z26" i="3" s="1"/>
  <c r="T26" i="3"/>
  <c r="P26" i="3"/>
  <c r="L26" i="3"/>
  <c r="H26" i="3"/>
  <c r="N26" i="3" s="1"/>
  <c r="D26" i="3"/>
  <c r="B26" i="3"/>
  <c r="T25" i="3"/>
  <c r="P25" i="3"/>
  <c r="X25" i="3" s="1"/>
  <c r="Z25" i="3" s="1"/>
  <c r="N25" i="3"/>
  <c r="L25" i="3"/>
  <c r="H25" i="3"/>
  <c r="D25" i="3"/>
  <c r="B25" i="3"/>
  <c r="T24" i="3"/>
  <c r="Z24" i="3" s="1"/>
  <c r="P24" i="3"/>
  <c r="X24" i="3" s="1"/>
  <c r="H24" i="3"/>
  <c r="N24" i="3" s="1"/>
  <c r="D24" i="3"/>
  <c r="L24" i="3" s="1"/>
  <c r="B24" i="3"/>
  <c r="T23" i="3"/>
  <c r="P23" i="3"/>
  <c r="X23" i="3" s="1"/>
  <c r="L23" i="3"/>
  <c r="H23" i="3"/>
  <c r="N23" i="3" s="1"/>
  <c r="D23" i="3"/>
  <c r="B23" i="3"/>
  <c r="X22" i="3"/>
  <c r="Z22" i="3" s="1"/>
  <c r="T22" i="3"/>
  <c r="P22" i="3"/>
  <c r="L22" i="3"/>
  <c r="H22" i="3"/>
  <c r="N22" i="3" s="1"/>
  <c r="D22" i="3"/>
  <c r="B22" i="3"/>
  <c r="T21" i="3"/>
  <c r="P21" i="3"/>
  <c r="X21" i="3" s="1"/>
  <c r="Z21" i="3" s="1"/>
  <c r="N21" i="3"/>
  <c r="L21" i="3"/>
  <c r="H21" i="3"/>
  <c r="D21" i="3"/>
  <c r="B21" i="3"/>
  <c r="T20" i="3"/>
  <c r="Z20" i="3" s="1"/>
  <c r="P20" i="3"/>
  <c r="X20" i="3" s="1"/>
  <c r="H20" i="3"/>
  <c r="D20" i="3"/>
  <c r="L20" i="3" s="1"/>
  <c r="B20" i="3"/>
  <c r="T19" i="3"/>
  <c r="Z19" i="3" s="1"/>
  <c r="P19" i="3"/>
  <c r="X19" i="3" s="1"/>
  <c r="L19" i="3"/>
  <c r="H19" i="3"/>
  <c r="N19" i="3" s="1"/>
  <c r="D19" i="3"/>
  <c r="B19" i="3"/>
  <c r="X18" i="3"/>
  <c r="Z18" i="3" s="1"/>
  <c r="T18" i="3"/>
  <c r="P18" i="3"/>
  <c r="L18" i="3"/>
  <c r="H18" i="3"/>
  <c r="N18" i="3" s="1"/>
  <c r="D18" i="3"/>
  <c r="B18" i="3"/>
  <c r="Z17" i="3"/>
  <c r="T17" i="3"/>
  <c r="P17" i="3"/>
  <c r="X17" i="3" s="1"/>
  <c r="N17" i="3"/>
  <c r="L17" i="3"/>
  <c r="H17" i="3"/>
  <c r="D17" i="3"/>
  <c r="B17" i="3"/>
  <c r="T16" i="3"/>
  <c r="P16" i="3"/>
  <c r="X16" i="3" s="1"/>
  <c r="H16" i="3"/>
  <c r="D16" i="3"/>
  <c r="L16" i="3" s="1"/>
  <c r="B16" i="3"/>
  <c r="T15" i="3"/>
  <c r="Z15" i="3" s="1"/>
  <c r="P15" i="3"/>
  <c r="X15" i="3" s="1"/>
  <c r="L15" i="3"/>
  <c r="H15" i="3"/>
  <c r="N15" i="3" s="1"/>
  <c r="D15" i="3"/>
  <c r="B15" i="3"/>
  <c r="X14" i="3"/>
  <c r="Z14" i="3" s="1"/>
  <c r="T14" i="3"/>
  <c r="T12" i="3" s="1"/>
  <c r="P14" i="3"/>
  <c r="L14" i="3"/>
  <c r="H14" i="3"/>
  <c r="N14" i="3" s="1"/>
  <c r="D14" i="3"/>
  <c r="B14" i="3"/>
  <c r="T13" i="3"/>
  <c r="P13" i="3"/>
  <c r="P12" i="3" s="1"/>
  <c r="N13" i="3"/>
  <c r="L13" i="3"/>
  <c r="H13" i="3"/>
  <c r="D13" i="3"/>
  <c r="B13" i="3"/>
  <c r="H12" i="3"/>
  <c r="J291" i="3" s="1"/>
  <c r="D12" i="3"/>
  <c r="F293" i="3" s="1"/>
  <c r="D4" i="3"/>
  <c r="B39" i="113"/>
  <c r="H24" i="113"/>
  <c r="H22" i="113"/>
  <c r="H13" i="113"/>
  <c r="D5" i="113"/>
  <c r="P20" i="112"/>
  <c r="P16" i="112"/>
  <c r="D12" i="112"/>
  <c r="P24" i="111"/>
  <c r="P22" i="111"/>
  <c r="T20" i="111"/>
  <c r="T16" i="111"/>
  <c r="T13" i="111"/>
  <c r="B38" i="113"/>
  <c r="D34" i="113"/>
  <c r="D33" i="113"/>
  <c r="D29" i="113"/>
  <c r="D25" i="113"/>
  <c r="H21" i="113"/>
  <c r="D13" i="113"/>
  <c r="D4" i="113"/>
  <c r="H34" i="112"/>
  <c r="H33" i="112"/>
  <c r="H29" i="112"/>
  <c r="H25" i="112"/>
  <c r="P15" i="112"/>
  <c r="D6" i="112"/>
  <c r="P21" i="111"/>
  <c r="T15" i="111"/>
  <c r="P13" i="111"/>
  <c r="H12" i="111"/>
  <c r="B25" i="113"/>
  <c r="D24" i="113"/>
  <c r="D22" i="113"/>
  <c r="H20" i="113"/>
  <c r="H16" i="113"/>
  <c r="B13" i="113"/>
  <c r="B39" i="112"/>
  <c r="H24" i="112"/>
  <c r="H22" i="112"/>
  <c r="H13" i="112"/>
  <c r="D5" i="112"/>
  <c r="P20" i="111"/>
  <c r="P16" i="111"/>
  <c r="D12" i="111"/>
  <c r="B22" i="113"/>
  <c r="D21" i="113"/>
  <c r="H15" i="113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B21" i="113"/>
  <c r="D20" i="113"/>
  <c r="D16" i="113"/>
  <c r="B25" i="112"/>
  <c r="D24" i="112"/>
  <c r="D22" i="112"/>
  <c r="H20" i="112"/>
  <c r="H16" i="112"/>
  <c r="B13" i="112"/>
  <c r="B39" i="111"/>
  <c r="H24" i="111"/>
  <c r="H22" i="111"/>
  <c r="H13" i="111"/>
  <c r="D5" i="111"/>
  <c r="T34" i="113"/>
  <c r="T33" i="113"/>
  <c r="T29" i="113"/>
  <c r="T25" i="113"/>
  <c r="B16" i="113"/>
  <c r="D15" i="113"/>
  <c r="T12" i="113"/>
  <c r="B22" i="112"/>
  <c r="D21" i="112"/>
  <c r="H15" i="112"/>
  <c r="B38" i="111"/>
  <c r="D34" i="111"/>
  <c r="D33" i="111"/>
  <c r="D29" i="111"/>
  <c r="D25" i="111"/>
  <c r="H21" i="111"/>
  <c r="D13" i="111"/>
  <c r="D4" i="111"/>
  <c r="T24" i="113"/>
  <c r="T22" i="113"/>
  <c r="P12" i="113"/>
  <c r="B21" i="112"/>
  <c r="D20" i="112"/>
  <c r="D16" i="112"/>
  <c r="B25" i="111"/>
  <c r="D24" i="111"/>
  <c r="D22" i="111"/>
  <c r="H20" i="111"/>
  <c r="H16" i="111"/>
  <c r="B13" i="111"/>
  <c r="P34" i="113"/>
  <c r="P33" i="113"/>
  <c r="P29" i="113"/>
  <c r="P25" i="113"/>
  <c r="T21" i="113"/>
  <c r="T34" i="112"/>
  <c r="T33" i="112"/>
  <c r="T29" i="112"/>
  <c r="T25" i="112"/>
  <c r="B16" i="112"/>
  <c r="D15" i="112"/>
  <c r="T12" i="112"/>
  <c r="B22" i="111"/>
  <c r="D21" i="111"/>
  <c r="H15" i="111"/>
  <c r="P24" i="113"/>
  <c r="P22" i="113"/>
  <c r="T20" i="113"/>
  <c r="T16" i="113"/>
  <c r="T13" i="113"/>
  <c r="T24" i="112"/>
  <c r="T22" i="112"/>
  <c r="P12" i="112"/>
  <c r="B21" i="111"/>
  <c r="D20" i="111"/>
  <c r="D16" i="111"/>
  <c r="P21" i="113"/>
  <c r="T15" i="113"/>
  <c r="P13" i="113"/>
  <c r="H12" i="113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P16" i="113"/>
  <c r="P22" i="112"/>
  <c r="T13" i="112"/>
  <c r="H25" i="113"/>
  <c r="P13" i="112"/>
  <c r="P29" i="111"/>
  <c r="H34" i="113"/>
  <c r="P15" i="113"/>
  <c r="P21" i="112"/>
  <c r="H12" i="112"/>
  <c r="T20" i="112"/>
  <c r="H33" i="113"/>
  <c r="P25" i="111"/>
  <c r="D12" i="113"/>
  <c r="T24" i="111"/>
  <c r="D6" i="113"/>
  <c r="P34" i="111"/>
  <c r="T15" i="112"/>
  <c r="T21" i="111"/>
  <c r="T16" i="112"/>
  <c r="H29" i="113"/>
  <c r="P20" i="113"/>
  <c r="P33" i="111"/>
  <c r="T22" i="111"/>
  <c r="P24" i="112"/>
  <c r="P12" i="111"/>
  <c r="P34" i="53"/>
  <c r="P33" i="53"/>
  <c r="P29" i="53"/>
  <c r="P25" i="53"/>
  <c r="T21" i="53"/>
  <c r="T24" i="52"/>
  <c r="T22" i="52"/>
  <c r="P12" i="52"/>
  <c r="P21" i="53"/>
  <c r="T15" i="53"/>
  <c r="P13" i="53"/>
  <c r="H12" i="53"/>
  <c r="P24" i="52"/>
  <c r="P22" i="52"/>
  <c r="T20" i="52"/>
  <c r="T16" i="52"/>
  <c r="T13" i="52"/>
  <c r="H34" i="53"/>
  <c r="H33" i="53"/>
  <c r="H29" i="53"/>
  <c r="H25" i="53"/>
  <c r="P15" i="53"/>
  <c r="D5" i="53"/>
  <c r="P20" i="52"/>
  <c r="P16" i="52"/>
  <c r="B39" i="53"/>
  <c r="H24" i="53"/>
  <c r="H22" i="53"/>
  <c r="H13" i="53"/>
  <c r="D4" i="53"/>
  <c r="H34" i="52"/>
  <c r="H33" i="52"/>
  <c r="H29" i="52"/>
  <c r="H25" i="52"/>
  <c r="P15" i="52"/>
  <c r="B38" i="53"/>
  <c r="B25" i="53"/>
  <c r="D24" i="53"/>
  <c r="D22" i="53"/>
  <c r="H20" i="53"/>
  <c r="H16" i="53"/>
  <c r="B13" i="53"/>
  <c r="B38" i="52"/>
  <c r="D34" i="52"/>
  <c r="D33" i="52"/>
  <c r="D29" i="52"/>
  <c r="D25" i="52"/>
  <c r="H21" i="52"/>
  <c r="B21" i="53"/>
  <c r="D20" i="53"/>
  <c r="D16" i="53"/>
  <c r="B22" i="52"/>
  <c r="D21" i="52"/>
  <c r="T24" i="53"/>
  <c r="T22" i="53"/>
  <c r="P12" i="53"/>
  <c r="T34" i="52"/>
  <c r="T33" i="52"/>
  <c r="T29" i="52"/>
  <c r="T25" i="52"/>
  <c r="B16" i="52"/>
  <c r="D15" i="52"/>
  <c r="T34" i="53"/>
  <c r="P22" i="53"/>
  <c r="B16" i="53"/>
  <c r="D12" i="53"/>
  <c r="P29" i="52"/>
  <c r="T12" i="52"/>
  <c r="P20" i="50"/>
  <c r="P16" i="50"/>
  <c r="D12" i="50"/>
  <c r="P21" i="49"/>
  <c r="T25" i="53"/>
  <c r="B39" i="52"/>
  <c r="B25" i="52"/>
  <c r="T21" i="52"/>
  <c r="H34" i="50"/>
  <c r="H33" i="50"/>
  <c r="H29" i="50"/>
  <c r="H25" i="50"/>
  <c r="P15" i="50"/>
  <c r="D5" i="50"/>
  <c r="P20" i="49"/>
  <c r="P16" i="49"/>
  <c r="D12" i="49"/>
  <c r="P33" i="52"/>
  <c r="P21" i="52"/>
  <c r="H15" i="52"/>
  <c r="H12" i="52"/>
  <c r="B39" i="50"/>
  <c r="H24" i="50"/>
  <c r="H22" i="50"/>
  <c r="H13" i="50"/>
  <c r="D4" i="50"/>
  <c r="H34" i="49"/>
  <c r="H33" i="49"/>
  <c r="H29" i="49"/>
  <c r="H25" i="49"/>
  <c r="P15" i="49"/>
  <c r="D5" i="49"/>
  <c r="D34" i="53"/>
  <c r="T29" i="53"/>
  <c r="B22" i="53"/>
  <c r="D12" i="52"/>
  <c r="B38" i="50"/>
  <c r="D34" i="50"/>
  <c r="D33" i="50"/>
  <c r="D29" i="50"/>
  <c r="D25" i="50"/>
  <c r="H21" i="50"/>
  <c r="D13" i="50"/>
  <c r="B39" i="49"/>
  <c r="H24" i="49"/>
  <c r="H22" i="49"/>
  <c r="H13" i="49"/>
  <c r="D4" i="49"/>
  <c r="P20" i="47"/>
  <c r="P16" i="47"/>
  <c r="D12" i="47"/>
  <c r="P21" i="46"/>
  <c r="T15" i="46"/>
  <c r="P13" i="46"/>
  <c r="H12" i="46"/>
  <c r="D25" i="53"/>
  <c r="H15" i="53"/>
  <c r="D5" i="52"/>
  <c r="B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H34" i="47"/>
  <c r="H33" i="47"/>
  <c r="H29" i="47"/>
  <c r="H25" i="47"/>
  <c r="P15" i="47"/>
  <c r="D5" i="47"/>
  <c r="P20" i="46"/>
  <c r="P16" i="46"/>
  <c r="D12" i="46"/>
  <c r="T33" i="53"/>
  <c r="D15" i="53"/>
  <c r="H24" i="52"/>
  <c r="B21" i="52"/>
  <c r="P13" i="52"/>
  <c r="D4" i="52"/>
  <c r="B22" i="50"/>
  <c r="D21" i="50"/>
  <c r="H15" i="50"/>
  <c r="B25" i="49"/>
  <c r="D24" i="49"/>
  <c r="D22" i="49"/>
  <c r="H20" i="49"/>
  <c r="H16" i="49"/>
  <c r="B13" i="49"/>
  <c r="D29" i="53"/>
  <c r="T13" i="53"/>
  <c r="D24" i="52"/>
  <c r="B21" i="50"/>
  <c r="D20" i="50"/>
  <c r="D16" i="50"/>
  <c r="B22" i="49"/>
  <c r="D21" i="49"/>
  <c r="H15" i="49"/>
  <c r="B38" i="47"/>
  <c r="D34" i="47"/>
  <c r="D33" i="47"/>
  <c r="D29" i="47"/>
  <c r="D25" i="47"/>
  <c r="H21" i="47"/>
  <c r="D13" i="47"/>
  <c r="B39" i="46"/>
  <c r="H24" i="46"/>
  <c r="H22" i="46"/>
  <c r="H13" i="46"/>
  <c r="D4" i="46"/>
  <c r="P24" i="53"/>
  <c r="H21" i="53"/>
  <c r="H16" i="52"/>
  <c r="H13" i="52"/>
  <c r="T34" i="50"/>
  <c r="T33" i="50"/>
  <c r="T29" i="50"/>
  <c r="T25" i="50"/>
  <c r="B16" i="50"/>
  <c r="D15" i="50"/>
  <c r="T12" i="50"/>
  <c r="B21" i="49"/>
  <c r="D20" i="49"/>
  <c r="D16" i="49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P16" i="53"/>
  <c r="P34" i="52"/>
  <c r="H20" i="52"/>
  <c r="B13" i="52"/>
  <c r="P34" i="50"/>
  <c r="P33" i="50"/>
  <c r="P29" i="50"/>
  <c r="P25" i="50"/>
  <c r="T21" i="50"/>
  <c r="T24" i="49"/>
  <c r="T22" i="49"/>
  <c r="P12" i="49"/>
  <c r="B21" i="47"/>
  <c r="D20" i="47"/>
  <c r="D16" i="47"/>
  <c r="B22" i="46"/>
  <c r="D21" i="46"/>
  <c r="H15" i="46"/>
  <c r="T20" i="53"/>
  <c r="T12" i="53"/>
  <c r="P25" i="52"/>
  <c r="H22" i="52"/>
  <c r="D20" i="52"/>
  <c r="T15" i="52"/>
  <c r="P24" i="50"/>
  <c r="P22" i="50"/>
  <c r="T20" i="50"/>
  <c r="T16" i="50"/>
  <c r="T13" i="50"/>
  <c r="P34" i="49"/>
  <c r="P33" i="49"/>
  <c r="P29" i="49"/>
  <c r="P25" i="49"/>
  <c r="T21" i="49"/>
  <c r="T34" i="47"/>
  <c r="T33" i="47"/>
  <c r="T29" i="47"/>
  <c r="T25" i="47"/>
  <c r="B16" i="47"/>
  <c r="D15" i="47"/>
  <c r="T12" i="47"/>
  <c r="B21" i="46"/>
  <c r="D20" i="46"/>
  <c r="D16" i="46"/>
  <c r="T22" i="47"/>
  <c r="T33" i="46"/>
  <c r="T29" i="46"/>
  <c r="T25" i="46"/>
  <c r="D15" i="46"/>
  <c r="P21" i="44"/>
  <c r="T15" i="44"/>
  <c r="P13" i="44"/>
  <c r="H12" i="44"/>
  <c r="P24" i="43"/>
  <c r="P22" i="43"/>
  <c r="T20" i="43"/>
  <c r="T16" i="43"/>
  <c r="T13" i="43"/>
  <c r="D21" i="53"/>
  <c r="T34" i="49"/>
  <c r="T16" i="49"/>
  <c r="P29" i="47"/>
  <c r="P25" i="47"/>
  <c r="T22" i="46"/>
  <c r="P20" i="44"/>
  <c r="P16" i="44"/>
  <c r="D12" i="44"/>
  <c r="P21" i="43"/>
  <c r="T15" i="43"/>
  <c r="P13" i="43"/>
  <c r="H12" i="43"/>
  <c r="P20" i="53"/>
  <c r="D22" i="52"/>
  <c r="P24" i="49"/>
  <c r="B39" i="47"/>
  <c r="P33" i="47"/>
  <c r="P22" i="47"/>
  <c r="T20" i="47"/>
  <c r="T16" i="47"/>
  <c r="T13" i="47"/>
  <c r="P33" i="46"/>
  <c r="P29" i="46"/>
  <c r="P25" i="46"/>
  <c r="H34" i="44"/>
  <c r="H33" i="44"/>
  <c r="H29" i="44"/>
  <c r="H25" i="44"/>
  <c r="P15" i="44"/>
  <c r="D5" i="44"/>
  <c r="P20" i="43"/>
  <c r="P16" i="43"/>
  <c r="D12" i="43"/>
  <c r="T16" i="53"/>
  <c r="T33" i="49"/>
  <c r="B16" i="49"/>
  <c r="P13" i="47"/>
  <c r="P22" i="46"/>
  <c r="T20" i="46"/>
  <c r="T16" i="46"/>
  <c r="T13" i="46"/>
  <c r="B39" i="44"/>
  <c r="H24" i="44"/>
  <c r="H22" i="44"/>
  <c r="H13" i="44"/>
  <c r="D4" i="44"/>
  <c r="H34" i="43"/>
  <c r="H33" i="43"/>
  <c r="H29" i="43"/>
  <c r="H25" i="43"/>
  <c r="P15" i="43"/>
  <c r="D5" i="43"/>
  <c r="B22" i="41"/>
  <c r="D21" i="41"/>
  <c r="H15" i="41"/>
  <c r="P22" i="49"/>
  <c r="H22" i="47"/>
  <c r="H13" i="47"/>
  <c r="H33" i="46"/>
  <c r="H29" i="46"/>
  <c r="H25" i="46"/>
  <c r="B38" i="44"/>
  <c r="D34" i="44"/>
  <c r="D33" i="44"/>
  <c r="D29" i="44"/>
  <c r="D25" i="44"/>
  <c r="H21" i="44"/>
  <c r="D13" i="44"/>
  <c r="B39" i="43"/>
  <c r="H24" i="43"/>
  <c r="H22" i="43"/>
  <c r="H13" i="43"/>
  <c r="D4" i="43"/>
  <c r="D13" i="53"/>
  <c r="D16" i="52"/>
  <c r="T24" i="50"/>
  <c r="T15" i="49"/>
  <c r="B22" i="47"/>
  <c r="B25" i="46"/>
  <c r="D22" i="46"/>
  <c r="H20" i="46"/>
  <c r="H16" i="46"/>
  <c r="B13" i="46"/>
  <c r="B25" i="44"/>
  <c r="D24" i="44"/>
  <c r="D22" i="44"/>
  <c r="H20" i="44"/>
  <c r="H16" i="44"/>
  <c r="B13" i="44"/>
  <c r="B38" i="43"/>
  <c r="D34" i="43"/>
  <c r="D33" i="43"/>
  <c r="D29" i="43"/>
  <c r="D25" i="43"/>
  <c r="H21" i="43"/>
  <c r="D13" i="43"/>
  <c r="T34" i="41"/>
  <c r="T33" i="41"/>
  <c r="T29" i="41"/>
  <c r="T25" i="41"/>
  <c r="B16" i="41"/>
  <c r="D15" i="41"/>
  <c r="T12" i="41"/>
  <c r="T15" i="50"/>
  <c r="D15" i="49"/>
  <c r="T24" i="47"/>
  <c r="P12" i="47"/>
  <c r="T34" i="46"/>
  <c r="B16" i="46"/>
  <c r="T12" i="46"/>
  <c r="B22" i="44"/>
  <c r="D21" i="44"/>
  <c r="H15" i="44"/>
  <c r="B25" i="43"/>
  <c r="D24" i="43"/>
  <c r="D22" i="43"/>
  <c r="H20" i="43"/>
  <c r="H16" i="43"/>
  <c r="B13" i="43"/>
  <c r="D33" i="53"/>
  <c r="D13" i="52"/>
  <c r="T22" i="50"/>
  <c r="T29" i="49"/>
  <c r="T13" i="49"/>
  <c r="T21" i="47"/>
  <c r="T24" i="46"/>
  <c r="P12" i="46"/>
  <c r="B21" i="44"/>
  <c r="D20" i="44"/>
  <c r="D16" i="44"/>
  <c r="B22" i="43"/>
  <c r="D21" i="43"/>
  <c r="H15" i="43"/>
  <c r="P34" i="41"/>
  <c r="P33" i="41"/>
  <c r="P29" i="41"/>
  <c r="P25" i="41"/>
  <c r="T21" i="41"/>
  <c r="T24" i="40"/>
  <c r="T22" i="40"/>
  <c r="P12" i="40"/>
  <c r="P12" i="50"/>
  <c r="T12" i="49"/>
  <c r="P34" i="47"/>
  <c r="P21" i="47"/>
  <c r="T15" i="47"/>
  <c r="H12" i="47"/>
  <c r="P24" i="46"/>
  <c r="T24" i="44"/>
  <c r="T22" i="44"/>
  <c r="P12" i="44"/>
  <c r="T34" i="43"/>
  <c r="T33" i="43"/>
  <c r="T29" i="43"/>
  <c r="T25" i="43"/>
  <c r="B16" i="43"/>
  <c r="D15" i="43"/>
  <c r="T12" i="43"/>
  <c r="P21" i="41"/>
  <c r="T15" i="41"/>
  <c r="P13" i="41"/>
  <c r="H12" i="41"/>
  <c r="P21" i="50"/>
  <c r="H12" i="50"/>
  <c r="H24" i="47"/>
  <c r="D4" i="47"/>
  <c r="H34" i="46"/>
  <c r="P15" i="46"/>
  <c r="D5" i="46"/>
  <c r="T25" i="49"/>
  <c r="H12" i="49"/>
  <c r="D21" i="47"/>
  <c r="H15" i="47"/>
  <c r="D24" i="46"/>
  <c r="P24" i="44"/>
  <c r="P22" i="44"/>
  <c r="T20" i="44"/>
  <c r="T16" i="44"/>
  <c r="T13" i="44"/>
  <c r="P34" i="43"/>
  <c r="P33" i="43"/>
  <c r="P29" i="43"/>
  <c r="P25" i="43"/>
  <c r="T21" i="43"/>
  <c r="H34" i="41"/>
  <c r="H33" i="41"/>
  <c r="H29" i="41"/>
  <c r="H25" i="41"/>
  <c r="D16" i="43"/>
  <c r="D33" i="41"/>
  <c r="D24" i="41"/>
  <c r="H20" i="41"/>
  <c r="P16" i="41"/>
  <c r="D12" i="41"/>
  <c r="P25" i="40"/>
  <c r="P24" i="40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T24" i="43"/>
  <c r="D20" i="41"/>
  <c r="D5" i="41"/>
  <c r="H16" i="40"/>
  <c r="H15" i="40"/>
  <c r="B22" i="38"/>
  <c r="D21" i="38"/>
  <c r="H15" i="38"/>
  <c r="B25" i="37"/>
  <c r="D24" i="37"/>
  <c r="D22" i="37"/>
  <c r="H20" i="37"/>
  <c r="H16" i="37"/>
  <c r="T25" i="44"/>
  <c r="B39" i="41"/>
  <c r="D29" i="41"/>
  <c r="T22" i="41"/>
  <c r="D4" i="41"/>
  <c r="T34" i="40"/>
  <c r="H33" i="40"/>
  <c r="T12" i="40"/>
  <c r="B21" i="38"/>
  <c r="D20" i="38"/>
  <c r="D16" i="38"/>
  <c r="B22" i="37"/>
  <c r="D21" i="37"/>
  <c r="H15" i="37"/>
  <c r="T21" i="46"/>
  <c r="P25" i="44"/>
  <c r="T22" i="43"/>
  <c r="B38" i="41"/>
  <c r="P22" i="41"/>
  <c r="H21" i="41"/>
  <c r="T13" i="41"/>
  <c r="B39" i="40"/>
  <c r="P34" i="40"/>
  <c r="T29" i="40"/>
  <c r="H22" i="40"/>
  <c r="H21" i="40"/>
  <c r="H20" i="40"/>
  <c r="D16" i="40"/>
  <c r="D15" i="40"/>
  <c r="T34" i="38"/>
  <c r="T33" i="38"/>
  <c r="T29" i="38"/>
  <c r="T25" i="38"/>
  <c r="B16" i="38"/>
  <c r="D15" i="38"/>
  <c r="T12" i="38"/>
  <c r="B21" i="37"/>
  <c r="T34" i="44"/>
  <c r="B16" i="44"/>
  <c r="D25" i="41"/>
  <c r="H16" i="41"/>
  <c r="B38" i="40"/>
  <c r="D33" i="40"/>
  <c r="P29" i="40"/>
  <c r="H25" i="40"/>
  <c r="H24" i="40"/>
  <c r="B16" i="40"/>
  <c r="T24" i="38"/>
  <c r="T22" i="38"/>
  <c r="P12" i="38"/>
  <c r="T34" i="37"/>
  <c r="T33" i="37"/>
  <c r="P34" i="44"/>
  <c r="P12" i="43"/>
  <c r="P13" i="50"/>
  <c r="P24" i="47"/>
  <c r="T33" i="44"/>
  <c r="D15" i="44"/>
  <c r="B21" i="43"/>
  <c r="H22" i="41"/>
  <c r="H13" i="41"/>
  <c r="H34" i="40"/>
  <c r="D25" i="40"/>
  <c r="D24" i="40"/>
  <c r="B22" i="40"/>
  <c r="B21" i="40"/>
  <c r="P13" i="40"/>
  <c r="D12" i="40"/>
  <c r="P24" i="38"/>
  <c r="P22" i="38"/>
  <c r="T20" i="38"/>
  <c r="T16" i="38"/>
  <c r="T13" i="38"/>
  <c r="P34" i="37"/>
  <c r="P33" i="37"/>
  <c r="P29" i="37"/>
  <c r="P25" i="37"/>
  <c r="T21" i="37"/>
  <c r="P33" i="44"/>
  <c r="T24" i="41"/>
  <c r="T20" i="41"/>
  <c r="D13" i="41"/>
  <c r="H29" i="40"/>
  <c r="B25" i="40"/>
  <c r="T16" i="40"/>
  <c r="T15" i="40"/>
  <c r="D5" i="40"/>
  <c r="P21" i="38"/>
  <c r="T15" i="38"/>
  <c r="P13" i="38"/>
  <c r="H12" i="38"/>
  <c r="P24" i="37"/>
  <c r="P22" i="37"/>
  <c r="T20" i="37"/>
  <c r="T16" i="37"/>
  <c r="T13" i="37"/>
  <c r="T20" i="49"/>
  <c r="T12" i="44"/>
  <c r="D20" i="43"/>
  <c r="P24" i="41"/>
  <c r="D22" i="41"/>
  <c r="P20" i="41"/>
  <c r="B13" i="41"/>
  <c r="D34" i="40"/>
  <c r="D4" i="40"/>
  <c r="P20" i="38"/>
  <c r="P16" i="38"/>
  <c r="D12" i="38"/>
  <c r="P34" i="46"/>
  <c r="P29" i="44"/>
  <c r="T16" i="41"/>
  <c r="P33" i="40"/>
  <c r="T25" i="40"/>
  <c r="P22" i="40"/>
  <c r="P21" i="40"/>
  <c r="P20" i="40"/>
  <c r="B13" i="40"/>
  <c r="B38" i="38"/>
  <c r="D34" i="38"/>
  <c r="D33" i="38"/>
  <c r="D29" i="38"/>
  <c r="D25" i="38"/>
  <c r="H21" i="38"/>
  <c r="D13" i="38"/>
  <c r="B39" i="37"/>
  <c r="H24" i="37"/>
  <c r="H22" i="37"/>
  <c r="H13" i="37"/>
  <c r="D4" i="37"/>
  <c r="P13" i="49"/>
  <c r="B25" i="41"/>
  <c r="D16" i="41"/>
  <c r="H29" i="38"/>
  <c r="T29" i="37"/>
  <c r="P21" i="37"/>
  <c r="P12" i="37"/>
  <c r="P21" i="35"/>
  <c r="T15" i="35"/>
  <c r="P13" i="35"/>
  <c r="H12" i="35"/>
  <c r="P24" i="34"/>
  <c r="P22" i="34"/>
  <c r="T20" i="34"/>
  <c r="T16" i="34"/>
  <c r="T13" i="34"/>
  <c r="P15" i="41"/>
  <c r="P16" i="40"/>
  <c r="H22" i="38"/>
  <c r="T24" i="37"/>
  <c r="P15" i="37"/>
  <c r="H12" i="37"/>
  <c r="P20" i="35"/>
  <c r="P16" i="35"/>
  <c r="D12" i="35"/>
  <c r="P21" i="34"/>
  <c r="T15" i="34"/>
  <c r="P13" i="34"/>
  <c r="H12" i="34"/>
  <c r="B39" i="32"/>
  <c r="H24" i="32"/>
  <c r="H22" i="32"/>
  <c r="H13" i="32"/>
  <c r="D4" i="32"/>
  <c r="H24" i="41"/>
  <c r="P34" i="38"/>
  <c r="T21" i="38"/>
  <c r="D12" i="37"/>
  <c r="H34" i="35"/>
  <c r="H33" i="35"/>
  <c r="H29" i="35"/>
  <c r="H25" i="35"/>
  <c r="P15" i="35"/>
  <c r="D5" i="35"/>
  <c r="P20" i="34"/>
  <c r="P16" i="34"/>
  <c r="D12" i="34"/>
  <c r="B38" i="32"/>
  <c r="D34" i="32"/>
  <c r="D33" i="32"/>
  <c r="D29" i="32"/>
  <c r="D25" i="32"/>
  <c r="H21" i="32"/>
  <c r="D34" i="41"/>
  <c r="D22" i="40"/>
  <c r="H34" i="38"/>
  <c r="P15" i="38"/>
  <c r="H29" i="37"/>
  <c r="D5" i="37"/>
  <c r="B39" i="35"/>
  <c r="H24" i="35"/>
  <c r="H22" i="35"/>
  <c r="H13" i="35"/>
  <c r="D4" i="35"/>
  <c r="H34" i="34"/>
  <c r="H33" i="34"/>
  <c r="H29" i="34"/>
  <c r="H25" i="34"/>
  <c r="P15" i="34"/>
  <c r="D5" i="34"/>
  <c r="B25" i="32"/>
  <c r="D29" i="40"/>
  <c r="T21" i="40"/>
  <c r="P15" i="40"/>
  <c r="H34" i="37"/>
  <c r="D15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P12" i="41"/>
  <c r="P33" i="38"/>
  <c r="P25" i="38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B21" i="41"/>
  <c r="D21" i="40"/>
  <c r="T13" i="40"/>
  <c r="H33" i="38"/>
  <c r="H25" i="38"/>
  <c r="T22" i="37"/>
  <c r="P20" i="37"/>
  <c r="P16" i="37"/>
  <c r="P13" i="37"/>
  <c r="B22" i="35"/>
  <c r="D21" i="35"/>
  <c r="H15" i="35"/>
  <c r="B25" i="34"/>
  <c r="D24" i="34"/>
  <c r="D22" i="34"/>
  <c r="H20" i="34"/>
  <c r="H16" i="34"/>
  <c r="B13" i="34"/>
  <c r="T20" i="40"/>
  <c r="H13" i="40"/>
  <c r="H13" i="38"/>
  <c r="H33" i="37"/>
  <c r="B21" i="35"/>
  <c r="D20" i="35"/>
  <c r="D16" i="35"/>
  <c r="B22" i="34"/>
  <c r="D21" i="34"/>
  <c r="H15" i="34"/>
  <c r="T24" i="32"/>
  <c r="T22" i="32"/>
  <c r="D13" i="40"/>
  <c r="T25" i="37"/>
  <c r="D20" i="37"/>
  <c r="D16" i="37"/>
  <c r="T34" i="35"/>
  <c r="T33" i="35"/>
  <c r="T29" i="35"/>
  <c r="T25" i="35"/>
  <c r="B16" i="35"/>
  <c r="D15" i="35"/>
  <c r="T12" i="35"/>
  <c r="B21" i="34"/>
  <c r="D20" i="34"/>
  <c r="D16" i="34"/>
  <c r="P34" i="32"/>
  <c r="P33" i="32"/>
  <c r="P29" i="32"/>
  <c r="P25" i="32"/>
  <c r="T21" i="32"/>
  <c r="D20" i="40"/>
  <c r="H12" i="40"/>
  <c r="D5" i="38"/>
  <c r="B16" i="37"/>
  <c r="B13" i="37"/>
  <c r="T24" i="35"/>
  <c r="T22" i="35"/>
  <c r="P12" i="35"/>
  <c r="T34" i="34"/>
  <c r="T33" i="34"/>
  <c r="T29" i="34"/>
  <c r="T25" i="34"/>
  <c r="B16" i="34"/>
  <c r="D15" i="34"/>
  <c r="T12" i="34"/>
  <c r="T29" i="44"/>
  <c r="T21" i="44"/>
  <c r="T33" i="40"/>
  <c r="P29" i="38"/>
  <c r="H25" i="37"/>
  <c r="T15" i="37"/>
  <c r="T12" i="37"/>
  <c r="H24" i="38"/>
  <c r="P34" i="34"/>
  <c r="P21" i="32"/>
  <c r="H15" i="32"/>
  <c r="P12" i="32"/>
  <c r="P21" i="31"/>
  <c r="T15" i="31"/>
  <c r="P13" i="31"/>
  <c r="H12" i="31"/>
  <c r="B39" i="29"/>
  <c r="P25" i="35"/>
  <c r="T22" i="34"/>
  <c r="D20" i="32"/>
  <c r="P16" i="32"/>
  <c r="P20" i="31"/>
  <c r="P16" i="31"/>
  <c r="D12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D4" i="38"/>
  <c r="T16" i="35"/>
  <c r="P33" i="34"/>
  <c r="D15" i="32"/>
  <c r="H12" i="32"/>
  <c r="H34" i="31"/>
  <c r="H33" i="31"/>
  <c r="H29" i="31"/>
  <c r="H25" i="31"/>
  <c r="P15" i="31"/>
  <c r="D5" i="31"/>
  <c r="P34" i="35"/>
  <c r="P12" i="34"/>
  <c r="H33" i="32"/>
  <c r="H29" i="32"/>
  <c r="H25" i="32"/>
  <c r="P22" i="32"/>
  <c r="H16" i="32"/>
  <c r="T13" i="32"/>
  <c r="D12" i="32"/>
  <c r="H24" i="31"/>
  <c r="H22" i="31"/>
  <c r="H13" i="31"/>
  <c r="D4" i="31"/>
  <c r="B22" i="29"/>
  <c r="D21" i="29"/>
  <c r="H15" i="29"/>
  <c r="B25" i="28"/>
  <c r="D24" i="28"/>
  <c r="D22" i="28"/>
  <c r="H20" i="28"/>
  <c r="H16" i="28"/>
  <c r="B13" i="28"/>
  <c r="P24" i="35"/>
  <c r="T21" i="34"/>
  <c r="D21" i="32"/>
  <c r="P13" i="32"/>
  <c r="D5" i="32"/>
  <c r="D34" i="31"/>
  <c r="D33" i="31"/>
  <c r="D29" i="31"/>
  <c r="D25" i="31"/>
  <c r="H21" i="31"/>
  <c r="D13" i="31"/>
  <c r="B21" i="29"/>
  <c r="D20" i="29"/>
  <c r="D16" i="29"/>
  <c r="B22" i="28"/>
  <c r="D21" i="28"/>
  <c r="H15" i="28"/>
  <c r="P33" i="35"/>
  <c r="T34" i="32"/>
  <c r="B21" i="32"/>
  <c r="D16" i="32"/>
  <c r="B39" i="31"/>
  <c r="B25" i="31"/>
  <c r="D24" i="31"/>
  <c r="D22" i="31"/>
  <c r="H20" i="31"/>
  <c r="H16" i="31"/>
  <c r="B13" i="31"/>
  <c r="P22" i="35"/>
  <c r="T13" i="35"/>
  <c r="P29" i="34"/>
  <c r="B16" i="32"/>
  <c r="B38" i="31"/>
  <c r="B22" i="31"/>
  <c r="D21" i="31"/>
  <c r="H15" i="31"/>
  <c r="T24" i="29"/>
  <c r="T22" i="29"/>
  <c r="P12" i="29"/>
  <c r="T34" i="28"/>
  <c r="T33" i="28"/>
  <c r="T29" i="28"/>
  <c r="T25" i="28"/>
  <c r="B16" i="28"/>
  <c r="D15" i="28"/>
  <c r="T12" i="28"/>
  <c r="T21" i="35"/>
  <c r="P24" i="32"/>
  <c r="D22" i="32"/>
  <c r="T20" i="32"/>
  <c r="D13" i="32"/>
  <c r="B21" i="31"/>
  <c r="D20" i="31"/>
  <c r="D16" i="31"/>
  <c r="P34" i="29"/>
  <c r="P33" i="29"/>
  <c r="P29" i="29"/>
  <c r="P25" i="29"/>
  <c r="T21" i="29"/>
  <c r="T24" i="28"/>
  <c r="T22" i="28"/>
  <c r="P12" i="28"/>
  <c r="P29" i="35"/>
  <c r="H34" i="32"/>
  <c r="P20" i="32"/>
  <c r="T24" i="31"/>
  <c r="T22" i="31"/>
  <c r="P12" i="31"/>
  <c r="P21" i="29"/>
  <c r="T15" i="29"/>
  <c r="P13" i="29"/>
  <c r="H12" i="29"/>
  <c r="P24" i="28"/>
  <c r="P22" i="28"/>
  <c r="T20" i="28"/>
  <c r="T16" i="28"/>
  <c r="T13" i="28"/>
  <c r="B39" i="38"/>
  <c r="T20" i="35"/>
  <c r="P25" i="34"/>
  <c r="P15" i="32"/>
  <c r="P34" i="31"/>
  <c r="P33" i="31"/>
  <c r="P29" i="31"/>
  <c r="P25" i="31"/>
  <c r="T21" i="31"/>
  <c r="P20" i="29"/>
  <c r="P16" i="29"/>
  <c r="D12" i="29"/>
  <c r="P21" i="28"/>
  <c r="T15" i="28"/>
  <c r="P13" i="28"/>
  <c r="H12" i="28"/>
  <c r="T24" i="34"/>
  <c r="T33" i="32"/>
  <c r="T29" i="32"/>
  <c r="T25" i="32"/>
  <c r="D24" i="32"/>
  <c r="H20" i="32"/>
  <c r="T16" i="32"/>
  <c r="T12" i="32"/>
  <c r="P24" i="31"/>
  <c r="P22" i="31"/>
  <c r="T20" i="31"/>
  <c r="T16" i="31"/>
  <c r="T13" i="31"/>
  <c r="B22" i="32"/>
  <c r="T16" i="29"/>
  <c r="H13" i="29"/>
  <c r="D16" i="28"/>
  <c r="D12" i="28"/>
  <c r="B21" i="26"/>
  <c r="D20" i="26"/>
  <c r="D16" i="26"/>
  <c r="B22" i="25"/>
  <c r="D21" i="25"/>
  <c r="H15" i="25"/>
  <c r="H24" i="29"/>
  <c r="B13" i="29"/>
  <c r="P34" i="28"/>
  <c r="D5" i="28"/>
  <c r="T34" i="26"/>
  <c r="T33" i="26"/>
  <c r="T29" i="26"/>
  <c r="T25" i="26"/>
  <c r="B16" i="26"/>
  <c r="D15" i="26"/>
  <c r="T12" i="26"/>
  <c r="B21" i="25"/>
  <c r="D20" i="25"/>
  <c r="D16" i="25"/>
  <c r="T24" i="23"/>
  <c r="T22" i="23"/>
  <c r="P12" i="23"/>
  <c r="T34" i="22"/>
  <c r="D24" i="29"/>
  <c r="T20" i="29"/>
  <c r="T12" i="29"/>
  <c r="P25" i="28"/>
  <c r="D20" i="28"/>
  <c r="T24" i="26"/>
  <c r="T22" i="26"/>
  <c r="P12" i="26"/>
  <c r="T34" i="25"/>
  <c r="T33" i="25"/>
  <c r="T29" i="25"/>
  <c r="T25" i="25"/>
  <c r="B16" i="25"/>
  <c r="D15" i="25"/>
  <c r="T12" i="25"/>
  <c r="P34" i="23"/>
  <c r="P33" i="23"/>
  <c r="P29" i="23"/>
  <c r="P25" i="23"/>
  <c r="T21" i="23"/>
  <c r="T15" i="32"/>
  <c r="H16" i="29"/>
  <c r="H34" i="28"/>
  <c r="P15" i="28"/>
  <c r="P34" i="26"/>
  <c r="P33" i="26"/>
  <c r="P29" i="26"/>
  <c r="P25" i="26"/>
  <c r="T21" i="26"/>
  <c r="T24" i="25"/>
  <c r="T22" i="25"/>
  <c r="P12" i="25"/>
  <c r="B13" i="32"/>
  <c r="T34" i="29"/>
  <c r="P22" i="29"/>
  <c r="B16" i="29"/>
  <c r="D5" i="29"/>
  <c r="D34" i="28"/>
  <c r="P29" i="28"/>
  <c r="H25" i="28"/>
  <c r="P24" i="26"/>
  <c r="P22" i="26"/>
  <c r="T20" i="26"/>
  <c r="T16" i="26"/>
  <c r="T13" i="26"/>
  <c r="P34" i="25"/>
  <c r="P33" i="25"/>
  <c r="P29" i="25"/>
  <c r="P25" i="25"/>
  <c r="T21" i="25"/>
  <c r="T25" i="29"/>
  <c r="H20" i="29"/>
  <c r="D4" i="29"/>
  <c r="D25" i="28"/>
  <c r="T21" i="28"/>
  <c r="P21" i="26"/>
  <c r="T15" i="26"/>
  <c r="P13" i="26"/>
  <c r="H12" i="26"/>
  <c r="P24" i="25"/>
  <c r="P22" i="25"/>
  <c r="T20" i="25"/>
  <c r="T16" i="25"/>
  <c r="T13" i="25"/>
  <c r="P20" i="23"/>
  <c r="P16" i="23"/>
  <c r="D12" i="23"/>
  <c r="T34" i="31"/>
  <c r="B16" i="31"/>
  <c r="H34" i="29"/>
  <c r="H22" i="29"/>
  <c r="P15" i="29"/>
  <c r="B38" i="28"/>
  <c r="P33" i="28"/>
  <c r="H29" i="28"/>
  <c r="P20" i="26"/>
  <c r="P16" i="26"/>
  <c r="D12" i="26"/>
  <c r="P21" i="25"/>
  <c r="T15" i="25"/>
  <c r="P13" i="25"/>
  <c r="H12" i="25"/>
  <c r="T33" i="31"/>
  <c r="D15" i="31"/>
  <c r="T29" i="29"/>
  <c r="H25" i="29"/>
  <c r="D22" i="29"/>
  <c r="D29" i="28"/>
  <c r="H34" i="26"/>
  <c r="H33" i="26"/>
  <c r="H29" i="26"/>
  <c r="H25" i="26"/>
  <c r="P15" i="26"/>
  <c r="D5" i="26"/>
  <c r="P20" i="25"/>
  <c r="P16" i="25"/>
  <c r="D12" i="25"/>
  <c r="B39" i="23"/>
  <c r="H24" i="23"/>
  <c r="H22" i="23"/>
  <c r="H13" i="23"/>
  <c r="D4" i="23"/>
  <c r="H34" i="22"/>
  <c r="H33" i="22"/>
  <c r="H29" i="22"/>
  <c r="T29" i="31"/>
  <c r="T33" i="29"/>
  <c r="H29" i="29"/>
  <c r="B25" i="29"/>
  <c r="D15" i="29"/>
  <c r="D33" i="28"/>
  <c r="B21" i="28"/>
  <c r="P16" i="28"/>
  <c r="D13" i="28"/>
  <c r="B38" i="26"/>
  <c r="D34" i="26"/>
  <c r="D33" i="26"/>
  <c r="D29" i="26"/>
  <c r="D25" i="26"/>
  <c r="H21" i="26"/>
  <c r="D13" i="26"/>
  <c r="B39" i="25"/>
  <c r="H24" i="25"/>
  <c r="H22" i="25"/>
  <c r="H13" i="25"/>
  <c r="D4" i="25"/>
  <c r="T13" i="29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T25" i="31"/>
  <c r="H33" i="29"/>
  <c r="P24" i="29"/>
  <c r="P20" i="28"/>
  <c r="H15" i="26"/>
  <c r="T33" i="23"/>
  <c r="B21" i="23"/>
  <c r="D16" i="23"/>
  <c r="P25" i="22"/>
  <c r="T21" i="22"/>
  <c r="P21" i="20"/>
  <c r="T15" i="20"/>
  <c r="P13" i="20"/>
  <c r="H12" i="20"/>
  <c r="P24" i="19"/>
  <c r="P22" i="19"/>
  <c r="T20" i="19"/>
  <c r="T16" i="19"/>
  <c r="T13" i="19"/>
  <c r="H22" i="26"/>
  <c r="H13" i="26"/>
  <c r="H29" i="25"/>
  <c r="B16" i="23"/>
  <c r="D13" i="23"/>
  <c r="D33" i="22"/>
  <c r="P24" i="22"/>
  <c r="P22" i="22"/>
  <c r="T20" i="22"/>
  <c r="T16" i="22"/>
  <c r="T13" i="22"/>
  <c r="P20" i="20"/>
  <c r="P16" i="20"/>
  <c r="D12" i="20"/>
  <c r="P21" i="19"/>
  <c r="T15" i="19"/>
  <c r="P13" i="19"/>
  <c r="H12" i="19"/>
  <c r="H21" i="28"/>
  <c r="B22" i="26"/>
  <c r="H20" i="25"/>
  <c r="H33" i="23"/>
  <c r="T29" i="23"/>
  <c r="P24" i="23"/>
  <c r="D22" i="23"/>
  <c r="T20" i="23"/>
  <c r="B13" i="23"/>
  <c r="P21" i="22"/>
  <c r="T15" i="22"/>
  <c r="P13" i="22"/>
  <c r="H12" i="22"/>
  <c r="H34" i="20"/>
  <c r="H33" i="20"/>
  <c r="H29" i="20"/>
  <c r="H25" i="20"/>
  <c r="P15" i="20"/>
  <c r="D5" i="20"/>
  <c r="P20" i="19"/>
  <c r="P16" i="19"/>
  <c r="D12" i="19"/>
  <c r="D4" i="26"/>
  <c r="D33" i="23"/>
  <c r="B22" i="23"/>
  <c r="T15" i="23"/>
  <c r="D34" i="22"/>
  <c r="T29" i="22"/>
  <c r="P20" i="22"/>
  <c r="P16" i="22"/>
  <c r="D12" i="22"/>
  <c r="B39" i="20"/>
  <c r="H24" i="20"/>
  <c r="H22" i="20"/>
  <c r="H13" i="20"/>
  <c r="D4" i="20"/>
  <c r="H34" i="19"/>
  <c r="H33" i="19"/>
  <c r="H29" i="19"/>
  <c r="H25" i="19"/>
  <c r="P15" i="19"/>
  <c r="D5" i="19"/>
  <c r="D21" i="26"/>
  <c r="H29" i="23"/>
  <c r="P15" i="23"/>
  <c r="P29" i="22"/>
  <c r="H25" i="22"/>
  <c r="P15" i="22"/>
  <c r="D5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H25" i="25"/>
  <c r="T34" i="23"/>
  <c r="D29" i="23"/>
  <c r="T25" i="23"/>
  <c r="T12" i="23"/>
  <c r="H24" i="22"/>
  <c r="H22" i="22"/>
  <c r="H13" i="22"/>
  <c r="D4" i="22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T12" i="31"/>
  <c r="B25" i="25"/>
  <c r="H16" i="25"/>
  <c r="B38" i="23"/>
  <c r="D24" i="23"/>
  <c r="H20" i="23"/>
  <c r="T16" i="23"/>
  <c r="D25" i="22"/>
  <c r="H21" i="22"/>
  <c r="D13" i="22"/>
  <c r="B22" i="20"/>
  <c r="D21" i="20"/>
  <c r="H15" i="20"/>
  <c r="B25" i="19"/>
  <c r="D24" i="19"/>
  <c r="D22" i="19"/>
  <c r="H20" i="19"/>
  <c r="H16" i="19"/>
  <c r="B13" i="19"/>
  <c r="H34" i="25"/>
  <c r="P15" i="25"/>
  <c r="H34" i="23"/>
  <c r="P21" i="23"/>
  <c r="H15" i="23"/>
  <c r="H12" i="23"/>
  <c r="T33" i="22"/>
  <c r="B25" i="22"/>
  <c r="D24" i="22"/>
  <c r="D22" i="22"/>
  <c r="H20" i="22"/>
  <c r="H16" i="22"/>
  <c r="B13" i="22"/>
  <c r="B21" i="20"/>
  <c r="D20" i="20"/>
  <c r="D16" i="20"/>
  <c r="B22" i="19"/>
  <c r="D21" i="19"/>
  <c r="H15" i="19"/>
  <c r="D24" i="25"/>
  <c r="D34" i="23"/>
  <c r="H25" i="23"/>
  <c r="D20" i="23"/>
  <c r="D5" i="23"/>
  <c r="P33" i="22"/>
  <c r="B22" i="22"/>
  <c r="D21" i="22"/>
  <c r="H15" i="22"/>
  <c r="T34" i="20"/>
  <c r="T33" i="20"/>
  <c r="T29" i="20"/>
  <c r="T25" i="20"/>
  <c r="B16" i="20"/>
  <c r="D15" i="20"/>
  <c r="T12" i="20"/>
  <c r="B21" i="19"/>
  <c r="D20" i="19"/>
  <c r="D16" i="19"/>
  <c r="B39" i="26"/>
  <c r="H33" i="25"/>
  <c r="D25" i="23"/>
  <c r="H21" i="23"/>
  <c r="D15" i="23"/>
  <c r="B39" i="22"/>
  <c r="D29" i="22"/>
  <c r="B21" i="22"/>
  <c r="D20" i="22"/>
  <c r="D16" i="22"/>
  <c r="T24" i="20"/>
  <c r="T22" i="20"/>
  <c r="P12" i="20"/>
  <c r="T34" i="19"/>
  <c r="T33" i="19"/>
  <c r="T29" i="19"/>
  <c r="T25" i="19"/>
  <c r="B16" i="19"/>
  <c r="D15" i="19"/>
  <c r="T12" i="19"/>
  <c r="H33" i="28"/>
  <c r="H24" i="26"/>
  <c r="D5" i="25"/>
  <c r="D21" i="23"/>
  <c r="P13" i="23"/>
  <c r="T25" i="22"/>
  <c r="T24" i="22"/>
  <c r="T22" i="22"/>
  <c r="P12" i="22"/>
  <c r="B13" i="25"/>
  <c r="T13" i="23"/>
  <c r="P29" i="20"/>
  <c r="T34" i="17"/>
  <c r="T33" i="17"/>
  <c r="T29" i="17"/>
  <c r="T25" i="17"/>
  <c r="B16" i="17"/>
  <c r="D15" i="17"/>
  <c r="T12" i="17"/>
  <c r="B21" i="16"/>
  <c r="D20" i="16"/>
  <c r="D16" i="16"/>
  <c r="B38" i="22"/>
  <c r="B16" i="22"/>
  <c r="T20" i="20"/>
  <c r="P25" i="19"/>
  <c r="T24" i="17"/>
  <c r="T22" i="17"/>
  <c r="P12" i="17"/>
  <c r="T34" i="16"/>
  <c r="T33" i="16"/>
  <c r="T29" i="16"/>
  <c r="T25" i="16"/>
  <c r="B16" i="16"/>
  <c r="D15" i="16"/>
  <c r="T12" i="16"/>
  <c r="B22" i="14"/>
  <c r="D21" i="14"/>
  <c r="H15" i="14"/>
  <c r="B25" i="13"/>
  <c r="D24" i="13"/>
  <c r="D22" i="13"/>
  <c r="H20" i="13"/>
  <c r="H16" i="13"/>
  <c r="B13" i="13"/>
  <c r="P34" i="22"/>
  <c r="D15" i="22"/>
  <c r="T24" i="19"/>
  <c r="P34" i="17"/>
  <c r="P33" i="17"/>
  <c r="P29" i="17"/>
  <c r="P25" i="17"/>
  <c r="T21" i="17"/>
  <c r="T24" i="16"/>
  <c r="T22" i="16"/>
  <c r="P12" i="16"/>
  <c r="B21" i="14"/>
  <c r="D20" i="14"/>
  <c r="D16" i="14"/>
  <c r="B22" i="13"/>
  <c r="D21" i="13"/>
  <c r="H15" i="13"/>
  <c r="T12" i="22"/>
  <c r="P34" i="19"/>
  <c r="P24" i="17"/>
  <c r="P22" i="17"/>
  <c r="T20" i="17"/>
  <c r="T16" i="17"/>
  <c r="T13" i="17"/>
  <c r="P34" i="16"/>
  <c r="P33" i="16"/>
  <c r="P29" i="16"/>
  <c r="P25" i="16"/>
  <c r="T21" i="16"/>
  <c r="P25" i="20"/>
  <c r="T22" i="19"/>
  <c r="P21" i="17"/>
  <c r="T15" i="17"/>
  <c r="P13" i="17"/>
  <c r="H12" i="17"/>
  <c r="P24" i="16"/>
  <c r="P22" i="16"/>
  <c r="T20" i="16"/>
  <c r="T16" i="16"/>
  <c r="T13" i="16"/>
  <c r="T24" i="14"/>
  <c r="T22" i="14"/>
  <c r="P12" i="14"/>
  <c r="T34" i="13"/>
  <c r="T33" i="13"/>
  <c r="T29" i="13"/>
  <c r="T25" i="13"/>
  <c r="B16" i="13"/>
  <c r="D15" i="13"/>
  <c r="T12" i="13"/>
  <c r="T16" i="20"/>
  <c r="P33" i="19"/>
  <c r="P20" i="17"/>
  <c r="P16" i="17"/>
  <c r="D12" i="17"/>
  <c r="P21" i="16"/>
  <c r="T15" i="16"/>
  <c r="P13" i="16"/>
  <c r="H12" i="16"/>
  <c r="P34" i="14"/>
  <c r="P33" i="14"/>
  <c r="P29" i="14"/>
  <c r="P25" i="14"/>
  <c r="T21" i="14"/>
  <c r="T24" i="13"/>
  <c r="T22" i="13"/>
  <c r="P12" i="13"/>
  <c r="P34" i="20"/>
  <c r="P12" i="19"/>
  <c r="H34" i="17"/>
  <c r="H33" i="17"/>
  <c r="H29" i="17"/>
  <c r="H25" i="17"/>
  <c r="P15" i="17"/>
  <c r="D5" i="17"/>
  <c r="P20" i="16"/>
  <c r="P16" i="16"/>
  <c r="D12" i="16"/>
  <c r="B25" i="23"/>
  <c r="P24" i="20"/>
  <c r="T21" i="19"/>
  <c r="B39" i="17"/>
  <c r="H24" i="17"/>
  <c r="H22" i="17"/>
  <c r="H13" i="17"/>
  <c r="D4" i="17"/>
  <c r="H34" i="16"/>
  <c r="H33" i="16"/>
  <c r="H29" i="16"/>
  <c r="H25" i="16"/>
  <c r="P15" i="16"/>
  <c r="D5" i="16"/>
  <c r="P21" i="14"/>
  <c r="T15" i="14"/>
  <c r="P13" i="14"/>
  <c r="H12" i="14"/>
  <c r="P24" i="13"/>
  <c r="P22" i="13"/>
  <c r="T20" i="13"/>
  <c r="T16" i="13"/>
  <c r="T13" i="13"/>
  <c r="P22" i="23"/>
  <c r="P33" i="20"/>
  <c r="B38" i="17"/>
  <c r="D34" i="17"/>
  <c r="D33" i="17"/>
  <c r="D29" i="17"/>
  <c r="D25" i="17"/>
  <c r="H21" i="17"/>
  <c r="D13" i="17"/>
  <c r="B39" i="16"/>
  <c r="H24" i="16"/>
  <c r="H22" i="16"/>
  <c r="H13" i="16"/>
  <c r="D4" i="16"/>
  <c r="P20" i="14"/>
  <c r="P16" i="14"/>
  <c r="D12" i="14"/>
  <c r="P21" i="13"/>
  <c r="T15" i="13"/>
  <c r="P13" i="13"/>
  <c r="H12" i="13"/>
  <c r="P22" i="20"/>
  <c r="T13" i="20"/>
  <c r="P29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D22" i="25"/>
  <c r="H16" i="23"/>
  <c r="B21" i="17"/>
  <c r="D20" i="17"/>
  <c r="D16" i="17"/>
  <c r="B22" i="16"/>
  <c r="D21" i="16"/>
  <c r="H15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T13" i="14"/>
  <c r="B21" i="11"/>
  <c r="D20" i="11"/>
  <c r="D16" i="11"/>
  <c r="B22" i="10"/>
  <c r="D21" i="10"/>
  <c r="H15" i="10"/>
  <c r="B38" i="8"/>
  <c r="D34" i="8"/>
  <c r="D33" i="8"/>
  <c r="D29" i="8"/>
  <c r="D25" i="8"/>
  <c r="B13" i="16"/>
  <c r="H33" i="14"/>
  <c r="P24" i="14"/>
  <c r="P20" i="13"/>
  <c r="T34" i="11"/>
  <c r="T33" i="11"/>
  <c r="T29" i="11"/>
  <c r="T25" i="11"/>
  <c r="B16" i="11"/>
  <c r="D15" i="11"/>
  <c r="T12" i="11"/>
  <c r="B21" i="10"/>
  <c r="D20" i="10"/>
  <c r="D16" i="10"/>
  <c r="T16" i="14"/>
  <c r="H13" i="14"/>
  <c r="D16" i="13"/>
  <c r="D12" i="13"/>
  <c r="T24" i="11"/>
  <c r="T22" i="11"/>
  <c r="P12" i="11"/>
  <c r="T34" i="10"/>
  <c r="T33" i="10"/>
  <c r="T29" i="10"/>
  <c r="T25" i="10"/>
  <c r="B16" i="10"/>
  <c r="D15" i="10"/>
  <c r="T12" i="10"/>
  <c r="B22" i="8"/>
  <c r="D21" i="8"/>
  <c r="B22" i="17"/>
  <c r="H24" i="14"/>
  <c r="B13" i="14"/>
  <c r="P34" i="13"/>
  <c r="D5" i="13"/>
  <c r="P34" i="11"/>
  <c r="P33" i="11"/>
  <c r="P29" i="11"/>
  <c r="P25" i="11"/>
  <c r="T21" i="11"/>
  <c r="T24" i="10"/>
  <c r="T22" i="10"/>
  <c r="P12" i="10"/>
  <c r="D21" i="17"/>
  <c r="D24" i="14"/>
  <c r="T20" i="14"/>
  <c r="T12" i="14"/>
  <c r="P25" i="13"/>
  <c r="D20" i="13"/>
  <c r="P24" i="11"/>
  <c r="P22" i="11"/>
  <c r="T20" i="11"/>
  <c r="T16" i="11"/>
  <c r="T13" i="11"/>
  <c r="P34" i="10"/>
  <c r="P33" i="10"/>
  <c r="P29" i="10"/>
  <c r="P25" i="10"/>
  <c r="T21" i="10"/>
  <c r="B25" i="16"/>
  <c r="H16" i="14"/>
  <c r="H34" i="13"/>
  <c r="P15" i="13"/>
  <c r="P21" i="11"/>
  <c r="T15" i="11"/>
  <c r="P13" i="11"/>
  <c r="H12" i="11"/>
  <c r="P24" i="10"/>
  <c r="P22" i="10"/>
  <c r="T20" i="10"/>
  <c r="T16" i="10"/>
  <c r="T13" i="10"/>
  <c r="D24" i="16"/>
  <c r="T34" i="14"/>
  <c r="P22" i="14"/>
  <c r="B16" i="14"/>
  <c r="D5" i="14"/>
  <c r="D34" i="13"/>
  <c r="P29" i="13"/>
  <c r="H25" i="13"/>
  <c r="P20" i="11"/>
  <c r="P16" i="11"/>
  <c r="D12" i="11"/>
  <c r="P21" i="10"/>
  <c r="T15" i="10"/>
  <c r="P13" i="10"/>
  <c r="H12" i="10"/>
  <c r="P34" i="8"/>
  <c r="P33" i="8"/>
  <c r="P29" i="8"/>
  <c r="P25" i="8"/>
  <c r="D22" i="16"/>
  <c r="T25" i="14"/>
  <c r="H20" i="14"/>
  <c r="D4" i="14"/>
  <c r="D25" i="13"/>
  <c r="T21" i="13"/>
  <c r="H34" i="11"/>
  <c r="H33" i="11"/>
  <c r="H29" i="11"/>
  <c r="H25" i="11"/>
  <c r="P15" i="11"/>
  <c r="D5" i="11"/>
  <c r="P20" i="10"/>
  <c r="P16" i="10"/>
  <c r="D12" i="10"/>
  <c r="H15" i="17"/>
  <c r="H34" i="14"/>
  <c r="H22" i="14"/>
  <c r="P15" i="14"/>
  <c r="B38" i="13"/>
  <c r="P33" i="13"/>
  <c r="H29" i="13"/>
  <c r="B39" i="11"/>
  <c r="H24" i="11"/>
  <c r="H22" i="11"/>
  <c r="H13" i="11"/>
  <c r="D4" i="11"/>
  <c r="H34" i="10"/>
  <c r="H33" i="10"/>
  <c r="H29" i="10"/>
  <c r="H25" i="10"/>
  <c r="P15" i="10"/>
  <c r="D5" i="10"/>
  <c r="P21" i="8"/>
  <c r="T15" i="8"/>
  <c r="T21" i="20"/>
  <c r="H20" i="16"/>
  <c r="T29" i="14"/>
  <c r="H25" i="14"/>
  <c r="D22" i="14"/>
  <c r="D29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P20" i="8"/>
  <c r="P16" i="8"/>
  <c r="H16" i="16"/>
  <c r="B39" i="14"/>
  <c r="T33" i="14"/>
  <c r="H29" i="14"/>
  <c r="B25" i="14"/>
  <c r="D15" i="14"/>
  <c r="D33" i="13"/>
  <c r="B21" i="13"/>
  <c r="P16" i="13"/>
  <c r="D13" i="13"/>
  <c r="B22" i="11"/>
  <c r="D21" i="11"/>
  <c r="H15" i="11"/>
  <c r="B25" i="10"/>
  <c r="D24" i="10"/>
  <c r="D22" i="10"/>
  <c r="H20" i="10"/>
  <c r="H16" i="10"/>
  <c r="B13" i="10"/>
  <c r="T34" i="8"/>
  <c r="B25" i="8"/>
  <c r="D20" i="8"/>
  <c r="P13" i="8"/>
  <c r="H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T34" i="7"/>
  <c r="P20" i="4"/>
  <c r="H16" i="11"/>
  <c r="P22" i="8"/>
  <c r="H21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D29" i="10"/>
  <c r="P12" i="8"/>
  <c r="T33" i="7"/>
  <c r="H21" i="10"/>
  <c r="T16" i="8"/>
  <c r="P15" i="8"/>
  <c r="D5" i="8"/>
  <c r="P20" i="7"/>
  <c r="P16" i="7"/>
  <c r="D12" i="7"/>
  <c r="B21" i="5"/>
  <c r="D20" i="5"/>
  <c r="D16" i="5"/>
  <c r="B22" i="4"/>
  <c r="D21" i="4"/>
  <c r="H15" i="4"/>
  <c r="B13" i="11"/>
  <c r="H34" i="8"/>
  <c r="T24" i="8"/>
  <c r="H22" i="8"/>
  <c r="B21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T21" i="8"/>
  <c r="T25" i="7"/>
  <c r="T12" i="7"/>
  <c r="H33" i="5"/>
  <c r="P15" i="5"/>
  <c r="P16" i="4"/>
  <c r="H25" i="8"/>
  <c r="H24" i="5"/>
  <c r="H25" i="4"/>
  <c r="B38" i="10"/>
  <c r="B39" i="8"/>
  <c r="P24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D22" i="11"/>
  <c r="H29" i="8"/>
  <c r="B16" i="8"/>
  <c r="B16" i="7"/>
  <c r="H34" i="5"/>
  <c r="H29" i="5"/>
  <c r="D5" i="5"/>
  <c r="H22" i="5"/>
  <c r="H13" i="5"/>
  <c r="H33" i="4"/>
  <c r="D22" i="8"/>
  <c r="B13" i="8"/>
  <c r="B38" i="7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D34" i="10"/>
  <c r="T33" i="8"/>
  <c r="T29" i="8"/>
  <c r="H24" i="8"/>
  <c r="H16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H33" i="8"/>
  <c r="T29" i="7"/>
  <c r="D15" i="7"/>
  <c r="D12" i="4"/>
  <c r="T22" i="7"/>
  <c r="P12" i="7"/>
  <c r="B39" i="5"/>
  <c r="D4" i="5"/>
  <c r="D5" i="4"/>
  <c r="B25" i="11"/>
  <c r="D33" i="10"/>
  <c r="D13" i="10"/>
  <c r="T25" i="8"/>
  <c r="T20" i="8"/>
  <c r="B22" i="7"/>
  <c r="D21" i="7"/>
  <c r="H15" i="7"/>
  <c r="P21" i="5"/>
  <c r="T15" i="5"/>
  <c r="P13" i="5"/>
  <c r="H12" i="5"/>
  <c r="P24" i="4"/>
  <c r="P22" i="4"/>
  <c r="T20" i="4"/>
  <c r="T16" i="4"/>
  <c r="T13" i="4"/>
  <c r="H33" i="13"/>
  <c r="D24" i="11"/>
  <c r="D24" i="8"/>
  <c r="D16" i="8"/>
  <c r="D15" i="8"/>
  <c r="T12" i="8"/>
  <c r="B21" i="7"/>
  <c r="D20" i="7"/>
  <c r="D16" i="7"/>
  <c r="P20" i="5"/>
  <c r="P16" i="5"/>
  <c r="D12" i="5"/>
  <c r="P21" i="4"/>
  <c r="T15" i="4"/>
  <c r="P13" i="4"/>
  <c r="H12" i="4"/>
  <c r="H25" i="5"/>
  <c r="H21" i="13"/>
  <c r="H20" i="11"/>
  <c r="D25" i="10"/>
  <c r="T22" i="8"/>
  <c r="H20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T24" i="7"/>
  <c r="H34" i="4"/>
  <c r="H29" i="4"/>
  <c r="P15" i="4"/>
  <c r="Z16" i="94" l="1"/>
  <c r="Z16" i="89"/>
  <c r="Z16" i="96"/>
  <c r="X15" i="4"/>
  <c r="N29" i="4"/>
  <c r="N34" i="4"/>
  <c r="Z24" i="7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N20" i="8"/>
  <c r="Z22" i="8"/>
  <c r="L25" i="10"/>
  <c r="N20" i="11"/>
  <c r="N21" i="13"/>
  <c r="N25" i="5"/>
  <c r="J20" i="4"/>
  <c r="J18" i="4"/>
  <c r="J16" i="4"/>
  <c r="H18" i="4"/>
  <c r="J15" i="4"/>
  <c r="J33" i="4"/>
  <c r="J36" i="4"/>
  <c r="J27" i="4"/>
  <c r="J29" i="4"/>
  <c r="J25" i="4"/>
  <c r="J24" i="4"/>
  <c r="N12" i="4"/>
  <c r="J34" i="4"/>
  <c r="J31" i="4"/>
  <c r="J21" i="4"/>
  <c r="J22" i="4"/>
  <c r="X13" i="4"/>
  <c r="Z15" i="4"/>
  <c r="X21" i="4"/>
  <c r="F21" i="5"/>
  <c r="F20" i="5"/>
  <c r="F18" i="5"/>
  <c r="F16" i="5"/>
  <c r="D18" i="5"/>
  <c r="F15" i="5"/>
  <c r="F33" i="5"/>
  <c r="F34" i="5"/>
  <c r="L12" i="5"/>
  <c r="F27" i="5"/>
  <c r="F24" i="5"/>
  <c r="F22" i="5"/>
  <c r="F36" i="5"/>
  <c r="F31" i="5"/>
  <c r="F29" i="5"/>
  <c r="F25" i="5"/>
  <c r="X16" i="5"/>
  <c r="X20" i="5"/>
  <c r="L16" i="7"/>
  <c r="L20" i="7"/>
  <c r="V36" i="8"/>
  <c r="V34" i="8"/>
  <c r="V33" i="8"/>
  <c r="V31" i="8"/>
  <c r="V29" i="8"/>
  <c r="V27" i="8"/>
  <c r="V15" i="8"/>
  <c r="V16" i="8"/>
  <c r="V24" i="8"/>
  <c r="V18" i="8"/>
  <c r="T18" i="8"/>
  <c r="V22" i="8"/>
  <c r="V25" i="8"/>
  <c r="V20" i="8"/>
  <c r="Z12" i="8"/>
  <c r="V21" i="8"/>
  <c r="L15" i="8"/>
  <c r="L16" i="8"/>
  <c r="L24" i="8"/>
  <c r="L24" i="11"/>
  <c r="N33" i="13"/>
  <c r="Z13" i="4"/>
  <c r="Z16" i="4"/>
  <c r="Z20" i="4"/>
  <c r="X22" i="4"/>
  <c r="X24" i="4"/>
  <c r="H18" i="5"/>
  <c r="J15" i="5"/>
  <c r="J24" i="5"/>
  <c r="J22" i="5"/>
  <c r="N12" i="5"/>
  <c r="J21" i="5"/>
  <c r="J36" i="5"/>
  <c r="J34" i="5"/>
  <c r="J33" i="5"/>
  <c r="J31" i="5"/>
  <c r="J29" i="5"/>
  <c r="J27" i="5"/>
  <c r="J25" i="5"/>
  <c r="J20" i="5"/>
  <c r="J18" i="5"/>
  <c r="J16" i="5"/>
  <c r="X13" i="5"/>
  <c r="Z15" i="5"/>
  <c r="X21" i="5"/>
  <c r="N15" i="7"/>
  <c r="L21" i="7"/>
  <c r="Z20" i="8"/>
  <c r="Z25" i="8"/>
  <c r="L13" i="10"/>
  <c r="L33" i="10"/>
  <c r="R21" i="7"/>
  <c r="R20" i="7"/>
  <c r="R18" i="7"/>
  <c r="R16" i="7"/>
  <c r="P18" i="7"/>
  <c r="R15" i="7"/>
  <c r="R33" i="7"/>
  <c r="R25" i="7"/>
  <c r="R34" i="7"/>
  <c r="R27" i="7"/>
  <c r="R31" i="7"/>
  <c r="X12" i="7"/>
  <c r="R24" i="7"/>
  <c r="R22" i="7"/>
  <c r="R36" i="7"/>
  <c r="R29" i="7"/>
  <c r="Z22" i="7"/>
  <c r="F24" i="4"/>
  <c r="F22" i="4"/>
  <c r="F21" i="4"/>
  <c r="F20" i="4"/>
  <c r="F18" i="4"/>
  <c r="F16" i="4"/>
  <c r="D18" i="4"/>
  <c r="F15" i="4"/>
  <c r="L12" i="4"/>
  <c r="F36" i="4"/>
  <c r="F34" i="4"/>
  <c r="F33" i="4"/>
  <c r="F31" i="4"/>
  <c r="F29" i="4"/>
  <c r="F27" i="4"/>
  <c r="F25" i="4"/>
  <c r="L15" i="7"/>
  <c r="Z29" i="7"/>
  <c r="N33" i="8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N16" i="8"/>
  <c r="N24" i="8"/>
  <c r="Z29" i="8"/>
  <c r="Z33" i="8"/>
  <c r="L34" i="10"/>
  <c r="X12" i="4"/>
  <c r="P18" i="4"/>
  <c r="R15" i="4"/>
  <c r="R36" i="4"/>
  <c r="R34" i="4"/>
  <c r="R33" i="4"/>
  <c r="R31" i="4"/>
  <c r="R29" i="4"/>
  <c r="R27" i="4"/>
  <c r="R25" i="4"/>
  <c r="R24" i="4"/>
  <c r="R22" i="4"/>
  <c r="R21" i="4"/>
  <c r="R20" i="4"/>
  <c r="R18" i="4"/>
  <c r="R16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L22" i="8"/>
  <c r="N33" i="4"/>
  <c r="N13" i="5"/>
  <c r="N22" i="5"/>
  <c r="N29" i="5"/>
  <c r="N34" i="5"/>
  <c r="N29" i="8"/>
  <c r="L22" i="11"/>
  <c r="Z12" i="4"/>
  <c r="V36" i="4"/>
  <c r="V34" i="4"/>
  <c r="V33" i="4"/>
  <c r="V31" i="4"/>
  <c r="V29" i="4"/>
  <c r="V27" i="4"/>
  <c r="V25" i="4"/>
  <c r="V24" i="4"/>
  <c r="V22" i="4"/>
  <c r="V21" i="4"/>
  <c r="V20" i="4"/>
  <c r="V18" i="4"/>
  <c r="V16" i="4"/>
  <c r="T18" i="4"/>
  <c r="V15" i="4"/>
  <c r="L15" i="4"/>
  <c r="Z25" i="4"/>
  <c r="Z29" i="4"/>
  <c r="Z33" i="4"/>
  <c r="Z34" i="4"/>
  <c r="X12" i="5"/>
  <c r="R36" i="5"/>
  <c r="R34" i="5"/>
  <c r="R33" i="5"/>
  <c r="R31" i="5"/>
  <c r="R29" i="5"/>
  <c r="R27" i="5"/>
  <c r="R25" i="5"/>
  <c r="R24" i="5"/>
  <c r="R22" i="5"/>
  <c r="R21" i="5"/>
  <c r="R20" i="5"/>
  <c r="R18" i="5"/>
  <c r="R16" i="5"/>
  <c r="P18" i="5"/>
  <c r="R15" i="5"/>
  <c r="Z22" i="5"/>
  <c r="Z24" i="5"/>
  <c r="N13" i="7"/>
  <c r="N22" i="7"/>
  <c r="N24" i="7"/>
  <c r="L13" i="8"/>
  <c r="X24" i="8"/>
  <c r="N25" i="4"/>
  <c r="N24" i="5"/>
  <c r="N25" i="8"/>
  <c r="X16" i="4"/>
  <c r="X15" i="5"/>
  <c r="N33" i="5"/>
  <c r="T18" i="7"/>
  <c r="V15" i="7"/>
  <c r="V24" i="7"/>
  <c r="V22" i="7"/>
  <c r="V21" i="7"/>
  <c r="Z12" i="7"/>
  <c r="V36" i="7"/>
  <c r="V34" i="7"/>
  <c r="V33" i="7"/>
  <c r="V31" i="7"/>
  <c r="V29" i="7"/>
  <c r="V27" i="7"/>
  <c r="V25" i="7"/>
  <c r="V20" i="7"/>
  <c r="V18" i="7"/>
  <c r="V16" i="7"/>
  <c r="Z25" i="7"/>
  <c r="Z21" i="8"/>
  <c r="L16" i="4"/>
  <c r="L20" i="4"/>
  <c r="Z12" i="5"/>
  <c r="V36" i="5"/>
  <c r="V34" i="5"/>
  <c r="V33" i="5"/>
  <c r="V31" i="5"/>
  <c r="V29" i="5"/>
  <c r="V27" i="5"/>
  <c r="V25" i="5"/>
  <c r="V24" i="5"/>
  <c r="V22" i="5"/>
  <c r="V21" i="5"/>
  <c r="V20" i="5"/>
  <c r="V18" i="5"/>
  <c r="V16" i="5"/>
  <c r="T18" i="5"/>
  <c r="V15" i="5"/>
  <c r="L15" i="5"/>
  <c r="Z25" i="5"/>
  <c r="Z29" i="5"/>
  <c r="Z33" i="5"/>
  <c r="Z34" i="5"/>
  <c r="X15" i="7"/>
  <c r="N25" i="7"/>
  <c r="N29" i="7"/>
  <c r="N33" i="7"/>
  <c r="N34" i="7"/>
  <c r="N13" i="8"/>
  <c r="N22" i="8"/>
  <c r="Z24" i="8"/>
  <c r="N34" i="8"/>
  <c r="N15" i="4"/>
  <c r="L21" i="4"/>
  <c r="L16" i="5"/>
  <c r="L20" i="5"/>
  <c r="L12" i="7"/>
  <c r="F36" i="7"/>
  <c r="F34" i="7"/>
  <c r="F33" i="7"/>
  <c r="F31" i="7"/>
  <c r="F29" i="7"/>
  <c r="F27" i="7"/>
  <c r="F25" i="7"/>
  <c r="F24" i="7"/>
  <c r="F22" i="7"/>
  <c r="F21" i="7"/>
  <c r="F20" i="7"/>
  <c r="F18" i="7"/>
  <c r="F16" i="7"/>
  <c r="D18" i="7"/>
  <c r="F15" i="7"/>
  <c r="X16" i="7"/>
  <c r="X20" i="7"/>
  <c r="X15" i="8"/>
  <c r="Z16" i="8"/>
  <c r="N21" i="10"/>
  <c r="Z33" i="7"/>
  <c r="R24" i="8"/>
  <c r="R20" i="8"/>
  <c r="R18" i="8"/>
  <c r="R16" i="8"/>
  <c r="P18" i="8"/>
  <c r="R22" i="8"/>
  <c r="R34" i="8"/>
  <c r="R31" i="8"/>
  <c r="R27" i="8"/>
  <c r="R15" i="8"/>
  <c r="R21" i="8"/>
  <c r="R36" i="8"/>
  <c r="R33" i="8"/>
  <c r="R29" i="8"/>
  <c r="X12" i="8"/>
  <c r="R25" i="8"/>
  <c r="L29" i="10"/>
  <c r="N16" i="4"/>
  <c r="N20" i="4"/>
  <c r="L22" i="4"/>
  <c r="L24" i="4"/>
  <c r="N15" i="5"/>
  <c r="L21" i="5"/>
  <c r="J36" i="7"/>
  <c r="J34" i="7"/>
  <c r="J33" i="7"/>
  <c r="J31" i="7"/>
  <c r="J29" i="7"/>
  <c r="J27" i="7"/>
  <c r="J25" i="7"/>
  <c r="J24" i="7"/>
  <c r="J22" i="7"/>
  <c r="J21" i="7"/>
  <c r="J20" i="7"/>
  <c r="J18" i="7"/>
  <c r="J16" i="7"/>
  <c r="H18" i="7"/>
  <c r="J15" i="7"/>
  <c r="N12" i="7"/>
  <c r="X13" i="7"/>
  <c r="Z15" i="7"/>
  <c r="X21" i="7"/>
  <c r="F20" i="8"/>
  <c r="F18" i="8"/>
  <c r="F21" i="8"/>
  <c r="F29" i="8"/>
  <c r="F34" i="8"/>
  <c r="F31" i="8"/>
  <c r="F27" i="8"/>
  <c r="F22" i="8"/>
  <c r="D18" i="8"/>
  <c r="F36" i="8"/>
  <c r="F24" i="8"/>
  <c r="F16" i="8"/>
  <c r="F15" i="8"/>
  <c r="F25" i="8"/>
  <c r="L12" i="8"/>
  <c r="F33" i="8"/>
  <c r="N21" i="8"/>
  <c r="X22" i="8"/>
  <c r="N16" i="11"/>
  <c r="X20" i="4"/>
  <c r="Z34" i="7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J36" i="8"/>
  <c r="J34" i="8"/>
  <c r="J33" i="8"/>
  <c r="J31" i="8"/>
  <c r="J29" i="8"/>
  <c r="J27" i="8"/>
  <c r="J25" i="8"/>
  <c r="J21" i="8"/>
  <c r="J22" i="8"/>
  <c r="J24" i="8"/>
  <c r="J16" i="8"/>
  <c r="J15" i="8"/>
  <c r="N12" i="8"/>
  <c r="J18" i="8"/>
  <c r="H18" i="8"/>
  <c r="J20" i="8"/>
  <c r="X13" i="8"/>
  <c r="L20" i="8"/>
  <c r="Z34" i="8"/>
  <c r="N16" i="10"/>
  <c r="N20" i="10"/>
  <c r="L22" i="10"/>
  <c r="L24" i="10"/>
  <c r="N15" i="11"/>
  <c r="L21" i="11"/>
  <c r="L13" i="13"/>
  <c r="X16" i="13"/>
  <c r="L33" i="13"/>
  <c r="L15" i="14"/>
  <c r="N29" i="14"/>
  <c r="Z33" i="14"/>
  <c r="N16" i="16"/>
  <c r="X16" i="8"/>
  <c r="X20" i="8"/>
  <c r="N13" i="10"/>
  <c r="N22" i="10"/>
  <c r="N24" i="10"/>
  <c r="L13" i="11"/>
  <c r="N21" i="11"/>
  <c r="L25" i="11"/>
  <c r="L29" i="11"/>
  <c r="L33" i="11"/>
  <c r="L34" i="11"/>
  <c r="L29" i="13"/>
  <c r="L22" i="14"/>
  <c r="N25" i="14"/>
  <c r="Z29" i="14"/>
  <c r="N20" i="16"/>
  <c r="Z21" i="20"/>
  <c r="Z15" i="8"/>
  <c r="X21" i="8"/>
  <c r="X15" i="10"/>
  <c r="N25" i="10"/>
  <c r="N29" i="10"/>
  <c r="N33" i="10"/>
  <c r="N34" i="10"/>
  <c r="N13" i="11"/>
  <c r="N22" i="11"/>
  <c r="N24" i="11"/>
  <c r="N29" i="13"/>
  <c r="X33" i="13"/>
  <c r="X15" i="14"/>
  <c r="N22" i="14"/>
  <c r="N34" i="14"/>
  <c r="N15" i="17"/>
  <c r="F20" i="10"/>
  <c r="F18" i="10"/>
  <c r="F16" i="10"/>
  <c r="D18" i="10"/>
  <c r="F15" i="10"/>
  <c r="L12" i="10"/>
  <c r="F36" i="10"/>
  <c r="F34" i="10"/>
  <c r="F33" i="10"/>
  <c r="F31" i="10"/>
  <c r="F29" i="10"/>
  <c r="F27" i="10"/>
  <c r="F25" i="10"/>
  <c r="F21" i="10"/>
  <c r="F24" i="10"/>
  <c r="F22" i="10"/>
  <c r="X16" i="10"/>
  <c r="X20" i="10"/>
  <c r="X15" i="11"/>
  <c r="N25" i="11"/>
  <c r="N29" i="11"/>
  <c r="N33" i="11"/>
  <c r="N34" i="11"/>
  <c r="Z21" i="13"/>
  <c r="L25" i="13"/>
  <c r="N20" i="14"/>
  <c r="Z25" i="14"/>
  <c r="L22" i="16"/>
  <c r="X25" i="8"/>
  <c r="X29" i="8"/>
  <c r="X33" i="8"/>
  <c r="X34" i="8"/>
  <c r="N12" i="10"/>
  <c r="J36" i="10"/>
  <c r="J34" i="10"/>
  <c r="J33" i="10"/>
  <c r="J31" i="10"/>
  <c r="J29" i="10"/>
  <c r="J27" i="10"/>
  <c r="J25" i="10"/>
  <c r="J24" i="10"/>
  <c r="J22" i="10"/>
  <c r="J21" i="10"/>
  <c r="H18" i="10"/>
  <c r="J15" i="10"/>
  <c r="J20" i="10"/>
  <c r="J18" i="10"/>
  <c r="J16" i="10"/>
  <c r="X13" i="10"/>
  <c r="Z15" i="10"/>
  <c r="X21" i="10"/>
  <c r="D18" i="11"/>
  <c r="F15" i="11"/>
  <c r="L12" i="11"/>
  <c r="F36" i="11"/>
  <c r="F34" i="11"/>
  <c r="F33" i="11"/>
  <c r="F31" i="11"/>
  <c r="F29" i="11"/>
  <c r="F27" i="11"/>
  <c r="F25" i="11"/>
  <c r="F24" i="11"/>
  <c r="F22" i="11"/>
  <c r="F20" i="11"/>
  <c r="F18" i="11"/>
  <c r="F16" i="11"/>
  <c r="F21" i="11"/>
  <c r="X16" i="11"/>
  <c r="X20" i="11"/>
  <c r="N25" i="13"/>
  <c r="X29" i="13"/>
  <c r="L34" i="13"/>
  <c r="X22" i="14"/>
  <c r="Z34" i="14"/>
  <c r="L24" i="16"/>
  <c r="Z13" i="10"/>
  <c r="Z16" i="10"/>
  <c r="Z20" i="10"/>
  <c r="X22" i="10"/>
  <c r="X24" i="10"/>
  <c r="N12" i="11"/>
  <c r="J36" i="11"/>
  <c r="J34" i="11"/>
  <c r="J33" i="11"/>
  <c r="J31" i="11"/>
  <c r="J29" i="11"/>
  <c r="J27" i="11"/>
  <c r="J25" i="11"/>
  <c r="J24" i="11"/>
  <c r="J22" i="11"/>
  <c r="J21" i="11"/>
  <c r="J20" i="11"/>
  <c r="J18" i="11"/>
  <c r="J16" i="11"/>
  <c r="H18" i="11"/>
  <c r="J15" i="11"/>
  <c r="X13" i="11"/>
  <c r="Z15" i="11"/>
  <c r="X21" i="11"/>
  <c r="X15" i="13"/>
  <c r="N34" i="13"/>
  <c r="N16" i="14"/>
  <c r="Z21" i="10"/>
  <c r="X25" i="10"/>
  <c r="X29" i="10"/>
  <c r="X33" i="10"/>
  <c r="X34" i="10"/>
  <c r="Z13" i="11"/>
  <c r="Z16" i="11"/>
  <c r="Z20" i="11"/>
  <c r="X22" i="11"/>
  <c r="X24" i="11"/>
  <c r="L20" i="13"/>
  <c r="X25" i="13"/>
  <c r="Z12" i="14"/>
  <c r="V36" i="14"/>
  <c r="V34" i="14"/>
  <c r="V33" i="14"/>
  <c r="V31" i="14"/>
  <c r="V29" i="14"/>
  <c r="V27" i="14"/>
  <c r="V25" i="14"/>
  <c r="V21" i="14"/>
  <c r="V20" i="14"/>
  <c r="V18" i="14"/>
  <c r="V16" i="14"/>
  <c r="V24" i="14"/>
  <c r="V22" i="14"/>
  <c r="V15" i="14"/>
  <c r="T18" i="14"/>
  <c r="Z20" i="14"/>
  <c r="L24" i="14"/>
  <c r="L21" i="17"/>
  <c r="X12" i="10"/>
  <c r="R36" i="10"/>
  <c r="R34" i="10"/>
  <c r="R33" i="10"/>
  <c r="R31" i="10"/>
  <c r="R29" i="10"/>
  <c r="R27" i="10"/>
  <c r="R25" i="10"/>
  <c r="R24" i="10"/>
  <c r="R22" i="10"/>
  <c r="R21" i="10"/>
  <c r="R20" i="10"/>
  <c r="R18" i="10"/>
  <c r="R16" i="10"/>
  <c r="P18" i="10"/>
  <c r="R15" i="10"/>
  <c r="Z22" i="10"/>
  <c r="Z24" i="10"/>
  <c r="Z21" i="11"/>
  <c r="X25" i="11"/>
  <c r="X29" i="11"/>
  <c r="X33" i="11"/>
  <c r="X34" i="11"/>
  <c r="X34" i="13"/>
  <c r="N24" i="14"/>
  <c r="L21" i="8"/>
  <c r="Z12" i="10"/>
  <c r="V36" i="10"/>
  <c r="V34" i="10"/>
  <c r="V33" i="10"/>
  <c r="V31" i="10"/>
  <c r="V29" i="10"/>
  <c r="V27" i="10"/>
  <c r="V25" i="10"/>
  <c r="V24" i="10"/>
  <c r="V22" i="10"/>
  <c r="V21" i="10"/>
  <c r="V20" i="10"/>
  <c r="V18" i="10"/>
  <c r="V16" i="10"/>
  <c r="T18" i="10"/>
  <c r="V15" i="10"/>
  <c r="L15" i="10"/>
  <c r="Z25" i="10"/>
  <c r="Z29" i="10"/>
  <c r="Z33" i="10"/>
  <c r="Z34" i="10"/>
  <c r="X12" i="11"/>
  <c r="R36" i="11"/>
  <c r="R34" i="11"/>
  <c r="R33" i="11"/>
  <c r="R31" i="11"/>
  <c r="R29" i="11"/>
  <c r="R27" i="11"/>
  <c r="R25" i="11"/>
  <c r="R24" i="11"/>
  <c r="R22" i="11"/>
  <c r="R21" i="11"/>
  <c r="R20" i="11"/>
  <c r="R18" i="11"/>
  <c r="R16" i="11"/>
  <c r="P18" i="11"/>
  <c r="R15" i="11"/>
  <c r="Z22" i="11"/>
  <c r="Z24" i="11"/>
  <c r="F21" i="13"/>
  <c r="F20" i="13"/>
  <c r="F18" i="13"/>
  <c r="F16" i="13"/>
  <c r="L12" i="13"/>
  <c r="F36" i="13"/>
  <c r="F34" i="13"/>
  <c r="F33" i="13"/>
  <c r="F31" i="13"/>
  <c r="F29" i="13"/>
  <c r="F27" i="13"/>
  <c r="F25" i="13"/>
  <c r="F24" i="13"/>
  <c r="F22" i="13"/>
  <c r="F15" i="13"/>
  <c r="D18" i="13"/>
  <c r="L16" i="13"/>
  <c r="N13" i="14"/>
  <c r="Z16" i="14"/>
  <c r="L16" i="10"/>
  <c r="L20" i="10"/>
  <c r="V36" i="11"/>
  <c r="V34" i="11"/>
  <c r="V33" i="11"/>
  <c r="V31" i="11"/>
  <c r="V29" i="11"/>
  <c r="V27" i="11"/>
  <c r="V25" i="11"/>
  <c r="V24" i="11"/>
  <c r="V22" i="11"/>
  <c r="V21" i="11"/>
  <c r="V20" i="11"/>
  <c r="V18" i="11"/>
  <c r="V16" i="11"/>
  <c r="T18" i="11"/>
  <c r="V15" i="11"/>
  <c r="Z12" i="11"/>
  <c r="L15" i="11"/>
  <c r="Z25" i="11"/>
  <c r="Z29" i="11"/>
  <c r="Z33" i="11"/>
  <c r="Z34" i="11"/>
  <c r="X20" i="13"/>
  <c r="X24" i="14"/>
  <c r="N33" i="14"/>
  <c r="L25" i="8"/>
  <c r="L29" i="8"/>
  <c r="L33" i="8"/>
  <c r="L34" i="8"/>
  <c r="N15" i="10"/>
  <c r="L21" i="10"/>
  <c r="L16" i="11"/>
  <c r="L20" i="11"/>
  <c r="Z13" i="14"/>
  <c r="N13" i="13"/>
  <c r="N22" i="13"/>
  <c r="N24" i="13"/>
  <c r="L13" i="14"/>
  <c r="N21" i="14"/>
  <c r="L25" i="14"/>
  <c r="L29" i="14"/>
  <c r="L33" i="14"/>
  <c r="L34" i="14"/>
  <c r="N15" i="16"/>
  <c r="L21" i="16"/>
  <c r="L16" i="17"/>
  <c r="L20" i="17"/>
  <c r="N16" i="23"/>
  <c r="L22" i="25"/>
  <c r="L13" i="16"/>
  <c r="N21" i="16"/>
  <c r="L25" i="16"/>
  <c r="L29" i="16"/>
  <c r="L33" i="16"/>
  <c r="L34" i="16"/>
  <c r="N16" i="17"/>
  <c r="N20" i="17"/>
  <c r="L22" i="17"/>
  <c r="L24" i="17"/>
  <c r="X29" i="19"/>
  <c r="Z13" i="20"/>
  <c r="X22" i="20"/>
  <c r="H18" i="13"/>
  <c r="J15" i="13"/>
  <c r="J21" i="13"/>
  <c r="J27" i="13"/>
  <c r="J16" i="13"/>
  <c r="N12" i="13"/>
  <c r="J31" i="13"/>
  <c r="J20" i="13"/>
  <c r="J34" i="13"/>
  <c r="J22" i="13"/>
  <c r="J25" i="13"/>
  <c r="J29" i="13"/>
  <c r="J18" i="13"/>
  <c r="J33" i="13"/>
  <c r="J36" i="13"/>
  <c r="J24" i="13"/>
  <c r="X13" i="13"/>
  <c r="Z15" i="13"/>
  <c r="X21" i="13"/>
  <c r="F20" i="14"/>
  <c r="F18" i="14"/>
  <c r="F16" i="14"/>
  <c r="D18" i="14"/>
  <c r="F15" i="14"/>
  <c r="F24" i="14"/>
  <c r="F22" i="14"/>
  <c r="F29" i="14"/>
  <c r="F33" i="14"/>
  <c r="F21" i="14"/>
  <c r="F36" i="14"/>
  <c r="F27" i="14"/>
  <c r="L12" i="14"/>
  <c r="F31" i="14"/>
  <c r="F34" i="14"/>
  <c r="F25" i="14"/>
  <c r="X16" i="14"/>
  <c r="X20" i="14"/>
  <c r="N13" i="16"/>
  <c r="N22" i="16"/>
  <c r="N24" i="16"/>
  <c r="L13" i="17"/>
  <c r="N21" i="17"/>
  <c r="L25" i="17"/>
  <c r="L29" i="17"/>
  <c r="L33" i="17"/>
  <c r="L34" i="17"/>
  <c r="X33" i="20"/>
  <c r="X22" i="23"/>
  <c r="Z13" i="13"/>
  <c r="Z16" i="13"/>
  <c r="Z20" i="13"/>
  <c r="X22" i="13"/>
  <c r="X24" i="13"/>
  <c r="N12" i="14"/>
  <c r="J36" i="14"/>
  <c r="J34" i="14"/>
  <c r="J33" i="14"/>
  <c r="J31" i="14"/>
  <c r="J29" i="14"/>
  <c r="J27" i="14"/>
  <c r="J25" i="14"/>
  <c r="J20" i="14"/>
  <c r="J18" i="14"/>
  <c r="J16" i="14"/>
  <c r="H18" i="14"/>
  <c r="J21" i="14"/>
  <c r="J24" i="14"/>
  <c r="J22" i="14"/>
  <c r="J15" i="14"/>
  <c r="X13" i="14"/>
  <c r="Z15" i="14"/>
  <c r="X21" i="14"/>
  <c r="X15" i="16"/>
  <c r="N25" i="16"/>
  <c r="N29" i="16"/>
  <c r="N33" i="16"/>
  <c r="N34" i="16"/>
  <c r="N13" i="17"/>
  <c r="N22" i="17"/>
  <c r="N24" i="17"/>
  <c r="Z21" i="19"/>
  <c r="X24" i="20"/>
  <c r="D18" i="16"/>
  <c r="F15" i="16"/>
  <c r="L12" i="16"/>
  <c r="F36" i="16"/>
  <c r="F34" i="16"/>
  <c r="F33" i="16"/>
  <c r="F31" i="16"/>
  <c r="F29" i="16"/>
  <c r="F27" i="16"/>
  <c r="F25" i="16"/>
  <c r="F24" i="16"/>
  <c r="F22" i="16"/>
  <c r="F20" i="16"/>
  <c r="F18" i="16"/>
  <c r="F16" i="16"/>
  <c r="F21" i="16"/>
  <c r="X16" i="16"/>
  <c r="X20" i="16"/>
  <c r="X15" i="17"/>
  <c r="N25" i="17"/>
  <c r="N29" i="17"/>
  <c r="N33" i="17"/>
  <c r="N34" i="17"/>
  <c r="R21" i="19"/>
  <c r="R20" i="19"/>
  <c r="R18" i="19"/>
  <c r="R16" i="19"/>
  <c r="P18" i="19"/>
  <c r="R15" i="19"/>
  <c r="X12" i="19"/>
  <c r="R36" i="19"/>
  <c r="R25" i="19"/>
  <c r="R34" i="19"/>
  <c r="R24" i="19"/>
  <c r="R33" i="19"/>
  <c r="R22" i="19"/>
  <c r="R31" i="19"/>
  <c r="R29" i="19"/>
  <c r="R27" i="19"/>
  <c r="X34" i="20"/>
  <c r="R36" i="13"/>
  <c r="R34" i="13"/>
  <c r="R33" i="13"/>
  <c r="R31" i="13"/>
  <c r="R29" i="13"/>
  <c r="R27" i="13"/>
  <c r="R25" i="13"/>
  <c r="R21" i="13"/>
  <c r="R20" i="13"/>
  <c r="R18" i="13"/>
  <c r="R16" i="13"/>
  <c r="X12" i="13"/>
  <c r="R22" i="13"/>
  <c r="R15" i="13"/>
  <c r="P18" i="13"/>
  <c r="R24" i="13"/>
  <c r="Z22" i="13"/>
  <c r="Z24" i="13"/>
  <c r="Z21" i="14"/>
  <c r="X25" i="14"/>
  <c r="X29" i="14"/>
  <c r="X33" i="14"/>
  <c r="X34" i="14"/>
  <c r="N12" i="16"/>
  <c r="J36" i="16"/>
  <c r="J34" i="16"/>
  <c r="J33" i="16"/>
  <c r="J31" i="16"/>
  <c r="J29" i="16"/>
  <c r="J27" i="16"/>
  <c r="J25" i="16"/>
  <c r="J24" i="16"/>
  <c r="J22" i="16"/>
  <c r="J21" i="16"/>
  <c r="J20" i="16"/>
  <c r="J18" i="16"/>
  <c r="J16" i="16"/>
  <c r="J15" i="16"/>
  <c r="H18" i="16"/>
  <c r="X13" i="16"/>
  <c r="Z15" i="16"/>
  <c r="X21" i="16"/>
  <c r="L12" i="17"/>
  <c r="F36" i="17"/>
  <c r="F34" i="17"/>
  <c r="F33" i="17"/>
  <c r="F31" i="17"/>
  <c r="F29" i="17"/>
  <c r="F27" i="17"/>
  <c r="F25" i="17"/>
  <c r="F24" i="17"/>
  <c r="F22" i="17"/>
  <c r="F21" i="17"/>
  <c r="D18" i="17"/>
  <c r="F15" i="17"/>
  <c r="F20" i="17"/>
  <c r="F18" i="17"/>
  <c r="F16" i="17"/>
  <c r="X16" i="17"/>
  <c r="X20" i="17"/>
  <c r="X33" i="19"/>
  <c r="Z16" i="20"/>
  <c r="Z12" i="13"/>
  <c r="V24" i="13"/>
  <c r="V22" i="13"/>
  <c r="V21" i="13"/>
  <c r="T18" i="13"/>
  <c r="V15" i="13"/>
  <c r="V31" i="13"/>
  <c r="V20" i="13"/>
  <c r="V34" i="13"/>
  <c r="V25" i="13"/>
  <c r="V29" i="13"/>
  <c r="V18" i="13"/>
  <c r="V33" i="13"/>
  <c r="V36" i="13"/>
  <c r="V16" i="13"/>
  <c r="V27" i="13"/>
  <c r="L15" i="13"/>
  <c r="Z25" i="13"/>
  <c r="Z29" i="13"/>
  <c r="Z33" i="13"/>
  <c r="Z34" i="13"/>
  <c r="X12" i="14"/>
  <c r="R36" i="14"/>
  <c r="R34" i="14"/>
  <c r="R33" i="14"/>
  <c r="R31" i="14"/>
  <c r="R29" i="14"/>
  <c r="R27" i="14"/>
  <c r="R25" i="14"/>
  <c r="R24" i="14"/>
  <c r="R22" i="14"/>
  <c r="R20" i="14"/>
  <c r="R18" i="14"/>
  <c r="R16" i="14"/>
  <c r="P18" i="14"/>
  <c r="R15" i="14"/>
  <c r="R21" i="14"/>
  <c r="Z22" i="14"/>
  <c r="Z24" i="14"/>
  <c r="Z13" i="16"/>
  <c r="Z16" i="16"/>
  <c r="Z20" i="16"/>
  <c r="X22" i="16"/>
  <c r="X24" i="16"/>
  <c r="N12" i="17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H18" i="17"/>
  <c r="J15" i="17"/>
  <c r="X13" i="17"/>
  <c r="Z15" i="17"/>
  <c r="X21" i="17"/>
  <c r="Z22" i="19"/>
  <c r="X25" i="20"/>
  <c r="Z21" i="16"/>
  <c r="X25" i="16"/>
  <c r="X29" i="16"/>
  <c r="X33" i="16"/>
  <c r="X34" i="16"/>
  <c r="Z13" i="17"/>
  <c r="Z16" i="17"/>
  <c r="Z20" i="17"/>
  <c r="X22" i="17"/>
  <c r="X24" i="17"/>
  <c r="X34" i="19"/>
  <c r="V27" i="22"/>
  <c r="V20" i="22"/>
  <c r="V18" i="22"/>
  <c r="V16" i="22"/>
  <c r="V36" i="22"/>
  <c r="T18" i="22"/>
  <c r="V15" i="22"/>
  <c r="V29" i="22"/>
  <c r="V31" i="22"/>
  <c r="V33" i="22"/>
  <c r="Z12" i="22"/>
  <c r="V34" i="22"/>
  <c r="V21" i="22"/>
  <c r="V25" i="22"/>
  <c r="V24" i="22"/>
  <c r="V22" i="22"/>
  <c r="N15" i="13"/>
  <c r="L21" i="13"/>
  <c r="L16" i="14"/>
  <c r="L20" i="14"/>
  <c r="X12" i="16"/>
  <c r="R36" i="16"/>
  <c r="R34" i="16"/>
  <c r="R33" i="16"/>
  <c r="R31" i="16"/>
  <c r="R29" i="16"/>
  <c r="R27" i="16"/>
  <c r="R25" i="16"/>
  <c r="R24" i="16"/>
  <c r="R22" i="16"/>
  <c r="R21" i="16"/>
  <c r="R20" i="16"/>
  <c r="R18" i="16"/>
  <c r="R16" i="16"/>
  <c r="P18" i="16"/>
  <c r="R15" i="16"/>
  <c r="Z22" i="16"/>
  <c r="Z24" i="16"/>
  <c r="Z21" i="17"/>
  <c r="X25" i="17"/>
  <c r="X29" i="17"/>
  <c r="X33" i="17"/>
  <c r="X34" i="17"/>
  <c r="Z24" i="19"/>
  <c r="L15" i="22"/>
  <c r="X34" i="22"/>
  <c r="N16" i="13"/>
  <c r="N20" i="13"/>
  <c r="L22" i="13"/>
  <c r="L24" i="13"/>
  <c r="N15" i="14"/>
  <c r="L21" i="14"/>
  <c r="V36" i="16"/>
  <c r="V34" i="16"/>
  <c r="V33" i="16"/>
  <c r="V31" i="16"/>
  <c r="V29" i="16"/>
  <c r="V27" i="16"/>
  <c r="V25" i="16"/>
  <c r="V24" i="16"/>
  <c r="V22" i="16"/>
  <c r="V21" i="16"/>
  <c r="V20" i="16"/>
  <c r="V18" i="16"/>
  <c r="V16" i="16"/>
  <c r="T18" i="16"/>
  <c r="V15" i="16"/>
  <c r="Z12" i="16"/>
  <c r="L15" i="16"/>
  <c r="Z25" i="16"/>
  <c r="Z29" i="16"/>
  <c r="Z33" i="16"/>
  <c r="Z34" i="16"/>
  <c r="R36" i="17"/>
  <c r="R34" i="17"/>
  <c r="R33" i="17"/>
  <c r="R31" i="17"/>
  <c r="R29" i="17"/>
  <c r="R27" i="17"/>
  <c r="R25" i="17"/>
  <c r="R24" i="17"/>
  <c r="R22" i="17"/>
  <c r="R21" i="17"/>
  <c r="R20" i="17"/>
  <c r="R18" i="17"/>
  <c r="R16" i="17"/>
  <c r="P18" i="17"/>
  <c r="R15" i="17"/>
  <c r="X12" i="17"/>
  <c r="Z22" i="17"/>
  <c r="Z24" i="17"/>
  <c r="X25" i="19"/>
  <c r="Z20" i="20"/>
  <c r="L16" i="16"/>
  <c r="L20" i="16"/>
  <c r="V24" i="17"/>
  <c r="V22" i="17"/>
  <c r="V21" i="17"/>
  <c r="V20" i="17"/>
  <c r="V18" i="17"/>
  <c r="V16" i="17"/>
  <c r="T18" i="17"/>
  <c r="V15" i="17"/>
  <c r="V36" i="17"/>
  <c r="V34" i="17"/>
  <c r="V33" i="17"/>
  <c r="V31" i="17"/>
  <c r="V29" i="17"/>
  <c r="V27" i="17"/>
  <c r="V25" i="17"/>
  <c r="Z12" i="17"/>
  <c r="L15" i="17"/>
  <c r="Z25" i="17"/>
  <c r="Z29" i="17"/>
  <c r="Z33" i="17"/>
  <c r="Z34" i="17"/>
  <c r="X29" i="20"/>
  <c r="Z13" i="23"/>
  <c r="R36" i="22"/>
  <c r="R34" i="22"/>
  <c r="R33" i="22"/>
  <c r="R31" i="22"/>
  <c r="R29" i="22"/>
  <c r="R27" i="22"/>
  <c r="R25" i="22"/>
  <c r="R24" i="22"/>
  <c r="R22" i="22"/>
  <c r="R21" i="22"/>
  <c r="R20" i="22"/>
  <c r="R18" i="22"/>
  <c r="R16" i="22"/>
  <c r="P18" i="22"/>
  <c r="R15" i="22"/>
  <c r="X12" i="22"/>
  <c r="Z22" i="22"/>
  <c r="Z24" i="22"/>
  <c r="Z25" i="22"/>
  <c r="X13" i="23"/>
  <c r="L21" i="23"/>
  <c r="N24" i="26"/>
  <c r="N33" i="28"/>
  <c r="T18" i="19"/>
  <c r="V15" i="19"/>
  <c r="Z12" i="19"/>
  <c r="V36" i="19"/>
  <c r="V34" i="19"/>
  <c r="V33" i="19"/>
  <c r="V31" i="19"/>
  <c r="V29" i="19"/>
  <c r="V27" i="19"/>
  <c r="V25" i="19"/>
  <c r="V24" i="19"/>
  <c r="V22" i="19"/>
  <c r="V16" i="19"/>
  <c r="V21" i="19"/>
  <c r="V20" i="19"/>
  <c r="V18" i="19"/>
  <c r="L15" i="19"/>
  <c r="Z25" i="19"/>
  <c r="Z29" i="19"/>
  <c r="Z33" i="19"/>
  <c r="Z34" i="19"/>
  <c r="R20" i="20"/>
  <c r="R18" i="20"/>
  <c r="R16" i="20"/>
  <c r="P18" i="20"/>
  <c r="R15" i="20"/>
  <c r="X12" i="20"/>
  <c r="R36" i="20"/>
  <c r="R34" i="20"/>
  <c r="R33" i="20"/>
  <c r="R31" i="20"/>
  <c r="R29" i="20"/>
  <c r="R27" i="20"/>
  <c r="R25" i="20"/>
  <c r="R24" i="20"/>
  <c r="R22" i="20"/>
  <c r="R21" i="20"/>
  <c r="Z22" i="20"/>
  <c r="Z24" i="20"/>
  <c r="L16" i="22"/>
  <c r="L20" i="22"/>
  <c r="L29" i="22"/>
  <c r="L15" i="23"/>
  <c r="N21" i="23"/>
  <c r="L25" i="23"/>
  <c r="N33" i="25"/>
  <c r="L16" i="19"/>
  <c r="L20" i="19"/>
  <c r="Z12" i="20"/>
  <c r="V36" i="20"/>
  <c r="V34" i="20"/>
  <c r="V33" i="20"/>
  <c r="V31" i="20"/>
  <c r="V29" i="20"/>
  <c r="V27" i="20"/>
  <c r="V25" i="20"/>
  <c r="V24" i="20"/>
  <c r="V22" i="20"/>
  <c r="V21" i="20"/>
  <c r="V20" i="20"/>
  <c r="V18" i="20"/>
  <c r="T18" i="20"/>
  <c r="V16" i="20"/>
  <c r="V15" i="20"/>
  <c r="L15" i="20"/>
  <c r="Z25" i="20"/>
  <c r="Z29" i="20"/>
  <c r="Z33" i="20"/>
  <c r="Z34" i="20"/>
  <c r="N15" i="22"/>
  <c r="L21" i="22"/>
  <c r="X33" i="22"/>
  <c r="L20" i="23"/>
  <c r="N25" i="23"/>
  <c r="L34" i="23"/>
  <c r="L24" i="25"/>
  <c r="N15" i="19"/>
  <c r="L21" i="19"/>
  <c r="L16" i="20"/>
  <c r="L20" i="20"/>
  <c r="N16" i="22"/>
  <c r="N20" i="22"/>
  <c r="L22" i="22"/>
  <c r="L24" i="22"/>
  <c r="Z33" i="22"/>
  <c r="N12" i="23"/>
  <c r="J36" i="23"/>
  <c r="J34" i="23"/>
  <c r="J33" i="23"/>
  <c r="J31" i="23"/>
  <c r="J29" i="23"/>
  <c r="J27" i="23"/>
  <c r="J25" i="23"/>
  <c r="J21" i="23"/>
  <c r="J22" i="23"/>
  <c r="J18" i="23"/>
  <c r="H18" i="23"/>
  <c r="J24" i="23"/>
  <c r="J20" i="23"/>
  <c r="J15" i="23"/>
  <c r="J16" i="23"/>
  <c r="N15" i="23"/>
  <c r="X21" i="23"/>
  <c r="N34" i="23"/>
  <c r="X15" i="25"/>
  <c r="N34" i="25"/>
  <c r="N16" i="19"/>
  <c r="N20" i="19"/>
  <c r="L22" i="19"/>
  <c r="L24" i="19"/>
  <c r="N15" i="20"/>
  <c r="L21" i="20"/>
  <c r="L13" i="22"/>
  <c r="N21" i="22"/>
  <c r="L25" i="22"/>
  <c r="Z16" i="23"/>
  <c r="N20" i="23"/>
  <c r="L24" i="23"/>
  <c r="N16" i="25"/>
  <c r="Z12" i="31"/>
  <c r="V34" i="31"/>
  <c r="V33" i="31"/>
  <c r="V31" i="31"/>
  <c r="V29" i="31"/>
  <c r="V27" i="31"/>
  <c r="V25" i="31"/>
  <c r="V36" i="31"/>
  <c r="V21" i="31"/>
  <c r="V20" i="31"/>
  <c r="V18" i="31"/>
  <c r="V16" i="31"/>
  <c r="T18" i="31"/>
  <c r="V15" i="31"/>
  <c r="V24" i="31"/>
  <c r="V22" i="31"/>
  <c r="L13" i="19"/>
  <c r="N21" i="19"/>
  <c r="L25" i="19"/>
  <c r="L29" i="19"/>
  <c r="L33" i="19"/>
  <c r="L34" i="19"/>
  <c r="N16" i="20"/>
  <c r="N20" i="20"/>
  <c r="L22" i="20"/>
  <c r="L24" i="20"/>
  <c r="N13" i="22"/>
  <c r="N22" i="22"/>
  <c r="N24" i="22"/>
  <c r="V21" i="23"/>
  <c r="V20" i="23"/>
  <c r="V18" i="23"/>
  <c r="V16" i="23"/>
  <c r="V29" i="23"/>
  <c r="V24" i="23"/>
  <c r="V15" i="23"/>
  <c r="Z12" i="23"/>
  <c r="V34" i="23"/>
  <c r="V25" i="23"/>
  <c r="V31" i="23"/>
  <c r="V27" i="23"/>
  <c r="V36" i="23"/>
  <c r="V22" i="23"/>
  <c r="V33" i="23"/>
  <c r="T18" i="23"/>
  <c r="Z25" i="23"/>
  <c r="L29" i="23"/>
  <c r="Z34" i="23"/>
  <c r="N25" i="25"/>
  <c r="N13" i="19"/>
  <c r="N22" i="19"/>
  <c r="N24" i="19"/>
  <c r="L13" i="20"/>
  <c r="N21" i="20"/>
  <c r="L25" i="20"/>
  <c r="L29" i="20"/>
  <c r="L33" i="20"/>
  <c r="L34" i="20"/>
  <c r="X15" i="22"/>
  <c r="N25" i="22"/>
  <c r="X29" i="22"/>
  <c r="X15" i="23"/>
  <c r="N29" i="23"/>
  <c r="L21" i="26"/>
  <c r="X15" i="19"/>
  <c r="N25" i="19"/>
  <c r="N29" i="19"/>
  <c r="N33" i="19"/>
  <c r="N34" i="19"/>
  <c r="N13" i="20"/>
  <c r="N22" i="20"/>
  <c r="N24" i="20"/>
  <c r="F33" i="22"/>
  <c r="L12" i="22"/>
  <c r="F34" i="22"/>
  <c r="F36" i="22"/>
  <c r="F25" i="22"/>
  <c r="F27" i="22"/>
  <c r="F24" i="22"/>
  <c r="F22" i="22"/>
  <c r="F21" i="22"/>
  <c r="F29" i="22"/>
  <c r="F20" i="22"/>
  <c r="F18" i="22"/>
  <c r="F16" i="22"/>
  <c r="D18" i="22"/>
  <c r="F15" i="22"/>
  <c r="F31" i="22"/>
  <c r="X16" i="22"/>
  <c r="X20" i="22"/>
  <c r="Z29" i="22"/>
  <c r="L34" i="22"/>
  <c r="Z15" i="23"/>
  <c r="L33" i="23"/>
  <c r="L12" i="19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D18" i="19"/>
  <c r="F15" i="19"/>
  <c r="X16" i="19"/>
  <c r="X20" i="19"/>
  <c r="X15" i="20"/>
  <c r="N25" i="20"/>
  <c r="N29" i="20"/>
  <c r="N33" i="20"/>
  <c r="N34" i="20"/>
  <c r="N12" i="22"/>
  <c r="J34" i="22"/>
  <c r="J25" i="22"/>
  <c r="J36" i="22"/>
  <c r="J24" i="22"/>
  <c r="J22" i="22"/>
  <c r="J27" i="22"/>
  <c r="J21" i="22"/>
  <c r="J20" i="22"/>
  <c r="J18" i="22"/>
  <c r="J16" i="22"/>
  <c r="J29" i="22"/>
  <c r="H18" i="22"/>
  <c r="J15" i="22"/>
  <c r="J31" i="22"/>
  <c r="J33" i="22"/>
  <c r="X13" i="22"/>
  <c r="Z15" i="22"/>
  <c r="X21" i="22"/>
  <c r="Z20" i="23"/>
  <c r="L22" i="23"/>
  <c r="X24" i="23"/>
  <c r="Z29" i="23"/>
  <c r="N33" i="23"/>
  <c r="N20" i="25"/>
  <c r="N21" i="28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H18" i="19"/>
  <c r="J15" i="19"/>
  <c r="N12" i="19"/>
  <c r="X13" i="19"/>
  <c r="Z15" i="19"/>
  <c r="X21" i="19"/>
  <c r="F36" i="20"/>
  <c r="F34" i="20"/>
  <c r="F33" i="20"/>
  <c r="F31" i="20"/>
  <c r="F29" i="20"/>
  <c r="F27" i="20"/>
  <c r="F25" i="20"/>
  <c r="F24" i="20"/>
  <c r="F22" i="20"/>
  <c r="F21" i="20"/>
  <c r="F20" i="20"/>
  <c r="F18" i="20"/>
  <c r="F16" i="20"/>
  <c r="D18" i="20"/>
  <c r="F15" i="20"/>
  <c r="L12" i="20"/>
  <c r="X16" i="20"/>
  <c r="X20" i="20"/>
  <c r="Z13" i="22"/>
  <c r="Z16" i="22"/>
  <c r="Z20" i="22"/>
  <c r="X22" i="22"/>
  <c r="X24" i="22"/>
  <c r="L33" i="22"/>
  <c r="L13" i="23"/>
  <c r="N29" i="25"/>
  <c r="N13" i="26"/>
  <c r="N22" i="26"/>
  <c r="Z13" i="19"/>
  <c r="Z16" i="19"/>
  <c r="Z20" i="19"/>
  <c r="X22" i="19"/>
  <c r="X24" i="19"/>
  <c r="J36" i="20"/>
  <c r="J34" i="20"/>
  <c r="J33" i="20"/>
  <c r="J31" i="20"/>
  <c r="J29" i="20"/>
  <c r="J27" i="20"/>
  <c r="J25" i="20"/>
  <c r="J24" i="20"/>
  <c r="J22" i="20"/>
  <c r="J21" i="20"/>
  <c r="J20" i="20"/>
  <c r="J18" i="20"/>
  <c r="J16" i="20"/>
  <c r="H18" i="20"/>
  <c r="J15" i="20"/>
  <c r="N12" i="20"/>
  <c r="X13" i="20"/>
  <c r="Z15" i="20"/>
  <c r="X21" i="20"/>
  <c r="Z21" i="22"/>
  <c r="X25" i="22"/>
  <c r="L16" i="23"/>
  <c r="Z33" i="23"/>
  <c r="N15" i="26"/>
  <c r="X20" i="28"/>
  <c r="X24" i="29"/>
  <c r="N33" i="29"/>
  <c r="Z25" i="31"/>
  <c r="L13" i="25"/>
  <c r="N21" i="25"/>
  <c r="L25" i="25"/>
  <c r="L29" i="25"/>
  <c r="L33" i="25"/>
  <c r="L34" i="25"/>
  <c r="N16" i="26"/>
  <c r="N20" i="26"/>
  <c r="L22" i="26"/>
  <c r="L24" i="26"/>
  <c r="Z13" i="29"/>
  <c r="N13" i="25"/>
  <c r="N22" i="25"/>
  <c r="N24" i="25"/>
  <c r="L13" i="26"/>
  <c r="N21" i="26"/>
  <c r="L25" i="26"/>
  <c r="L29" i="26"/>
  <c r="L33" i="26"/>
  <c r="L34" i="26"/>
  <c r="L13" i="28"/>
  <c r="X16" i="28"/>
  <c r="L33" i="28"/>
  <c r="L15" i="29"/>
  <c r="N29" i="29"/>
  <c r="Z33" i="29"/>
  <c r="Z29" i="31"/>
  <c r="N29" i="22"/>
  <c r="N33" i="22"/>
  <c r="N34" i="22"/>
  <c r="N13" i="23"/>
  <c r="N22" i="23"/>
  <c r="N24" i="23"/>
  <c r="F20" i="25"/>
  <c r="F18" i="25"/>
  <c r="F16" i="25"/>
  <c r="D18" i="25"/>
  <c r="F15" i="25"/>
  <c r="L12" i="25"/>
  <c r="F36" i="25"/>
  <c r="F34" i="25"/>
  <c r="F33" i="25"/>
  <c r="F31" i="25"/>
  <c r="F29" i="25"/>
  <c r="F27" i="25"/>
  <c r="F25" i="25"/>
  <c r="F24" i="25"/>
  <c r="F22" i="25"/>
  <c r="F21" i="25"/>
  <c r="X16" i="25"/>
  <c r="X20" i="25"/>
  <c r="X15" i="26"/>
  <c r="N25" i="26"/>
  <c r="N29" i="26"/>
  <c r="N33" i="26"/>
  <c r="N34" i="26"/>
  <c r="L29" i="28"/>
  <c r="L22" i="29"/>
  <c r="N25" i="29"/>
  <c r="Z29" i="29"/>
  <c r="L15" i="31"/>
  <c r="Z33" i="31"/>
  <c r="N12" i="25"/>
  <c r="J36" i="25"/>
  <c r="J34" i="25"/>
  <c r="J33" i="25"/>
  <c r="J31" i="25"/>
  <c r="J29" i="25"/>
  <c r="J27" i="25"/>
  <c r="J25" i="25"/>
  <c r="J21" i="25"/>
  <c r="J20" i="25"/>
  <c r="J18" i="25"/>
  <c r="J16" i="25"/>
  <c r="H18" i="25"/>
  <c r="J24" i="25"/>
  <c r="J15" i="25"/>
  <c r="J22" i="25"/>
  <c r="X13" i="25"/>
  <c r="Z15" i="25"/>
  <c r="X21" i="25"/>
  <c r="D18" i="26"/>
  <c r="F15" i="26"/>
  <c r="L12" i="26"/>
  <c r="F24" i="26"/>
  <c r="F22" i="26"/>
  <c r="F21" i="26"/>
  <c r="F33" i="26"/>
  <c r="F31" i="26"/>
  <c r="F29" i="26"/>
  <c r="F20" i="26"/>
  <c r="F27" i="26"/>
  <c r="F18" i="26"/>
  <c r="F25" i="26"/>
  <c r="F34" i="26"/>
  <c r="F36" i="26"/>
  <c r="F16" i="26"/>
  <c r="X16" i="26"/>
  <c r="X20" i="26"/>
  <c r="N29" i="28"/>
  <c r="X33" i="28"/>
  <c r="X15" i="29"/>
  <c r="N22" i="29"/>
  <c r="N34" i="29"/>
  <c r="Z34" i="31"/>
  <c r="F36" i="23"/>
  <c r="F34" i="23"/>
  <c r="F33" i="23"/>
  <c r="F31" i="23"/>
  <c r="F29" i="23"/>
  <c r="F27" i="23"/>
  <c r="F25" i="23"/>
  <c r="F22" i="23"/>
  <c r="F18" i="23"/>
  <c r="D18" i="23"/>
  <c r="F24" i="23"/>
  <c r="L12" i="23"/>
  <c r="F20" i="23"/>
  <c r="F15" i="23"/>
  <c r="F16" i="23"/>
  <c r="F21" i="23"/>
  <c r="X16" i="23"/>
  <c r="X20" i="23"/>
  <c r="Z13" i="25"/>
  <c r="Z16" i="25"/>
  <c r="Z20" i="25"/>
  <c r="X22" i="25"/>
  <c r="X24" i="25"/>
  <c r="N12" i="26"/>
  <c r="J36" i="26"/>
  <c r="J34" i="26"/>
  <c r="J33" i="26"/>
  <c r="J31" i="26"/>
  <c r="J29" i="26"/>
  <c r="J27" i="26"/>
  <c r="J25" i="26"/>
  <c r="J24" i="26"/>
  <c r="J22" i="26"/>
  <c r="J20" i="26"/>
  <c r="J18" i="26"/>
  <c r="J16" i="26"/>
  <c r="H18" i="26"/>
  <c r="J15" i="26"/>
  <c r="J21" i="26"/>
  <c r="X13" i="26"/>
  <c r="Z15" i="26"/>
  <c r="X21" i="26"/>
  <c r="Z21" i="28"/>
  <c r="L25" i="28"/>
  <c r="N20" i="29"/>
  <c r="Z25" i="29"/>
  <c r="Z21" i="25"/>
  <c r="X25" i="25"/>
  <c r="X29" i="25"/>
  <c r="X33" i="25"/>
  <c r="X34" i="25"/>
  <c r="Z13" i="26"/>
  <c r="Z16" i="26"/>
  <c r="Z20" i="26"/>
  <c r="X22" i="26"/>
  <c r="X24" i="26"/>
  <c r="N25" i="28"/>
  <c r="X29" i="28"/>
  <c r="L34" i="28"/>
  <c r="X22" i="29"/>
  <c r="Z34" i="29"/>
  <c r="X12" i="25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P18" i="25"/>
  <c r="R15" i="25"/>
  <c r="Z22" i="25"/>
  <c r="Z24" i="25"/>
  <c r="Z21" i="26"/>
  <c r="X25" i="26"/>
  <c r="X29" i="26"/>
  <c r="X33" i="26"/>
  <c r="X34" i="26"/>
  <c r="X15" i="28"/>
  <c r="N34" i="28"/>
  <c r="N16" i="29"/>
  <c r="Z15" i="32"/>
  <c r="Z21" i="23"/>
  <c r="X25" i="23"/>
  <c r="X29" i="23"/>
  <c r="X33" i="23"/>
  <c r="X34" i="23"/>
  <c r="Z12" i="25"/>
  <c r="V36" i="25"/>
  <c r="V34" i="25"/>
  <c r="V33" i="25"/>
  <c r="V31" i="25"/>
  <c r="V29" i="25"/>
  <c r="V27" i="25"/>
  <c r="V25" i="25"/>
  <c r="V24" i="25"/>
  <c r="V22" i="25"/>
  <c r="V21" i="25"/>
  <c r="V20" i="25"/>
  <c r="V18" i="25"/>
  <c r="V16" i="25"/>
  <c r="T18" i="25"/>
  <c r="V15" i="25"/>
  <c r="L15" i="25"/>
  <c r="Z25" i="25"/>
  <c r="Z29" i="25"/>
  <c r="Z33" i="25"/>
  <c r="Z34" i="25"/>
  <c r="X12" i="26"/>
  <c r="R36" i="26"/>
  <c r="R34" i="26"/>
  <c r="R33" i="26"/>
  <c r="R31" i="26"/>
  <c r="R29" i="26"/>
  <c r="R27" i="26"/>
  <c r="R25" i="26"/>
  <c r="R24" i="26"/>
  <c r="R22" i="26"/>
  <c r="R21" i="26"/>
  <c r="R20" i="26"/>
  <c r="R18" i="26"/>
  <c r="R16" i="26"/>
  <c r="P18" i="26"/>
  <c r="R15" i="26"/>
  <c r="Z22" i="26"/>
  <c r="Z24" i="26"/>
  <c r="L20" i="28"/>
  <c r="X25" i="28"/>
  <c r="Z12" i="29"/>
  <c r="V36" i="29"/>
  <c r="V34" i="29"/>
  <c r="V33" i="29"/>
  <c r="V31" i="29"/>
  <c r="V29" i="29"/>
  <c r="V27" i="29"/>
  <c r="V25" i="29"/>
  <c r="V21" i="29"/>
  <c r="V20" i="29"/>
  <c r="V18" i="29"/>
  <c r="V16" i="29"/>
  <c r="V22" i="29"/>
  <c r="V15" i="29"/>
  <c r="T18" i="29"/>
  <c r="V24" i="29"/>
  <c r="Z20" i="29"/>
  <c r="L24" i="29"/>
  <c r="Z34" i="22"/>
  <c r="R36" i="23"/>
  <c r="R34" i="23"/>
  <c r="R33" i="23"/>
  <c r="R31" i="23"/>
  <c r="R29" i="23"/>
  <c r="R27" i="23"/>
  <c r="R25" i="23"/>
  <c r="R24" i="23"/>
  <c r="R22" i="23"/>
  <c r="P18" i="23"/>
  <c r="R15" i="23"/>
  <c r="R20" i="23"/>
  <c r="X12" i="23"/>
  <c r="R21" i="23"/>
  <c r="R16" i="23"/>
  <c r="R18" i="23"/>
  <c r="Z22" i="23"/>
  <c r="Z24" i="23"/>
  <c r="L16" i="25"/>
  <c r="L20" i="25"/>
  <c r="V36" i="26"/>
  <c r="V34" i="26"/>
  <c r="V33" i="26"/>
  <c r="V31" i="26"/>
  <c r="V29" i="26"/>
  <c r="V27" i="26"/>
  <c r="V25" i="26"/>
  <c r="V24" i="26"/>
  <c r="V22" i="26"/>
  <c r="V21" i="26"/>
  <c r="V20" i="26"/>
  <c r="V18" i="26"/>
  <c r="V16" i="26"/>
  <c r="T18" i="26"/>
  <c r="V15" i="26"/>
  <c r="Z12" i="26"/>
  <c r="L15" i="26"/>
  <c r="Z25" i="26"/>
  <c r="Z29" i="26"/>
  <c r="Z33" i="26"/>
  <c r="Z34" i="26"/>
  <c r="X34" i="28"/>
  <c r="N24" i="29"/>
  <c r="N15" i="25"/>
  <c r="L21" i="25"/>
  <c r="L16" i="26"/>
  <c r="L20" i="26"/>
  <c r="F36" i="28"/>
  <c r="F34" i="28"/>
  <c r="F33" i="28"/>
  <c r="F31" i="28"/>
  <c r="F29" i="28"/>
  <c r="F27" i="28"/>
  <c r="F25" i="28"/>
  <c r="F21" i="28"/>
  <c r="F20" i="28"/>
  <c r="F18" i="28"/>
  <c r="F16" i="28"/>
  <c r="L12" i="28"/>
  <c r="F22" i="28"/>
  <c r="F15" i="28"/>
  <c r="D18" i="28"/>
  <c r="F24" i="28"/>
  <c r="L16" i="28"/>
  <c r="N13" i="29"/>
  <c r="Z16" i="29"/>
  <c r="Z13" i="31"/>
  <c r="Z16" i="31"/>
  <c r="Z20" i="31"/>
  <c r="X22" i="31"/>
  <c r="X24" i="31"/>
  <c r="V21" i="32"/>
  <c r="V20" i="32"/>
  <c r="V18" i="32"/>
  <c r="V16" i="32"/>
  <c r="V22" i="32"/>
  <c r="T18" i="32"/>
  <c r="V34" i="32"/>
  <c r="V31" i="32"/>
  <c r="V27" i="32"/>
  <c r="V24" i="32"/>
  <c r="V15" i="32"/>
  <c r="Z12" i="32"/>
  <c r="V36" i="32"/>
  <c r="V33" i="32"/>
  <c r="V29" i="32"/>
  <c r="V25" i="32"/>
  <c r="Z16" i="32"/>
  <c r="N20" i="32"/>
  <c r="L24" i="32"/>
  <c r="Z25" i="32"/>
  <c r="Z29" i="32"/>
  <c r="Z33" i="32"/>
  <c r="Z24" i="34"/>
  <c r="J21" i="28"/>
  <c r="H18" i="28"/>
  <c r="J15" i="28"/>
  <c r="J31" i="28"/>
  <c r="J20" i="28"/>
  <c r="J34" i="28"/>
  <c r="J22" i="28"/>
  <c r="J25" i="28"/>
  <c r="J29" i="28"/>
  <c r="J18" i="28"/>
  <c r="J33" i="28"/>
  <c r="J36" i="28"/>
  <c r="J24" i="28"/>
  <c r="J27" i="28"/>
  <c r="J16" i="28"/>
  <c r="N12" i="28"/>
  <c r="X13" i="28"/>
  <c r="Z15" i="28"/>
  <c r="X21" i="28"/>
  <c r="F24" i="29"/>
  <c r="F22" i="29"/>
  <c r="F20" i="29"/>
  <c r="F18" i="29"/>
  <c r="F16" i="29"/>
  <c r="D18" i="29"/>
  <c r="F15" i="29"/>
  <c r="F33" i="29"/>
  <c r="F21" i="29"/>
  <c r="F36" i="29"/>
  <c r="F27" i="29"/>
  <c r="L12" i="29"/>
  <c r="F31" i="29"/>
  <c r="F34" i="29"/>
  <c r="F29" i="29"/>
  <c r="F25" i="29"/>
  <c r="X16" i="29"/>
  <c r="X20" i="29"/>
  <c r="Z21" i="31"/>
  <c r="X25" i="31"/>
  <c r="X29" i="31"/>
  <c r="X33" i="31"/>
  <c r="X34" i="31"/>
  <c r="X15" i="32"/>
  <c r="X25" i="34"/>
  <c r="Z20" i="35"/>
  <c r="Z13" i="28"/>
  <c r="Z16" i="28"/>
  <c r="Z20" i="28"/>
  <c r="X22" i="28"/>
  <c r="X24" i="28"/>
  <c r="J20" i="29"/>
  <c r="J18" i="29"/>
  <c r="J16" i="29"/>
  <c r="N12" i="29"/>
  <c r="J36" i="29"/>
  <c r="J34" i="29"/>
  <c r="J33" i="29"/>
  <c r="J31" i="29"/>
  <c r="J29" i="29"/>
  <c r="J27" i="29"/>
  <c r="J25" i="29"/>
  <c r="J24" i="29"/>
  <c r="J22" i="29"/>
  <c r="H18" i="29"/>
  <c r="J21" i="29"/>
  <c r="J15" i="29"/>
  <c r="X13" i="29"/>
  <c r="Z15" i="29"/>
  <c r="X21" i="29"/>
  <c r="R36" i="31"/>
  <c r="R20" i="31"/>
  <c r="R18" i="31"/>
  <c r="R16" i="31"/>
  <c r="P18" i="31"/>
  <c r="R15" i="31"/>
  <c r="X12" i="31"/>
  <c r="R34" i="31"/>
  <c r="R33" i="31"/>
  <c r="R31" i="31"/>
  <c r="R29" i="31"/>
  <c r="R27" i="31"/>
  <c r="R25" i="31"/>
  <c r="R24" i="31"/>
  <c r="R22" i="31"/>
  <c r="R21" i="31"/>
  <c r="Z22" i="31"/>
  <c r="Z24" i="31"/>
  <c r="X20" i="32"/>
  <c r="N34" i="32"/>
  <c r="X29" i="35"/>
  <c r="R36" i="28"/>
  <c r="R34" i="28"/>
  <c r="R33" i="28"/>
  <c r="R31" i="28"/>
  <c r="R29" i="28"/>
  <c r="R27" i="28"/>
  <c r="R25" i="28"/>
  <c r="R21" i="28"/>
  <c r="R20" i="28"/>
  <c r="R18" i="28"/>
  <c r="R16" i="28"/>
  <c r="R22" i="28"/>
  <c r="R15" i="28"/>
  <c r="P18" i="28"/>
  <c r="R24" i="28"/>
  <c r="X12" i="28"/>
  <c r="Z22" i="28"/>
  <c r="Z24" i="28"/>
  <c r="Z21" i="29"/>
  <c r="X25" i="29"/>
  <c r="X29" i="29"/>
  <c r="X33" i="29"/>
  <c r="X34" i="29"/>
  <c r="L16" i="31"/>
  <c r="L20" i="31"/>
  <c r="L13" i="32"/>
  <c r="Z20" i="32"/>
  <c r="L22" i="32"/>
  <c r="X24" i="32"/>
  <c r="Z21" i="35"/>
  <c r="Z12" i="28"/>
  <c r="V24" i="28"/>
  <c r="V22" i="28"/>
  <c r="V21" i="28"/>
  <c r="T18" i="28"/>
  <c r="V15" i="28"/>
  <c r="V34" i="28"/>
  <c r="V25" i="28"/>
  <c r="V29" i="28"/>
  <c r="V18" i="28"/>
  <c r="V33" i="28"/>
  <c r="V36" i="28"/>
  <c r="V31" i="28"/>
  <c r="V20" i="28"/>
  <c r="V27" i="28"/>
  <c r="V16" i="28"/>
  <c r="L15" i="28"/>
  <c r="Z25" i="28"/>
  <c r="Z29" i="28"/>
  <c r="Z33" i="28"/>
  <c r="Z34" i="28"/>
  <c r="X12" i="29"/>
  <c r="R36" i="29"/>
  <c r="R34" i="29"/>
  <c r="R33" i="29"/>
  <c r="R31" i="29"/>
  <c r="R29" i="29"/>
  <c r="R27" i="29"/>
  <c r="R25" i="29"/>
  <c r="R24" i="29"/>
  <c r="R22" i="29"/>
  <c r="R20" i="29"/>
  <c r="R18" i="29"/>
  <c r="R16" i="29"/>
  <c r="P18" i="29"/>
  <c r="R15" i="29"/>
  <c r="R21" i="29"/>
  <c r="Z22" i="29"/>
  <c r="Z24" i="29"/>
  <c r="N15" i="31"/>
  <c r="L21" i="31"/>
  <c r="X29" i="34"/>
  <c r="Z13" i="35"/>
  <c r="X22" i="35"/>
  <c r="N16" i="31"/>
  <c r="N20" i="31"/>
  <c r="L22" i="31"/>
  <c r="L24" i="31"/>
  <c r="L16" i="32"/>
  <c r="Z34" i="32"/>
  <c r="X33" i="35"/>
  <c r="N15" i="28"/>
  <c r="L21" i="28"/>
  <c r="L16" i="29"/>
  <c r="L20" i="29"/>
  <c r="L13" i="31"/>
  <c r="N21" i="31"/>
  <c r="L25" i="31"/>
  <c r="L29" i="31"/>
  <c r="L33" i="31"/>
  <c r="L34" i="31"/>
  <c r="X13" i="32"/>
  <c r="L21" i="32"/>
  <c r="Z21" i="34"/>
  <c r="X24" i="35"/>
  <c r="N16" i="28"/>
  <c r="N20" i="28"/>
  <c r="L22" i="28"/>
  <c r="L24" i="28"/>
  <c r="N15" i="29"/>
  <c r="L21" i="29"/>
  <c r="N13" i="31"/>
  <c r="N22" i="31"/>
  <c r="N24" i="31"/>
  <c r="F36" i="32"/>
  <c r="F34" i="32"/>
  <c r="F33" i="32"/>
  <c r="F31" i="32"/>
  <c r="F29" i="32"/>
  <c r="F27" i="32"/>
  <c r="F25" i="32"/>
  <c r="F24" i="32"/>
  <c r="F22" i="32"/>
  <c r="F20" i="32"/>
  <c r="F15" i="32"/>
  <c r="L12" i="32"/>
  <c r="F21" i="32"/>
  <c r="F16" i="32"/>
  <c r="D18" i="32"/>
  <c r="F18" i="32"/>
  <c r="Z13" i="32"/>
  <c r="N16" i="32"/>
  <c r="X22" i="32"/>
  <c r="N25" i="32"/>
  <c r="N29" i="32"/>
  <c r="N33" i="32"/>
  <c r="R21" i="34"/>
  <c r="R20" i="34"/>
  <c r="R18" i="34"/>
  <c r="R16" i="34"/>
  <c r="P18" i="34"/>
  <c r="R15" i="34"/>
  <c r="X12" i="34"/>
  <c r="R24" i="34"/>
  <c r="R33" i="34"/>
  <c r="R22" i="34"/>
  <c r="R31" i="34"/>
  <c r="R29" i="34"/>
  <c r="R27" i="34"/>
  <c r="R36" i="34"/>
  <c r="R25" i="34"/>
  <c r="R34" i="34"/>
  <c r="X34" i="35"/>
  <c r="X15" i="31"/>
  <c r="N25" i="31"/>
  <c r="N29" i="31"/>
  <c r="N33" i="31"/>
  <c r="N34" i="31"/>
  <c r="J21" i="32"/>
  <c r="J20" i="32"/>
  <c r="J18" i="32"/>
  <c r="J16" i="32"/>
  <c r="N12" i="32"/>
  <c r="J36" i="32"/>
  <c r="J33" i="32"/>
  <c r="J29" i="32"/>
  <c r="J25" i="32"/>
  <c r="J22" i="32"/>
  <c r="H18" i="32"/>
  <c r="J24" i="32"/>
  <c r="J15" i="32"/>
  <c r="J31" i="32"/>
  <c r="J27" i="32"/>
  <c r="J34" i="32"/>
  <c r="L15" i="32"/>
  <c r="X33" i="34"/>
  <c r="Z16" i="35"/>
  <c r="N13" i="28"/>
  <c r="N22" i="28"/>
  <c r="N24" i="28"/>
  <c r="L13" i="29"/>
  <c r="N21" i="29"/>
  <c r="L25" i="29"/>
  <c r="L29" i="29"/>
  <c r="L33" i="29"/>
  <c r="L34" i="29"/>
  <c r="F36" i="31"/>
  <c r="F34" i="31"/>
  <c r="F33" i="31"/>
  <c r="F31" i="31"/>
  <c r="F29" i="31"/>
  <c r="F27" i="31"/>
  <c r="F25" i="31"/>
  <c r="F24" i="31"/>
  <c r="F22" i="31"/>
  <c r="F21" i="31"/>
  <c r="F20" i="31"/>
  <c r="F18" i="31"/>
  <c r="F16" i="31"/>
  <c r="D18" i="31"/>
  <c r="F15" i="31"/>
  <c r="L12" i="31"/>
  <c r="X16" i="31"/>
  <c r="X20" i="31"/>
  <c r="X16" i="32"/>
  <c r="L20" i="32"/>
  <c r="Z22" i="34"/>
  <c r="X25" i="35"/>
  <c r="J34" i="31"/>
  <c r="J33" i="31"/>
  <c r="J31" i="31"/>
  <c r="J29" i="31"/>
  <c r="J27" i="31"/>
  <c r="J25" i="31"/>
  <c r="J36" i="31"/>
  <c r="J24" i="31"/>
  <c r="J22" i="31"/>
  <c r="J21" i="31"/>
  <c r="J20" i="31"/>
  <c r="J18" i="31"/>
  <c r="J16" i="31"/>
  <c r="H18" i="31"/>
  <c r="J15" i="31"/>
  <c r="N12" i="31"/>
  <c r="X13" i="31"/>
  <c r="Z15" i="31"/>
  <c r="X21" i="31"/>
  <c r="R36" i="32"/>
  <c r="R34" i="32"/>
  <c r="R33" i="32"/>
  <c r="R31" i="32"/>
  <c r="R29" i="32"/>
  <c r="R27" i="32"/>
  <c r="R25" i="32"/>
  <c r="R24" i="32"/>
  <c r="R22" i="32"/>
  <c r="R16" i="32"/>
  <c r="R18" i="32"/>
  <c r="P18" i="32"/>
  <c r="R15" i="32"/>
  <c r="X12" i="32"/>
  <c r="R21" i="32"/>
  <c r="R20" i="32"/>
  <c r="N15" i="32"/>
  <c r="X21" i="32"/>
  <c r="X34" i="34"/>
  <c r="N24" i="38"/>
  <c r="Z12" i="37"/>
  <c r="V36" i="37"/>
  <c r="V34" i="37"/>
  <c r="V33" i="37"/>
  <c r="V31" i="37"/>
  <c r="V29" i="37"/>
  <c r="V27" i="37"/>
  <c r="V25" i="37"/>
  <c r="V20" i="37"/>
  <c r="V18" i="37"/>
  <c r="V16" i="37"/>
  <c r="T18" i="37"/>
  <c r="V15" i="37"/>
  <c r="V24" i="37"/>
  <c r="V22" i="37"/>
  <c r="V21" i="37"/>
  <c r="Z15" i="37"/>
  <c r="N25" i="37"/>
  <c r="X29" i="38"/>
  <c r="Z33" i="40"/>
  <c r="Z21" i="44"/>
  <c r="Z29" i="44"/>
  <c r="T18" i="34"/>
  <c r="V15" i="34"/>
  <c r="Z12" i="34"/>
  <c r="V36" i="34"/>
  <c r="V34" i="34"/>
  <c r="V33" i="34"/>
  <c r="V31" i="34"/>
  <c r="V29" i="34"/>
  <c r="V27" i="34"/>
  <c r="V25" i="34"/>
  <c r="V24" i="34"/>
  <c r="V22" i="34"/>
  <c r="V21" i="34"/>
  <c r="V20" i="34"/>
  <c r="V16" i="34"/>
  <c r="V18" i="34"/>
  <c r="L15" i="34"/>
  <c r="Z25" i="34"/>
  <c r="Z29" i="34"/>
  <c r="Z33" i="34"/>
  <c r="Z34" i="34"/>
  <c r="R20" i="35"/>
  <c r="R18" i="35"/>
  <c r="R16" i="35"/>
  <c r="P18" i="35"/>
  <c r="R15" i="35"/>
  <c r="X12" i="35"/>
  <c r="R36" i="35"/>
  <c r="R34" i="35"/>
  <c r="R33" i="35"/>
  <c r="R31" i="35"/>
  <c r="R29" i="35"/>
  <c r="R27" i="35"/>
  <c r="R25" i="35"/>
  <c r="R24" i="35"/>
  <c r="R22" i="35"/>
  <c r="R21" i="35"/>
  <c r="Z22" i="35"/>
  <c r="Z24" i="35"/>
  <c r="J16" i="40"/>
  <c r="J15" i="40"/>
  <c r="J33" i="40"/>
  <c r="J18" i="40"/>
  <c r="J22" i="40"/>
  <c r="J21" i="40"/>
  <c r="J20" i="40"/>
  <c r="H18" i="40"/>
  <c r="J25" i="40"/>
  <c r="J24" i="40"/>
  <c r="N12" i="40"/>
  <c r="J27" i="40"/>
  <c r="J29" i="40"/>
  <c r="J31" i="40"/>
  <c r="J36" i="40"/>
  <c r="J34" i="40"/>
  <c r="L20" i="40"/>
  <c r="Z21" i="32"/>
  <c r="X25" i="32"/>
  <c r="X29" i="32"/>
  <c r="X33" i="32"/>
  <c r="X34" i="32"/>
  <c r="L16" i="34"/>
  <c r="L20" i="34"/>
  <c r="Z12" i="35"/>
  <c r="V36" i="35"/>
  <c r="V34" i="35"/>
  <c r="V33" i="35"/>
  <c r="V31" i="35"/>
  <c r="V29" i="35"/>
  <c r="V27" i="35"/>
  <c r="V25" i="35"/>
  <c r="V24" i="35"/>
  <c r="V22" i="35"/>
  <c r="V21" i="35"/>
  <c r="T18" i="35"/>
  <c r="V16" i="35"/>
  <c r="V15" i="35"/>
  <c r="V20" i="35"/>
  <c r="V18" i="35"/>
  <c r="L15" i="35"/>
  <c r="Z25" i="35"/>
  <c r="Z29" i="35"/>
  <c r="Z33" i="35"/>
  <c r="Z34" i="35"/>
  <c r="L16" i="37"/>
  <c r="L20" i="37"/>
  <c r="Z25" i="37"/>
  <c r="L13" i="40"/>
  <c r="Z22" i="32"/>
  <c r="Z24" i="32"/>
  <c r="N15" i="34"/>
  <c r="L21" i="34"/>
  <c r="L16" i="35"/>
  <c r="L20" i="35"/>
  <c r="N33" i="37"/>
  <c r="N13" i="38"/>
  <c r="N13" i="40"/>
  <c r="Z20" i="40"/>
  <c r="N16" i="34"/>
  <c r="N20" i="34"/>
  <c r="L22" i="34"/>
  <c r="L24" i="34"/>
  <c r="N15" i="35"/>
  <c r="L21" i="35"/>
  <c r="X13" i="37"/>
  <c r="X16" i="37"/>
  <c r="X20" i="37"/>
  <c r="Z22" i="37"/>
  <c r="N25" i="38"/>
  <c r="N33" i="38"/>
  <c r="Z13" i="40"/>
  <c r="L21" i="40"/>
  <c r="L13" i="34"/>
  <c r="N21" i="34"/>
  <c r="L25" i="34"/>
  <c r="L29" i="34"/>
  <c r="L33" i="34"/>
  <c r="L34" i="34"/>
  <c r="N16" i="35"/>
  <c r="N20" i="35"/>
  <c r="L22" i="35"/>
  <c r="L24" i="35"/>
  <c r="X25" i="38"/>
  <c r="X33" i="38"/>
  <c r="R24" i="41"/>
  <c r="R22" i="41"/>
  <c r="R20" i="41"/>
  <c r="R18" i="41"/>
  <c r="R16" i="41"/>
  <c r="R25" i="41"/>
  <c r="R34" i="41"/>
  <c r="R31" i="41"/>
  <c r="P18" i="41"/>
  <c r="R36" i="41"/>
  <c r="R33" i="41"/>
  <c r="R15" i="41"/>
  <c r="R21" i="41"/>
  <c r="X12" i="41"/>
  <c r="R29" i="41"/>
  <c r="R27" i="41"/>
  <c r="N13" i="34"/>
  <c r="N22" i="34"/>
  <c r="N24" i="34"/>
  <c r="L13" i="35"/>
  <c r="N21" i="35"/>
  <c r="L25" i="35"/>
  <c r="L29" i="35"/>
  <c r="L33" i="35"/>
  <c r="L34" i="35"/>
  <c r="L15" i="37"/>
  <c r="N34" i="37"/>
  <c r="X15" i="40"/>
  <c r="Z21" i="40"/>
  <c r="L29" i="40"/>
  <c r="X15" i="34"/>
  <c r="N25" i="34"/>
  <c r="N29" i="34"/>
  <c r="N33" i="34"/>
  <c r="N34" i="34"/>
  <c r="N13" i="35"/>
  <c r="N22" i="35"/>
  <c r="N24" i="35"/>
  <c r="N29" i="37"/>
  <c r="X15" i="38"/>
  <c r="N34" i="38"/>
  <c r="L22" i="40"/>
  <c r="L34" i="41"/>
  <c r="N21" i="32"/>
  <c r="L25" i="32"/>
  <c r="L29" i="32"/>
  <c r="L33" i="32"/>
  <c r="L34" i="32"/>
  <c r="L12" i="34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D18" i="34"/>
  <c r="F15" i="34"/>
  <c r="X16" i="34"/>
  <c r="X20" i="34"/>
  <c r="X15" i="35"/>
  <c r="N25" i="35"/>
  <c r="N29" i="35"/>
  <c r="N33" i="35"/>
  <c r="N34" i="35"/>
  <c r="F24" i="37"/>
  <c r="F22" i="37"/>
  <c r="F21" i="37"/>
  <c r="F20" i="37"/>
  <c r="F18" i="37"/>
  <c r="F16" i="37"/>
  <c r="L12" i="37"/>
  <c r="F36" i="37"/>
  <c r="F34" i="37"/>
  <c r="F33" i="37"/>
  <c r="F31" i="37"/>
  <c r="F29" i="37"/>
  <c r="F27" i="37"/>
  <c r="F25" i="37"/>
  <c r="D18" i="37"/>
  <c r="F15" i="37"/>
  <c r="Z21" i="38"/>
  <c r="X34" i="38"/>
  <c r="N24" i="41"/>
  <c r="N13" i="32"/>
  <c r="N22" i="32"/>
  <c r="N24" i="32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H18" i="34"/>
  <c r="J15" i="34"/>
  <c r="N12" i="34"/>
  <c r="X13" i="34"/>
  <c r="Z15" i="34"/>
  <c r="X21" i="34"/>
  <c r="F36" i="35"/>
  <c r="F34" i="35"/>
  <c r="F33" i="35"/>
  <c r="F31" i="35"/>
  <c r="F29" i="35"/>
  <c r="F27" i="35"/>
  <c r="F25" i="35"/>
  <c r="F24" i="35"/>
  <c r="F22" i="35"/>
  <c r="F21" i="35"/>
  <c r="F20" i="35"/>
  <c r="F18" i="35"/>
  <c r="F16" i="35"/>
  <c r="D18" i="35"/>
  <c r="F15" i="35"/>
  <c r="L12" i="35"/>
  <c r="X16" i="35"/>
  <c r="X20" i="35"/>
  <c r="J20" i="37"/>
  <c r="J18" i="37"/>
  <c r="J16" i="37"/>
  <c r="H18" i="37"/>
  <c r="N12" i="37"/>
  <c r="J21" i="37"/>
  <c r="J36" i="37"/>
  <c r="J29" i="37"/>
  <c r="J15" i="37"/>
  <c r="J34" i="37"/>
  <c r="J24" i="37"/>
  <c r="J33" i="37"/>
  <c r="J27" i="37"/>
  <c r="J22" i="37"/>
  <c r="J31" i="37"/>
  <c r="J25" i="37"/>
  <c r="X15" i="37"/>
  <c r="Z24" i="37"/>
  <c r="N22" i="38"/>
  <c r="X16" i="40"/>
  <c r="X15" i="41"/>
  <c r="Z13" i="34"/>
  <c r="Z16" i="34"/>
  <c r="Z20" i="34"/>
  <c r="X22" i="34"/>
  <c r="X24" i="34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N12" i="35"/>
  <c r="X13" i="35"/>
  <c r="Z15" i="35"/>
  <c r="X21" i="35"/>
  <c r="R24" i="37"/>
  <c r="R22" i="37"/>
  <c r="R21" i="37"/>
  <c r="P18" i="37"/>
  <c r="R15" i="37"/>
  <c r="R29" i="37"/>
  <c r="R34" i="37"/>
  <c r="R33" i="37"/>
  <c r="R27" i="37"/>
  <c r="R20" i="37"/>
  <c r="R16" i="37"/>
  <c r="R31" i="37"/>
  <c r="R25" i="37"/>
  <c r="R36" i="37"/>
  <c r="R18" i="37"/>
  <c r="X12" i="37"/>
  <c r="X21" i="37"/>
  <c r="Z29" i="37"/>
  <c r="N29" i="38"/>
  <c r="L16" i="41"/>
  <c r="X13" i="49"/>
  <c r="N13" i="37"/>
  <c r="N22" i="37"/>
  <c r="N24" i="37"/>
  <c r="L13" i="38"/>
  <c r="N21" i="38"/>
  <c r="L25" i="38"/>
  <c r="L29" i="38"/>
  <c r="L33" i="38"/>
  <c r="L34" i="38"/>
  <c r="X20" i="40"/>
  <c r="X21" i="40"/>
  <c r="X22" i="40"/>
  <c r="Z25" i="40"/>
  <c r="X33" i="40"/>
  <c r="Z16" i="41"/>
  <c r="X29" i="44"/>
  <c r="X34" i="46"/>
  <c r="F21" i="38"/>
  <c r="F20" i="38"/>
  <c r="F18" i="38"/>
  <c r="F16" i="38"/>
  <c r="D18" i="38"/>
  <c r="F15" i="38"/>
  <c r="L12" i="38"/>
  <c r="F24" i="38"/>
  <c r="F22" i="38"/>
  <c r="F36" i="38"/>
  <c r="F29" i="38"/>
  <c r="F34" i="38"/>
  <c r="F27" i="38"/>
  <c r="F33" i="38"/>
  <c r="F25" i="38"/>
  <c r="F31" i="38"/>
  <c r="X16" i="38"/>
  <c r="X20" i="38"/>
  <c r="L34" i="40"/>
  <c r="X20" i="41"/>
  <c r="L22" i="41"/>
  <c r="X24" i="41"/>
  <c r="L20" i="43"/>
  <c r="Z12" i="44"/>
  <c r="V36" i="44"/>
  <c r="V34" i="44"/>
  <c r="V33" i="44"/>
  <c r="V31" i="44"/>
  <c r="V29" i="44"/>
  <c r="V27" i="44"/>
  <c r="V25" i="44"/>
  <c r="V21" i="44"/>
  <c r="T18" i="44"/>
  <c r="V15" i="44"/>
  <c r="V18" i="44"/>
  <c r="V16" i="44"/>
  <c r="V24" i="44"/>
  <c r="V22" i="44"/>
  <c r="V20" i="44"/>
  <c r="Z20" i="49"/>
  <c r="Z13" i="37"/>
  <c r="Z16" i="37"/>
  <c r="Z20" i="37"/>
  <c r="X22" i="37"/>
  <c r="X24" i="37"/>
  <c r="H18" i="38"/>
  <c r="J15" i="38"/>
  <c r="J36" i="38"/>
  <c r="J34" i="38"/>
  <c r="J33" i="38"/>
  <c r="J31" i="38"/>
  <c r="J29" i="38"/>
  <c r="J27" i="38"/>
  <c r="J25" i="38"/>
  <c r="J20" i="38"/>
  <c r="J18" i="38"/>
  <c r="J16" i="38"/>
  <c r="J22" i="38"/>
  <c r="J21" i="38"/>
  <c r="N12" i="38"/>
  <c r="J24" i="38"/>
  <c r="X13" i="38"/>
  <c r="Z15" i="38"/>
  <c r="X21" i="38"/>
  <c r="Z15" i="40"/>
  <c r="Z16" i="40"/>
  <c r="N29" i="40"/>
  <c r="L13" i="41"/>
  <c r="Z20" i="41"/>
  <c r="Z24" i="41"/>
  <c r="X33" i="44"/>
  <c r="Z21" i="37"/>
  <c r="X25" i="37"/>
  <c r="X29" i="37"/>
  <c r="X33" i="37"/>
  <c r="X34" i="37"/>
  <c r="Z13" i="38"/>
  <c r="Z16" i="38"/>
  <c r="Z20" i="38"/>
  <c r="X22" i="38"/>
  <c r="X24" i="38"/>
  <c r="F16" i="40"/>
  <c r="F15" i="40"/>
  <c r="F33" i="40"/>
  <c r="F18" i="40"/>
  <c r="F22" i="40"/>
  <c r="F21" i="40"/>
  <c r="F20" i="40"/>
  <c r="D18" i="40"/>
  <c r="L12" i="40"/>
  <c r="F27" i="40"/>
  <c r="F34" i="40"/>
  <c r="F29" i="40"/>
  <c r="F36" i="40"/>
  <c r="F31" i="40"/>
  <c r="F24" i="40"/>
  <c r="F25" i="40"/>
  <c r="X13" i="40"/>
  <c r="L24" i="40"/>
  <c r="L25" i="40"/>
  <c r="N34" i="40"/>
  <c r="N13" i="41"/>
  <c r="N22" i="41"/>
  <c r="L15" i="44"/>
  <c r="Z33" i="44"/>
  <c r="X24" i="47"/>
  <c r="X13" i="50"/>
  <c r="R21" i="43"/>
  <c r="R20" i="43"/>
  <c r="R18" i="43"/>
  <c r="R16" i="43"/>
  <c r="P18" i="43"/>
  <c r="R15" i="43"/>
  <c r="R24" i="43"/>
  <c r="R22" i="43"/>
  <c r="R34" i="43"/>
  <c r="R33" i="43"/>
  <c r="X12" i="43"/>
  <c r="R31" i="43"/>
  <c r="R29" i="43"/>
  <c r="R36" i="43"/>
  <c r="R25" i="43"/>
  <c r="R27" i="43"/>
  <c r="X34" i="44"/>
  <c r="Z33" i="37"/>
  <c r="Z34" i="37"/>
  <c r="X12" i="38"/>
  <c r="R36" i="38"/>
  <c r="R34" i="38"/>
  <c r="R33" i="38"/>
  <c r="R31" i="38"/>
  <c r="R29" i="38"/>
  <c r="R27" i="38"/>
  <c r="R25" i="38"/>
  <c r="R21" i="38"/>
  <c r="R20" i="38"/>
  <c r="R18" i="38"/>
  <c r="R16" i="38"/>
  <c r="P18" i="38"/>
  <c r="R15" i="38"/>
  <c r="R24" i="38"/>
  <c r="R22" i="38"/>
  <c r="Z22" i="38"/>
  <c r="Z24" i="38"/>
  <c r="N24" i="40"/>
  <c r="N25" i="40"/>
  <c r="X29" i="40"/>
  <c r="L33" i="40"/>
  <c r="N16" i="41"/>
  <c r="L25" i="41"/>
  <c r="Z34" i="44"/>
  <c r="Z12" i="38"/>
  <c r="V36" i="38"/>
  <c r="V34" i="38"/>
  <c r="V33" i="38"/>
  <c r="V31" i="38"/>
  <c r="V29" i="38"/>
  <c r="V27" i="38"/>
  <c r="V25" i="38"/>
  <c r="V24" i="38"/>
  <c r="V22" i="38"/>
  <c r="V21" i="38"/>
  <c r="T18" i="38"/>
  <c r="V15" i="38"/>
  <c r="V20" i="38"/>
  <c r="V18" i="38"/>
  <c r="V16" i="38"/>
  <c r="L15" i="38"/>
  <c r="Z25" i="38"/>
  <c r="Z29" i="38"/>
  <c r="Z33" i="38"/>
  <c r="Z34" i="38"/>
  <c r="L15" i="40"/>
  <c r="L16" i="40"/>
  <c r="N20" i="40"/>
  <c r="N21" i="40"/>
  <c r="N22" i="40"/>
  <c r="Z29" i="40"/>
  <c r="X34" i="40"/>
  <c r="Z13" i="41"/>
  <c r="N21" i="41"/>
  <c r="X22" i="41"/>
  <c r="Z22" i="43"/>
  <c r="X25" i="44"/>
  <c r="Z21" i="46"/>
  <c r="N15" i="37"/>
  <c r="L21" i="37"/>
  <c r="L16" i="38"/>
  <c r="L20" i="38"/>
  <c r="V36" i="40"/>
  <c r="V34" i="40"/>
  <c r="V33" i="40"/>
  <c r="V31" i="40"/>
  <c r="V29" i="40"/>
  <c r="V27" i="40"/>
  <c r="V21" i="40"/>
  <c r="Z12" i="40"/>
  <c r="V16" i="40"/>
  <c r="V15" i="40"/>
  <c r="V18" i="40"/>
  <c r="V20" i="40"/>
  <c r="T18" i="40"/>
  <c r="V22" i="40"/>
  <c r="V25" i="40"/>
  <c r="V24" i="40"/>
  <c r="N33" i="40"/>
  <c r="Z34" i="40"/>
  <c r="Z22" i="41"/>
  <c r="L29" i="41"/>
  <c r="Z25" i="44"/>
  <c r="N16" i="37"/>
  <c r="N20" i="37"/>
  <c r="L22" i="37"/>
  <c r="L24" i="37"/>
  <c r="N15" i="38"/>
  <c r="L21" i="38"/>
  <c r="N15" i="40"/>
  <c r="N16" i="40"/>
  <c r="L20" i="41"/>
  <c r="Z24" i="43"/>
  <c r="L13" i="37"/>
  <c r="N21" i="37"/>
  <c r="L25" i="37"/>
  <c r="L29" i="37"/>
  <c r="L33" i="37"/>
  <c r="L34" i="37"/>
  <c r="N16" i="38"/>
  <c r="N20" i="38"/>
  <c r="L22" i="38"/>
  <c r="L24" i="38"/>
  <c r="X24" i="40"/>
  <c r="X25" i="40"/>
  <c r="F20" i="41"/>
  <c r="F18" i="41"/>
  <c r="F16" i="41"/>
  <c r="F29" i="41"/>
  <c r="F15" i="41"/>
  <c r="F25" i="41"/>
  <c r="F34" i="41"/>
  <c r="F21" i="41"/>
  <c r="F31" i="41"/>
  <c r="F22" i="41"/>
  <c r="F27" i="41"/>
  <c r="F33" i="41"/>
  <c r="F24" i="41"/>
  <c r="L12" i="41"/>
  <c r="F36" i="41"/>
  <c r="D18" i="41"/>
  <c r="X16" i="41"/>
  <c r="N20" i="41"/>
  <c r="L24" i="41"/>
  <c r="L33" i="41"/>
  <c r="L16" i="43"/>
  <c r="N25" i="41"/>
  <c r="N29" i="41"/>
  <c r="N33" i="41"/>
  <c r="N34" i="41"/>
  <c r="Z21" i="43"/>
  <c r="X25" i="43"/>
  <c r="X29" i="43"/>
  <c r="X33" i="43"/>
  <c r="X34" i="43"/>
  <c r="Z13" i="44"/>
  <c r="Z16" i="44"/>
  <c r="Z20" i="44"/>
  <c r="X22" i="44"/>
  <c r="X24" i="44"/>
  <c r="L24" i="46"/>
  <c r="N15" i="47"/>
  <c r="L21" i="47"/>
  <c r="J36" i="49"/>
  <c r="J34" i="49"/>
  <c r="J33" i="49"/>
  <c r="J31" i="49"/>
  <c r="J29" i="49"/>
  <c r="J27" i="49"/>
  <c r="J25" i="49"/>
  <c r="J24" i="49"/>
  <c r="J22" i="49"/>
  <c r="J21" i="49"/>
  <c r="J20" i="49"/>
  <c r="J18" i="49"/>
  <c r="J16" i="49"/>
  <c r="H18" i="49"/>
  <c r="J15" i="49"/>
  <c r="N12" i="49"/>
  <c r="Z25" i="49"/>
  <c r="X15" i="46"/>
  <c r="N34" i="46"/>
  <c r="N24" i="47"/>
  <c r="J36" i="50"/>
  <c r="J34" i="50"/>
  <c r="J33" i="50"/>
  <c r="J31" i="50"/>
  <c r="J29" i="50"/>
  <c r="J27" i="50"/>
  <c r="J25" i="50"/>
  <c r="J24" i="50"/>
  <c r="J22" i="50"/>
  <c r="J21" i="50"/>
  <c r="J20" i="50"/>
  <c r="J18" i="50"/>
  <c r="J16" i="50"/>
  <c r="H18" i="50"/>
  <c r="J15" i="50"/>
  <c r="N12" i="50"/>
  <c r="X21" i="50"/>
  <c r="N12" i="41"/>
  <c r="J24" i="41"/>
  <c r="J29" i="41"/>
  <c r="J15" i="41"/>
  <c r="J25" i="41"/>
  <c r="J21" i="41"/>
  <c r="J34" i="41"/>
  <c r="J16" i="41"/>
  <c r="J27" i="41"/>
  <c r="J18" i="41"/>
  <c r="J36" i="41"/>
  <c r="H18" i="41"/>
  <c r="J20" i="41"/>
  <c r="J22" i="41"/>
  <c r="J33" i="41"/>
  <c r="J31" i="41"/>
  <c r="X13" i="41"/>
  <c r="Z15" i="41"/>
  <c r="X21" i="41"/>
  <c r="T18" i="43"/>
  <c r="V15" i="43"/>
  <c r="Z12" i="43"/>
  <c r="V24" i="43"/>
  <c r="V22" i="43"/>
  <c r="V20" i="43"/>
  <c r="V18" i="43"/>
  <c r="V16" i="43"/>
  <c r="V34" i="43"/>
  <c r="V33" i="43"/>
  <c r="V31" i="43"/>
  <c r="V21" i="43"/>
  <c r="V29" i="43"/>
  <c r="V27" i="43"/>
  <c r="V36" i="43"/>
  <c r="V25" i="43"/>
  <c r="L15" i="43"/>
  <c r="Z25" i="43"/>
  <c r="Z29" i="43"/>
  <c r="Z33" i="43"/>
  <c r="Z34" i="43"/>
  <c r="R20" i="44"/>
  <c r="R18" i="44"/>
  <c r="R16" i="44"/>
  <c r="P18" i="44"/>
  <c r="R15" i="44"/>
  <c r="X12" i="44"/>
  <c r="R36" i="44"/>
  <c r="R34" i="44"/>
  <c r="R33" i="44"/>
  <c r="R31" i="44"/>
  <c r="R29" i="44"/>
  <c r="R27" i="44"/>
  <c r="R25" i="44"/>
  <c r="R21" i="44"/>
  <c r="R24" i="44"/>
  <c r="R22" i="44"/>
  <c r="Z22" i="44"/>
  <c r="Z24" i="44"/>
  <c r="X24" i="46"/>
  <c r="J36" i="47"/>
  <c r="J34" i="47"/>
  <c r="J33" i="47"/>
  <c r="J31" i="47"/>
  <c r="J29" i="47"/>
  <c r="J27" i="47"/>
  <c r="J25" i="47"/>
  <c r="J24" i="47"/>
  <c r="J22" i="47"/>
  <c r="J20" i="47"/>
  <c r="J18" i="47"/>
  <c r="J16" i="47"/>
  <c r="H18" i="47"/>
  <c r="J15" i="47"/>
  <c r="N12" i="47"/>
  <c r="J21" i="47"/>
  <c r="Z15" i="47"/>
  <c r="X21" i="47"/>
  <c r="X34" i="47"/>
  <c r="Z12" i="49"/>
  <c r="V36" i="49"/>
  <c r="V34" i="49"/>
  <c r="V33" i="49"/>
  <c r="V31" i="49"/>
  <c r="V29" i="49"/>
  <c r="V27" i="49"/>
  <c r="V25" i="49"/>
  <c r="V21" i="49"/>
  <c r="V20" i="49"/>
  <c r="V18" i="49"/>
  <c r="V16" i="49"/>
  <c r="V24" i="49"/>
  <c r="V22" i="49"/>
  <c r="V15" i="49"/>
  <c r="T18" i="49"/>
  <c r="P18" i="50"/>
  <c r="R15" i="50"/>
  <c r="X12" i="50"/>
  <c r="R24" i="50"/>
  <c r="R22" i="50"/>
  <c r="R21" i="50"/>
  <c r="R20" i="50"/>
  <c r="R27" i="50"/>
  <c r="R18" i="50"/>
  <c r="R36" i="50"/>
  <c r="R25" i="50"/>
  <c r="R16" i="50"/>
  <c r="R34" i="50"/>
  <c r="R33" i="50"/>
  <c r="R31" i="50"/>
  <c r="R29" i="50"/>
  <c r="R36" i="40"/>
  <c r="R34" i="40"/>
  <c r="R33" i="40"/>
  <c r="R31" i="40"/>
  <c r="R29" i="40"/>
  <c r="R27" i="40"/>
  <c r="R25" i="40"/>
  <c r="X12" i="40"/>
  <c r="R16" i="40"/>
  <c r="R15" i="40"/>
  <c r="R24" i="40"/>
  <c r="R22" i="40"/>
  <c r="R21" i="40"/>
  <c r="R20" i="40"/>
  <c r="R18" i="40"/>
  <c r="P18" i="40"/>
  <c r="Z22" i="40"/>
  <c r="Z24" i="40"/>
  <c r="Z21" i="41"/>
  <c r="X25" i="41"/>
  <c r="X29" i="41"/>
  <c r="X33" i="41"/>
  <c r="X34" i="41"/>
  <c r="N15" i="43"/>
  <c r="L21" i="43"/>
  <c r="L16" i="44"/>
  <c r="L20" i="44"/>
  <c r="R20" i="46"/>
  <c r="R18" i="46"/>
  <c r="R16" i="46"/>
  <c r="P18" i="46"/>
  <c r="R15" i="46"/>
  <c r="X12" i="46"/>
  <c r="R36" i="46"/>
  <c r="R33" i="46"/>
  <c r="R29" i="46"/>
  <c r="R25" i="46"/>
  <c r="R22" i="46"/>
  <c r="R34" i="46"/>
  <c r="R31" i="46"/>
  <c r="R27" i="46"/>
  <c r="R21" i="46"/>
  <c r="R24" i="46"/>
  <c r="Z24" i="46"/>
  <c r="Z21" i="47"/>
  <c r="Z13" i="49"/>
  <c r="Z29" i="49"/>
  <c r="Z22" i="50"/>
  <c r="L13" i="52"/>
  <c r="L33" i="53"/>
  <c r="N16" i="43"/>
  <c r="N20" i="43"/>
  <c r="L22" i="43"/>
  <c r="L24" i="43"/>
  <c r="N15" i="44"/>
  <c r="L21" i="44"/>
  <c r="Z12" i="46"/>
  <c r="V36" i="46"/>
  <c r="V34" i="46"/>
  <c r="V33" i="46"/>
  <c r="V31" i="46"/>
  <c r="V29" i="46"/>
  <c r="V27" i="46"/>
  <c r="V25" i="46"/>
  <c r="V22" i="46"/>
  <c r="V20" i="46"/>
  <c r="V16" i="46"/>
  <c r="V24" i="46"/>
  <c r="V21" i="46"/>
  <c r="T18" i="46"/>
  <c r="V15" i="46"/>
  <c r="V18" i="46"/>
  <c r="Z34" i="46"/>
  <c r="P18" i="47"/>
  <c r="R15" i="47"/>
  <c r="X12" i="47"/>
  <c r="R29" i="47"/>
  <c r="R25" i="47"/>
  <c r="R33" i="47"/>
  <c r="R22" i="47"/>
  <c r="R20" i="47"/>
  <c r="R16" i="47"/>
  <c r="R36" i="47"/>
  <c r="R31" i="47"/>
  <c r="R27" i="47"/>
  <c r="R24" i="47"/>
  <c r="R18" i="47"/>
  <c r="R34" i="47"/>
  <c r="R21" i="47"/>
  <c r="Z24" i="47"/>
  <c r="L15" i="49"/>
  <c r="Z15" i="50"/>
  <c r="Z12" i="41"/>
  <c r="V24" i="41"/>
  <c r="V22" i="41"/>
  <c r="V20" i="41"/>
  <c r="V18" i="41"/>
  <c r="V16" i="41"/>
  <c r="V34" i="41"/>
  <c r="V31" i="41"/>
  <c r="T18" i="41"/>
  <c r="V27" i="41"/>
  <c r="V33" i="41"/>
  <c r="V15" i="41"/>
  <c r="V25" i="41"/>
  <c r="V36" i="41"/>
  <c r="V21" i="41"/>
  <c r="V29" i="41"/>
  <c r="L15" i="41"/>
  <c r="Z25" i="41"/>
  <c r="Z29" i="41"/>
  <c r="Z33" i="41"/>
  <c r="Z34" i="41"/>
  <c r="L13" i="43"/>
  <c r="N21" i="43"/>
  <c r="L25" i="43"/>
  <c r="L29" i="43"/>
  <c r="L33" i="43"/>
  <c r="L34" i="43"/>
  <c r="N16" i="44"/>
  <c r="N20" i="44"/>
  <c r="L22" i="44"/>
  <c r="L24" i="44"/>
  <c r="N16" i="46"/>
  <c r="N20" i="46"/>
  <c r="L22" i="46"/>
  <c r="Z15" i="49"/>
  <c r="Z24" i="50"/>
  <c r="L16" i="52"/>
  <c r="L13" i="53"/>
  <c r="N13" i="43"/>
  <c r="N22" i="43"/>
  <c r="N24" i="43"/>
  <c r="L13" i="44"/>
  <c r="N21" i="44"/>
  <c r="L25" i="44"/>
  <c r="L29" i="44"/>
  <c r="L33" i="44"/>
  <c r="L34" i="44"/>
  <c r="N25" i="46"/>
  <c r="N29" i="46"/>
  <c r="N33" i="46"/>
  <c r="N13" i="47"/>
  <c r="N22" i="47"/>
  <c r="X22" i="49"/>
  <c r="N15" i="41"/>
  <c r="L21" i="41"/>
  <c r="X15" i="43"/>
  <c r="N25" i="43"/>
  <c r="N29" i="43"/>
  <c r="N33" i="43"/>
  <c r="N34" i="43"/>
  <c r="N13" i="44"/>
  <c r="N22" i="44"/>
  <c r="N24" i="44"/>
  <c r="Z13" i="46"/>
  <c r="Z16" i="46"/>
  <c r="Z20" i="46"/>
  <c r="X22" i="46"/>
  <c r="X13" i="47"/>
  <c r="Z33" i="49"/>
  <c r="Z16" i="53"/>
  <c r="L12" i="43"/>
  <c r="F36" i="43"/>
  <c r="F34" i="43"/>
  <c r="F33" i="43"/>
  <c r="F31" i="43"/>
  <c r="F29" i="43"/>
  <c r="F27" i="43"/>
  <c r="F25" i="43"/>
  <c r="F24" i="43"/>
  <c r="F22" i="43"/>
  <c r="F21" i="43"/>
  <c r="F20" i="43"/>
  <c r="F18" i="43"/>
  <c r="F16" i="43"/>
  <c r="F15" i="43"/>
  <c r="D18" i="43"/>
  <c r="X16" i="43"/>
  <c r="X20" i="43"/>
  <c r="X15" i="44"/>
  <c r="N25" i="44"/>
  <c r="N29" i="44"/>
  <c r="N33" i="44"/>
  <c r="N34" i="44"/>
  <c r="X25" i="46"/>
  <c r="X29" i="46"/>
  <c r="X33" i="46"/>
  <c r="Z13" i="47"/>
  <c r="Z16" i="47"/>
  <c r="Z20" i="47"/>
  <c r="X22" i="47"/>
  <c r="X33" i="47"/>
  <c r="X24" i="49"/>
  <c r="L22" i="52"/>
  <c r="X20" i="53"/>
  <c r="J36" i="43"/>
  <c r="J34" i="43"/>
  <c r="J33" i="43"/>
  <c r="J31" i="43"/>
  <c r="J29" i="43"/>
  <c r="J27" i="43"/>
  <c r="J25" i="43"/>
  <c r="J24" i="43"/>
  <c r="J22" i="43"/>
  <c r="J21" i="43"/>
  <c r="J20" i="43"/>
  <c r="J18" i="43"/>
  <c r="J16" i="43"/>
  <c r="H18" i="43"/>
  <c r="J15" i="43"/>
  <c r="N12" i="43"/>
  <c r="X13" i="43"/>
  <c r="Z15" i="43"/>
  <c r="X21" i="43"/>
  <c r="F36" i="44"/>
  <c r="F34" i="44"/>
  <c r="F33" i="44"/>
  <c r="F31" i="44"/>
  <c r="F29" i="44"/>
  <c r="F27" i="44"/>
  <c r="F25" i="44"/>
  <c r="F24" i="44"/>
  <c r="F22" i="44"/>
  <c r="F21" i="44"/>
  <c r="F20" i="44"/>
  <c r="F18" i="44"/>
  <c r="F16" i="44"/>
  <c r="D18" i="44"/>
  <c r="F15" i="44"/>
  <c r="L12" i="44"/>
  <c r="X16" i="44"/>
  <c r="X20" i="44"/>
  <c r="Z22" i="46"/>
  <c r="X25" i="47"/>
  <c r="X29" i="47"/>
  <c r="Z16" i="49"/>
  <c r="Z34" i="49"/>
  <c r="L21" i="53"/>
  <c r="Z13" i="43"/>
  <c r="Z16" i="43"/>
  <c r="Z20" i="43"/>
  <c r="X22" i="43"/>
  <c r="X24" i="43"/>
  <c r="J36" i="44"/>
  <c r="J34" i="44"/>
  <c r="J33" i="44"/>
  <c r="J31" i="44"/>
  <c r="J29" i="44"/>
  <c r="J27" i="44"/>
  <c r="J25" i="44"/>
  <c r="J24" i="44"/>
  <c r="J22" i="44"/>
  <c r="J21" i="44"/>
  <c r="J20" i="44"/>
  <c r="J18" i="44"/>
  <c r="J16" i="44"/>
  <c r="H18" i="44"/>
  <c r="J15" i="44"/>
  <c r="N12" i="44"/>
  <c r="X13" i="44"/>
  <c r="Z15" i="44"/>
  <c r="X21" i="44"/>
  <c r="L15" i="46"/>
  <c r="Z25" i="46"/>
  <c r="Z29" i="46"/>
  <c r="Z33" i="46"/>
  <c r="Z22" i="47"/>
  <c r="L16" i="46"/>
  <c r="L20" i="46"/>
  <c r="V36" i="47"/>
  <c r="V34" i="47"/>
  <c r="V33" i="47"/>
  <c r="V31" i="47"/>
  <c r="V29" i="47"/>
  <c r="V27" i="47"/>
  <c r="V25" i="47"/>
  <c r="V24" i="47"/>
  <c r="V22" i="47"/>
  <c r="V20" i="47"/>
  <c r="V16" i="47"/>
  <c r="Z12" i="47"/>
  <c r="V21" i="47"/>
  <c r="V18" i="47"/>
  <c r="T18" i="47"/>
  <c r="V15" i="47"/>
  <c r="L15" i="47"/>
  <c r="Z25" i="47"/>
  <c r="Z29" i="47"/>
  <c r="Z33" i="47"/>
  <c r="Z34" i="47"/>
  <c r="Z21" i="49"/>
  <c r="X25" i="49"/>
  <c r="X29" i="49"/>
  <c r="X33" i="49"/>
  <c r="X34" i="49"/>
  <c r="Z13" i="50"/>
  <c r="Z16" i="50"/>
  <c r="Z20" i="50"/>
  <c r="X22" i="50"/>
  <c r="X24" i="50"/>
  <c r="Z15" i="52"/>
  <c r="L20" i="52"/>
  <c r="N22" i="52"/>
  <c r="X25" i="52"/>
  <c r="V20" i="53"/>
  <c r="V18" i="53"/>
  <c r="V16" i="53"/>
  <c r="V36" i="53"/>
  <c r="V34" i="53"/>
  <c r="V33" i="53"/>
  <c r="V31" i="53"/>
  <c r="V29" i="53"/>
  <c r="V27" i="53"/>
  <c r="V25" i="53"/>
  <c r="V21" i="53"/>
  <c r="V15" i="53"/>
  <c r="T18" i="53"/>
  <c r="V24" i="53"/>
  <c r="Z12" i="53"/>
  <c r="V22" i="53"/>
  <c r="Z20" i="53"/>
  <c r="N15" i="46"/>
  <c r="L21" i="46"/>
  <c r="L16" i="47"/>
  <c r="L20" i="47"/>
  <c r="R20" i="49"/>
  <c r="P18" i="49"/>
  <c r="R15" i="49"/>
  <c r="X12" i="49"/>
  <c r="R36" i="49"/>
  <c r="R34" i="49"/>
  <c r="R33" i="49"/>
  <c r="R31" i="49"/>
  <c r="R29" i="49"/>
  <c r="R27" i="49"/>
  <c r="R25" i="49"/>
  <c r="R24" i="49"/>
  <c r="R22" i="49"/>
  <c r="R16" i="49"/>
  <c r="R21" i="49"/>
  <c r="R18" i="49"/>
  <c r="Z22" i="49"/>
  <c r="Z24" i="49"/>
  <c r="Z21" i="50"/>
  <c r="X25" i="50"/>
  <c r="X29" i="50"/>
  <c r="X33" i="50"/>
  <c r="X34" i="50"/>
  <c r="N20" i="52"/>
  <c r="X34" i="52"/>
  <c r="X16" i="53"/>
  <c r="L13" i="46"/>
  <c r="N21" i="46"/>
  <c r="L25" i="46"/>
  <c r="L29" i="46"/>
  <c r="L33" i="46"/>
  <c r="L34" i="46"/>
  <c r="N16" i="47"/>
  <c r="N20" i="47"/>
  <c r="L22" i="47"/>
  <c r="L24" i="47"/>
  <c r="L16" i="49"/>
  <c r="L20" i="49"/>
  <c r="Z12" i="50"/>
  <c r="V36" i="50"/>
  <c r="V34" i="50"/>
  <c r="V33" i="50"/>
  <c r="V31" i="50"/>
  <c r="V29" i="50"/>
  <c r="V27" i="50"/>
  <c r="V25" i="50"/>
  <c r="V24" i="50"/>
  <c r="V22" i="50"/>
  <c r="V20" i="50"/>
  <c r="V18" i="50"/>
  <c r="V16" i="50"/>
  <c r="T18" i="50"/>
  <c r="V15" i="50"/>
  <c r="V21" i="50"/>
  <c r="L15" i="50"/>
  <c r="Z25" i="50"/>
  <c r="Z29" i="50"/>
  <c r="Z33" i="50"/>
  <c r="Z34" i="50"/>
  <c r="N13" i="52"/>
  <c r="N16" i="52"/>
  <c r="N21" i="53"/>
  <c r="X24" i="53"/>
  <c r="N13" i="46"/>
  <c r="N22" i="46"/>
  <c r="N24" i="46"/>
  <c r="L13" i="47"/>
  <c r="N21" i="47"/>
  <c r="L25" i="47"/>
  <c r="L29" i="47"/>
  <c r="L33" i="47"/>
  <c r="L34" i="47"/>
  <c r="N15" i="49"/>
  <c r="L21" i="49"/>
  <c r="L16" i="50"/>
  <c r="L20" i="50"/>
  <c r="L24" i="52"/>
  <c r="Z13" i="53"/>
  <c r="L29" i="53"/>
  <c r="N16" i="49"/>
  <c r="N20" i="49"/>
  <c r="L22" i="49"/>
  <c r="L24" i="49"/>
  <c r="N15" i="50"/>
  <c r="L21" i="50"/>
  <c r="X13" i="52"/>
  <c r="N24" i="52"/>
  <c r="L15" i="53"/>
  <c r="Z33" i="53"/>
  <c r="F36" i="46"/>
  <c r="F34" i="46"/>
  <c r="F33" i="46"/>
  <c r="F31" i="46"/>
  <c r="F29" i="46"/>
  <c r="F27" i="46"/>
  <c r="F25" i="46"/>
  <c r="F24" i="46"/>
  <c r="F22" i="46"/>
  <c r="F20" i="46"/>
  <c r="F18" i="46"/>
  <c r="F16" i="46"/>
  <c r="D18" i="46"/>
  <c r="F15" i="46"/>
  <c r="L12" i="46"/>
  <c r="F21" i="46"/>
  <c r="X16" i="46"/>
  <c r="X20" i="46"/>
  <c r="X15" i="47"/>
  <c r="N25" i="47"/>
  <c r="N29" i="47"/>
  <c r="N33" i="47"/>
  <c r="N34" i="47"/>
  <c r="L13" i="49"/>
  <c r="N21" i="49"/>
  <c r="L25" i="49"/>
  <c r="L29" i="49"/>
  <c r="L33" i="49"/>
  <c r="L34" i="49"/>
  <c r="N16" i="50"/>
  <c r="N20" i="50"/>
  <c r="L22" i="50"/>
  <c r="L24" i="50"/>
  <c r="N15" i="53"/>
  <c r="L25" i="53"/>
  <c r="J36" i="46"/>
  <c r="J34" i="46"/>
  <c r="J33" i="46"/>
  <c r="J31" i="46"/>
  <c r="J29" i="46"/>
  <c r="J27" i="46"/>
  <c r="J25" i="46"/>
  <c r="J21" i="46"/>
  <c r="J20" i="46"/>
  <c r="J18" i="46"/>
  <c r="J16" i="46"/>
  <c r="J22" i="46"/>
  <c r="J24" i="46"/>
  <c r="H18" i="46"/>
  <c r="J15" i="46"/>
  <c r="N12" i="46"/>
  <c r="X13" i="46"/>
  <c r="Z15" i="46"/>
  <c r="X21" i="46"/>
  <c r="F24" i="47"/>
  <c r="F22" i="47"/>
  <c r="F21" i="47"/>
  <c r="D18" i="47"/>
  <c r="F15" i="47"/>
  <c r="F33" i="47"/>
  <c r="F29" i="47"/>
  <c r="F25" i="47"/>
  <c r="F20" i="47"/>
  <c r="F16" i="47"/>
  <c r="F36" i="47"/>
  <c r="F31" i="47"/>
  <c r="F27" i="47"/>
  <c r="F34" i="47"/>
  <c r="F18" i="47"/>
  <c r="L12" i="47"/>
  <c r="X16" i="47"/>
  <c r="X20" i="47"/>
  <c r="N13" i="49"/>
  <c r="N22" i="49"/>
  <c r="N24" i="49"/>
  <c r="L13" i="50"/>
  <c r="N21" i="50"/>
  <c r="L25" i="50"/>
  <c r="L29" i="50"/>
  <c r="L33" i="50"/>
  <c r="L34" i="50"/>
  <c r="L12" i="52"/>
  <c r="F24" i="52"/>
  <c r="F22" i="52"/>
  <c r="F20" i="52"/>
  <c r="F18" i="52"/>
  <c r="F16" i="52"/>
  <c r="F25" i="52"/>
  <c r="F29" i="52"/>
  <c r="D18" i="52"/>
  <c r="F15" i="52"/>
  <c r="F33" i="52"/>
  <c r="F21" i="52"/>
  <c r="F36" i="52"/>
  <c r="F27" i="52"/>
  <c r="F31" i="52"/>
  <c r="F34" i="52"/>
  <c r="Z29" i="53"/>
  <c r="L34" i="53"/>
  <c r="X15" i="49"/>
  <c r="N25" i="49"/>
  <c r="N29" i="49"/>
  <c r="N33" i="49"/>
  <c r="N34" i="49"/>
  <c r="N13" i="50"/>
  <c r="N22" i="50"/>
  <c r="N24" i="50"/>
  <c r="J36" i="52"/>
  <c r="J34" i="52"/>
  <c r="J33" i="52"/>
  <c r="J31" i="52"/>
  <c r="J29" i="52"/>
  <c r="J27" i="52"/>
  <c r="J25" i="52"/>
  <c r="J24" i="52"/>
  <c r="J22" i="52"/>
  <c r="J20" i="52"/>
  <c r="J18" i="52"/>
  <c r="J16" i="52"/>
  <c r="J15" i="52"/>
  <c r="N12" i="52"/>
  <c r="H18" i="52"/>
  <c r="J21" i="52"/>
  <c r="N15" i="52"/>
  <c r="X21" i="52"/>
  <c r="X33" i="52"/>
  <c r="F36" i="49"/>
  <c r="F34" i="49"/>
  <c r="F33" i="49"/>
  <c r="F31" i="49"/>
  <c r="F29" i="49"/>
  <c r="F27" i="49"/>
  <c r="F25" i="49"/>
  <c r="F24" i="49"/>
  <c r="F22" i="49"/>
  <c r="F21" i="49"/>
  <c r="F20" i="49"/>
  <c r="F18" i="49"/>
  <c r="F16" i="49"/>
  <c r="D18" i="49"/>
  <c r="F15" i="49"/>
  <c r="L12" i="49"/>
  <c r="X16" i="49"/>
  <c r="X20" i="49"/>
  <c r="X15" i="50"/>
  <c r="N25" i="50"/>
  <c r="N29" i="50"/>
  <c r="N33" i="50"/>
  <c r="N34" i="50"/>
  <c r="Z21" i="52"/>
  <c r="Z25" i="53"/>
  <c r="X21" i="49"/>
  <c r="F36" i="50"/>
  <c r="F34" i="50"/>
  <c r="F33" i="50"/>
  <c r="F31" i="50"/>
  <c r="F29" i="50"/>
  <c r="F27" i="50"/>
  <c r="F25" i="50"/>
  <c r="F24" i="50"/>
  <c r="F22" i="50"/>
  <c r="F21" i="50"/>
  <c r="F20" i="50"/>
  <c r="F18" i="50"/>
  <c r="F16" i="50"/>
  <c r="D18" i="50"/>
  <c r="F15" i="50"/>
  <c r="L12" i="50"/>
  <c r="X16" i="50"/>
  <c r="X20" i="50"/>
  <c r="V21" i="52"/>
  <c r="T18" i="52"/>
  <c r="V15" i="52"/>
  <c r="V24" i="52"/>
  <c r="V22" i="52"/>
  <c r="V33" i="52"/>
  <c r="V36" i="52"/>
  <c r="V27" i="52"/>
  <c r="V16" i="52"/>
  <c r="V31" i="52"/>
  <c r="V20" i="52"/>
  <c r="V25" i="52"/>
  <c r="Z12" i="52"/>
  <c r="V18" i="52"/>
  <c r="V34" i="52"/>
  <c r="V29" i="52"/>
  <c r="X29" i="52"/>
  <c r="F36" i="53"/>
  <c r="F34" i="53"/>
  <c r="F33" i="53"/>
  <c r="F31" i="53"/>
  <c r="F29" i="53"/>
  <c r="F27" i="53"/>
  <c r="F25" i="53"/>
  <c r="F21" i="53"/>
  <c r="D18" i="53"/>
  <c r="F15" i="53"/>
  <c r="F20" i="53"/>
  <c r="F22" i="53"/>
  <c r="F18" i="53"/>
  <c r="F24" i="53"/>
  <c r="F16" i="53"/>
  <c r="L12" i="53"/>
  <c r="X22" i="53"/>
  <c r="Z34" i="53"/>
  <c r="L15" i="52"/>
  <c r="Z25" i="52"/>
  <c r="Z29" i="52"/>
  <c r="Z33" i="52"/>
  <c r="Z34" i="52"/>
  <c r="R24" i="53"/>
  <c r="R22" i="53"/>
  <c r="R20" i="53"/>
  <c r="R18" i="53"/>
  <c r="R16" i="53"/>
  <c r="X12" i="53"/>
  <c r="R36" i="53"/>
  <c r="R34" i="53"/>
  <c r="R33" i="53"/>
  <c r="R31" i="53"/>
  <c r="R29" i="53"/>
  <c r="R27" i="53"/>
  <c r="R25" i="53"/>
  <c r="R15" i="53"/>
  <c r="P18" i="53"/>
  <c r="R21" i="53"/>
  <c r="Z22" i="53"/>
  <c r="Z24" i="53"/>
  <c r="L21" i="52"/>
  <c r="L16" i="53"/>
  <c r="L20" i="53"/>
  <c r="N21" i="52"/>
  <c r="L25" i="52"/>
  <c r="L29" i="52"/>
  <c r="L33" i="52"/>
  <c r="L34" i="52"/>
  <c r="N16" i="53"/>
  <c r="N20" i="53"/>
  <c r="L22" i="53"/>
  <c r="L24" i="53"/>
  <c r="X15" i="52"/>
  <c r="N25" i="52"/>
  <c r="N29" i="52"/>
  <c r="N33" i="52"/>
  <c r="N34" i="52"/>
  <c r="N13" i="53"/>
  <c r="N22" i="53"/>
  <c r="N24" i="53"/>
  <c r="X16" i="52"/>
  <c r="X20" i="52"/>
  <c r="X15" i="53"/>
  <c r="N25" i="53"/>
  <c r="N29" i="53"/>
  <c r="N33" i="53"/>
  <c r="N34" i="53"/>
  <c r="Z13" i="52"/>
  <c r="Z16" i="52"/>
  <c r="Z20" i="52"/>
  <c r="X22" i="52"/>
  <c r="X24" i="52"/>
  <c r="N12" i="53"/>
  <c r="J24" i="53"/>
  <c r="J22" i="53"/>
  <c r="J21" i="53"/>
  <c r="H18" i="53"/>
  <c r="J15" i="53"/>
  <c r="J31" i="53"/>
  <c r="J20" i="53"/>
  <c r="J34" i="53"/>
  <c r="J25" i="53"/>
  <c r="J29" i="53"/>
  <c r="J18" i="53"/>
  <c r="J33" i="53"/>
  <c r="J36" i="53"/>
  <c r="J27" i="53"/>
  <c r="J16" i="53"/>
  <c r="X13" i="53"/>
  <c r="Z15" i="53"/>
  <c r="X21" i="53"/>
  <c r="R36" i="52"/>
  <c r="R34" i="52"/>
  <c r="R33" i="52"/>
  <c r="R31" i="52"/>
  <c r="R29" i="52"/>
  <c r="R27" i="52"/>
  <c r="R25" i="52"/>
  <c r="R21" i="52"/>
  <c r="P18" i="52"/>
  <c r="R18" i="52"/>
  <c r="R24" i="52"/>
  <c r="R16" i="52"/>
  <c r="R20" i="52"/>
  <c r="R22" i="52"/>
  <c r="R15" i="52"/>
  <c r="X12" i="52"/>
  <c r="Z22" i="52"/>
  <c r="Z24" i="52"/>
  <c r="Z21" i="53"/>
  <c r="X25" i="53"/>
  <c r="X29" i="53"/>
  <c r="X33" i="53"/>
  <c r="X34" i="53"/>
  <c r="R21" i="111"/>
  <c r="R20" i="111"/>
  <c r="R18" i="111"/>
  <c r="R16" i="111"/>
  <c r="P18" i="111"/>
  <c r="R15" i="111"/>
  <c r="X12" i="111"/>
  <c r="R29" i="111"/>
  <c r="R27" i="111"/>
  <c r="R36" i="111"/>
  <c r="R25" i="111"/>
  <c r="R34" i="111"/>
  <c r="R24" i="111"/>
  <c r="R33" i="111"/>
  <c r="R31" i="111"/>
  <c r="R22" i="111"/>
  <c r="X24" i="112"/>
  <c r="Z22" i="111"/>
  <c r="X33" i="111"/>
  <c r="X20" i="113"/>
  <c r="N29" i="113"/>
  <c r="Z16" i="112"/>
  <c r="Z21" i="111"/>
  <c r="Z15" i="112"/>
  <c r="X34" i="111"/>
  <c r="Z24" i="111"/>
  <c r="F36" i="113"/>
  <c r="F34" i="113"/>
  <c r="F33" i="113"/>
  <c r="F31" i="113"/>
  <c r="F29" i="113"/>
  <c r="F27" i="113"/>
  <c r="F25" i="113"/>
  <c r="F24" i="113"/>
  <c r="F22" i="113"/>
  <c r="F21" i="113"/>
  <c r="F20" i="113"/>
  <c r="F18" i="113"/>
  <c r="F16" i="113"/>
  <c r="D18" i="113"/>
  <c r="F15" i="113"/>
  <c r="L12" i="113"/>
  <c r="X25" i="111"/>
  <c r="N33" i="113"/>
  <c r="Z20" i="112"/>
  <c r="J36" i="112"/>
  <c r="J34" i="112"/>
  <c r="J33" i="112"/>
  <c r="J31" i="112"/>
  <c r="J29" i="112"/>
  <c r="J27" i="112"/>
  <c r="J25" i="112"/>
  <c r="J24" i="112"/>
  <c r="J22" i="112"/>
  <c r="J21" i="112"/>
  <c r="J20" i="112"/>
  <c r="J18" i="112"/>
  <c r="J16" i="112"/>
  <c r="H18" i="112"/>
  <c r="J15" i="112"/>
  <c r="N12" i="112"/>
  <c r="X21" i="112"/>
  <c r="X15" i="113"/>
  <c r="N34" i="113"/>
  <c r="X29" i="111"/>
  <c r="X13" i="112"/>
  <c r="N25" i="113"/>
  <c r="Z13" i="112"/>
  <c r="X22" i="112"/>
  <c r="X16" i="113"/>
  <c r="T18" i="111"/>
  <c r="V15" i="111"/>
  <c r="Z12" i="111"/>
  <c r="V36" i="111"/>
  <c r="V34" i="111"/>
  <c r="V33" i="111"/>
  <c r="V31" i="111"/>
  <c r="V29" i="111"/>
  <c r="V27" i="111"/>
  <c r="V25" i="111"/>
  <c r="V24" i="111"/>
  <c r="V22" i="111"/>
  <c r="V20" i="111"/>
  <c r="V18" i="111"/>
  <c r="V16" i="111"/>
  <c r="V21" i="111"/>
  <c r="L15" i="111"/>
  <c r="Z25" i="111"/>
  <c r="Z29" i="111"/>
  <c r="Z33" i="111"/>
  <c r="Z34" i="111"/>
  <c r="Z21" i="112"/>
  <c r="X25" i="112"/>
  <c r="X29" i="112"/>
  <c r="X33" i="112"/>
  <c r="X34" i="112"/>
  <c r="J21" i="113"/>
  <c r="J20" i="113"/>
  <c r="J18" i="113"/>
  <c r="J16" i="113"/>
  <c r="H18" i="113"/>
  <c r="J15" i="113"/>
  <c r="N12" i="113"/>
  <c r="J36" i="113"/>
  <c r="J25" i="113"/>
  <c r="J34" i="113"/>
  <c r="J24" i="113"/>
  <c r="J33" i="113"/>
  <c r="J22" i="113"/>
  <c r="J31" i="113"/>
  <c r="J29" i="113"/>
  <c r="J27" i="113"/>
  <c r="X13" i="113"/>
  <c r="Z15" i="113"/>
  <c r="X21" i="113"/>
  <c r="L16" i="111"/>
  <c r="L20" i="111"/>
  <c r="P18" i="112"/>
  <c r="R15" i="112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Z22" i="112"/>
  <c r="Z24" i="112"/>
  <c r="Z13" i="113"/>
  <c r="Z16" i="113"/>
  <c r="Z20" i="113"/>
  <c r="X22" i="113"/>
  <c r="X24" i="113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Z21" i="113"/>
  <c r="X25" i="113"/>
  <c r="X29" i="113"/>
  <c r="X33" i="113"/>
  <c r="X34" i="113"/>
  <c r="N16" i="111"/>
  <c r="N20" i="111"/>
  <c r="L22" i="111"/>
  <c r="L24" i="111"/>
  <c r="L16" i="112"/>
  <c r="L20" i="112"/>
  <c r="X12" i="113"/>
  <c r="R36" i="113"/>
  <c r="R34" i="113"/>
  <c r="R33" i="113"/>
  <c r="R31" i="113"/>
  <c r="R29" i="113"/>
  <c r="R27" i="113"/>
  <c r="R25" i="113"/>
  <c r="R24" i="113"/>
  <c r="R22" i="113"/>
  <c r="R21" i="113"/>
  <c r="R20" i="113"/>
  <c r="R18" i="113"/>
  <c r="R16" i="113"/>
  <c r="R15" i="113"/>
  <c r="P18" i="113"/>
  <c r="Z22" i="113"/>
  <c r="Z24" i="113"/>
  <c r="L13" i="111"/>
  <c r="N21" i="111"/>
  <c r="L25" i="111"/>
  <c r="L29" i="111"/>
  <c r="L33" i="111"/>
  <c r="L34" i="111"/>
  <c r="N15" i="112"/>
  <c r="L21" i="112"/>
  <c r="Z12" i="113"/>
  <c r="V36" i="113"/>
  <c r="V34" i="113"/>
  <c r="V33" i="113"/>
  <c r="V31" i="113"/>
  <c r="V29" i="113"/>
  <c r="V27" i="113"/>
  <c r="V25" i="113"/>
  <c r="V24" i="113"/>
  <c r="V22" i="113"/>
  <c r="V21" i="113"/>
  <c r="V20" i="113"/>
  <c r="V18" i="113"/>
  <c r="V16" i="113"/>
  <c r="T18" i="113"/>
  <c r="V15" i="113"/>
  <c r="L15" i="113"/>
  <c r="Z25" i="113"/>
  <c r="Z29" i="113"/>
  <c r="Z33" i="113"/>
  <c r="Z34" i="113"/>
  <c r="N13" i="111"/>
  <c r="N22" i="111"/>
  <c r="N24" i="111"/>
  <c r="N16" i="112"/>
  <c r="N20" i="112"/>
  <c r="L22" i="112"/>
  <c r="L24" i="112"/>
  <c r="L16" i="113"/>
  <c r="L20" i="113"/>
  <c r="X15" i="111"/>
  <c r="N25" i="111"/>
  <c r="N29" i="111"/>
  <c r="N33" i="111"/>
  <c r="N34" i="111"/>
  <c r="L13" i="112"/>
  <c r="N21" i="112"/>
  <c r="L25" i="112"/>
  <c r="L29" i="112"/>
  <c r="L33" i="112"/>
  <c r="L34" i="112"/>
  <c r="N15" i="113"/>
  <c r="L21" i="113"/>
  <c r="L12" i="111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X16" i="111"/>
  <c r="X20" i="111"/>
  <c r="N13" i="112"/>
  <c r="N22" i="112"/>
  <c r="N24" i="112"/>
  <c r="N16" i="113"/>
  <c r="N20" i="113"/>
  <c r="L22" i="113"/>
  <c r="L24" i="113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L13" i="113"/>
  <c r="N21" i="113"/>
  <c r="L25" i="113"/>
  <c r="L29" i="113"/>
  <c r="L33" i="113"/>
  <c r="L34" i="113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N13" i="113"/>
  <c r="N22" i="113"/>
  <c r="N24" i="113"/>
  <c r="N16" i="3"/>
  <c r="Z23" i="3"/>
  <c r="Z52" i="3"/>
  <c r="N60" i="3"/>
  <c r="Z71" i="3"/>
  <c r="Z100" i="3"/>
  <c r="N108" i="3"/>
  <c r="N229" i="3"/>
  <c r="Z292" i="3"/>
  <c r="N307" i="3"/>
  <c r="V297" i="3"/>
  <c r="V283" i="3"/>
  <c r="V275" i="3"/>
  <c r="V271" i="3"/>
  <c r="V255" i="3"/>
  <c r="V247" i="3"/>
  <c r="V235" i="3"/>
  <c r="V227" i="3"/>
  <c r="V219" i="3"/>
  <c r="V211" i="3"/>
  <c r="V207" i="3"/>
  <c r="V185" i="3"/>
  <c r="V181" i="3"/>
  <c r="V169" i="3"/>
  <c r="V157" i="3"/>
  <c r="V145" i="3"/>
  <c r="V137" i="3"/>
  <c r="V296" i="3"/>
  <c r="V266" i="3"/>
  <c r="V254" i="3"/>
  <c r="V246" i="3"/>
  <c r="V226" i="3"/>
  <c r="V202" i="3"/>
  <c r="V198" i="3"/>
  <c r="V189" i="3"/>
  <c r="V177" i="3"/>
  <c r="V165" i="3"/>
  <c r="V161" i="3"/>
  <c r="V141" i="3"/>
  <c r="V234" i="3"/>
  <c r="V206" i="3"/>
  <c r="V308" i="3"/>
  <c r="V307" i="3"/>
  <c r="V303" i="3"/>
  <c r="V295" i="3"/>
  <c r="V277" i="3"/>
  <c r="V261" i="3"/>
  <c r="V249" i="3"/>
  <c r="V237" i="3"/>
  <c r="V229" i="3"/>
  <c r="V221" i="3"/>
  <c r="V173" i="3"/>
  <c r="V153" i="3"/>
  <c r="V149" i="3"/>
  <c r="V294" i="3"/>
  <c r="V284" i="3"/>
  <c r="V276" i="3"/>
  <c r="V272" i="3"/>
  <c r="V268" i="3"/>
  <c r="V256" i="3"/>
  <c r="V248" i="3"/>
  <c r="V228" i="3"/>
  <c r="V212" i="3"/>
  <c r="V208" i="3"/>
  <c r="V186" i="3"/>
  <c r="V174" i="3"/>
  <c r="V170" i="3"/>
  <c r="V166" i="3"/>
  <c r="V162" i="3"/>
  <c r="V158" i="3"/>
  <c r="V142" i="3"/>
  <c r="V138" i="3"/>
  <c r="V282" i="3"/>
  <c r="V210" i="3"/>
  <c r="V225" i="3"/>
  <c r="V197" i="3"/>
  <c r="V293" i="3"/>
  <c r="V267" i="3"/>
  <c r="V251" i="3"/>
  <c r="V239" i="3"/>
  <c r="V231" i="3"/>
  <c r="V203" i="3"/>
  <c r="V199" i="3"/>
  <c r="V190" i="3"/>
  <c r="V182" i="3"/>
  <c r="V178" i="3"/>
  <c r="V154" i="3"/>
  <c r="V150" i="3"/>
  <c r="V146" i="3"/>
  <c r="V134" i="3"/>
  <c r="V274" i="3"/>
  <c r="V270" i="3"/>
  <c r="V242" i="3"/>
  <c r="V205" i="3"/>
  <c r="V201" i="3"/>
  <c r="V292" i="3"/>
  <c r="V286" i="3"/>
  <c r="V278" i="3"/>
  <c r="V262" i="3"/>
  <c r="V250" i="3"/>
  <c r="V238" i="3"/>
  <c r="V230" i="3"/>
  <c r="V222" i="3"/>
  <c r="V214" i="3"/>
  <c r="V291" i="3"/>
  <c r="V285" i="3"/>
  <c r="V273" i="3"/>
  <c r="V269" i="3"/>
  <c r="V257" i="3"/>
  <c r="V241" i="3"/>
  <c r="V233" i="3"/>
  <c r="V213" i="3"/>
  <c r="V209" i="3"/>
  <c r="V299" i="3"/>
  <c r="V245" i="3"/>
  <c r="V217" i="3"/>
  <c r="V290" i="3"/>
  <c r="V280" i="3"/>
  <c r="V252" i="3"/>
  <c r="V240" i="3"/>
  <c r="V232" i="3"/>
  <c r="V224" i="3"/>
  <c r="V216" i="3"/>
  <c r="V204" i="3"/>
  <c r="V200" i="3"/>
  <c r="V196" i="3"/>
  <c r="V289" i="3"/>
  <c r="V287" i="3"/>
  <c r="V279" i="3"/>
  <c r="V263" i="3"/>
  <c r="V259" i="3"/>
  <c r="V243" i="3"/>
  <c r="V223" i="3"/>
  <c r="V215" i="3"/>
  <c r="V195" i="3"/>
  <c r="V191" i="3"/>
  <c r="V187" i="3"/>
  <c r="V183" i="3"/>
  <c r="V179" i="3"/>
  <c r="V175" i="3"/>
  <c r="V171" i="3"/>
  <c r="V167" i="3"/>
  <c r="V163" i="3"/>
  <c r="V159" i="3"/>
  <c r="V155" i="3"/>
  <c r="V151" i="3"/>
  <c r="V147" i="3"/>
  <c r="V143" i="3"/>
  <c r="V139" i="3"/>
  <c r="V135" i="3"/>
  <c r="V258" i="3"/>
  <c r="V218" i="3"/>
  <c r="T193" i="3"/>
  <c r="V193" i="3" s="1"/>
  <c r="V253" i="3"/>
  <c r="V298" i="3"/>
  <c r="V264" i="3"/>
  <c r="V260" i="3"/>
  <c r="V244" i="3"/>
  <c r="V236" i="3"/>
  <c r="V220" i="3"/>
  <c r="V188" i="3"/>
  <c r="V184" i="3"/>
  <c r="V180" i="3"/>
  <c r="V176" i="3"/>
  <c r="V172" i="3"/>
  <c r="V168" i="3"/>
  <c r="V164" i="3"/>
  <c r="V160" i="3"/>
  <c r="V156" i="3"/>
  <c r="V152" i="3"/>
  <c r="V148" i="3"/>
  <c r="V144" i="3"/>
  <c r="V140" i="3"/>
  <c r="V136" i="3"/>
  <c r="V281" i="3"/>
  <c r="V265" i="3"/>
  <c r="Z16" i="3"/>
  <c r="N20" i="3"/>
  <c r="Z31" i="3"/>
  <c r="Z60" i="3"/>
  <c r="N68" i="3"/>
  <c r="Z79" i="3"/>
  <c r="Z108" i="3"/>
  <c r="Z123" i="3"/>
  <c r="Z243" i="3"/>
  <c r="Z195" i="3"/>
  <c r="Z206" i="3"/>
  <c r="N249" i="3"/>
  <c r="N308" i="3"/>
  <c r="H22" i="6"/>
  <c r="N16" i="6"/>
  <c r="Z28" i="3"/>
  <c r="N36" i="3"/>
  <c r="Z47" i="3"/>
  <c r="Z76" i="3"/>
  <c r="N84" i="3"/>
  <c r="Z95" i="3"/>
  <c r="Z120" i="3"/>
  <c r="N196" i="3"/>
  <c r="Z282" i="3"/>
  <c r="Z291" i="3"/>
  <c r="N40" i="3"/>
  <c r="Z51" i="3"/>
  <c r="Z80" i="3"/>
  <c r="N88" i="3"/>
  <c r="Z99" i="3"/>
  <c r="Z124" i="3"/>
  <c r="N280" i="3"/>
  <c r="P22" i="6"/>
  <c r="R299" i="3"/>
  <c r="R265" i="3"/>
  <c r="R264" i="3"/>
  <c r="R260" i="3"/>
  <c r="R245" i="3"/>
  <c r="R244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R140" i="3"/>
  <c r="R136" i="3"/>
  <c r="R263" i="3"/>
  <c r="R298" i="3"/>
  <c r="R283" i="3"/>
  <c r="R275" i="3"/>
  <c r="R271" i="3"/>
  <c r="R236" i="3"/>
  <c r="R235" i="3"/>
  <c r="R220" i="3"/>
  <c r="R219" i="3"/>
  <c r="R211" i="3"/>
  <c r="R207" i="3"/>
  <c r="R216" i="3"/>
  <c r="R196" i="3"/>
  <c r="R183" i="3"/>
  <c r="R163" i="3"/>
  <c r="R135" i="3"/>
  <c r="R297" i="3"/>
  <c r="R266" i="3"/>
  <c r="R255" i="3"/>
  <c r="R254" i="3"/>
  <c r="R247" i="3"/>
  <c r="R246" i="3"/>
  <c r="R227" i="3"/>
  <c r="R226" i="3"/>
  <c r="R202" i="3"/>
  <c r="R198" i="3"/>
  <c r="R215" i="3"/>
  <c r="R303" i="3"/>
  <c r="R296" i="3"/>
  <c r="R261" i="3"/>
  <c r="R237" i="3"/>
  <c r="R221" i="3"/>
  <c r="R189" i="3"/>
  <c r="R185" i="3"/>
  <c r="R181" i="3"/>
  <c r="R177" i="3"/>
  <c r="R173" i="3"/>
  <c r="R169" i="3"/>
  <c r="R165" i="3"/>
  <c r="R161" i="3"/>
  <c r="R157" i="3"/>
  <c r="R153" i="3"/>
  <c r="R149" i="3"/>
  <c r="R145" i="3"/>
  <c r="R141" i="3"/>
  <c r="R137" i="3"/>
  <c r="R290" i="3"/>
  <c r="R287" i="3"/>
  <c r="R280" i="3"/>
  <c r="R279" i="3"/>
  <c r="R274" i="3"/>
  <c r="R270" i="3"/>
  <c r="R259" i="3"/>
  <c r="R195" i="3"/>
  <c r="R308" i="3"/>
  <c r="R307" i="3"/>
  <c r="R295" i="3"/>
  <c r="R284" i="3"/>
  <c r="R277" i="3"/>
  <c r="R276" i="3"/>
  <c r="R272" i="3"/>
  <c r="R256" i="3"/>
  <c r="R249" i="3"/>
  <c r="R248" i="3"/>
  <c r="R229" i="3"/>
  <c r="R228" i="3"/>
  <c r="R212" i="3"/>
  <c r="R208" i="3"/>
  <c r="X12" i="3"/>
  <c r="Z12" i="3" s="1"/>
  <c r="R143" i="3"/>
  <c r="R294" i="3"/>
  <c r="R268" i="3"/>
  <c r="R267" i="3"/>
  <c r="R203" i="3"/>
  <c r="R199" i="3"/>
  <c r="R293" i="3"/>
  <c r="R278" i="3"/>
  <c r="R262" i="3"/>
  <c r="R251" i="3"/>
  <c r="R250" i="3"/>
  <c r="R239" i="3"/>
  <c r="R238" i="3"/>
  <c r="R231" i="3"/>
  <c r="R230" i="3"/>
  <c r="R222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142" i="3"/>
  <c r="R138" i="3"/>
  <c r="R223" i="3"/>
  <c r="R191" i="3"/>
  <c r="R187" i="3"/>
  <c r="R167" i="3"/>
  <c r="R151" i="3"/>
  <c r="R258" i="3"/>
  <c r="R242" i="3"/>
  <c r="R234" i="3"/>
  <c r="R292" i="3"/>
  <c r="R286" i="3"/>
  <c r="R285" i="3"/>
  <c r="R273" i="3"/>
  <c r="R269" i="3"/>
  <c r="R257" i="3"/>
  <c r="R214" i="3"/>
  <c r="R213" i="3"/>
  <c r="R209" i="3"/>
  <c r="R134" i="3"/>
  <c r="R291" i="3"/>
  <c r="R252" i="3"/>
  <c r="R241" i="3"/>
  <c r="R240" i="3"/>
  <c r="R233" i="3"/>
  <c r="R232" i="3"/>
  <c r="R204" i="3"/>
  <c r="R200" i="3"/>
  <c r="R224" i="3"/>
  <c r="R179" i="3"/>
  <c r="R175" i="3"/>
  <c r="R171" i="3"/>
  <c r="R159" i="3"/>
  <c r="R155" i="3"/>
  <c r="R147" i="3"/>
  <c r="R139" i="3"/>
  <c r="R289" i="3"/>
  <c r="R282" i="3"/>
  <c r="R281" i="3"/>
  <c r="R253" i="3"/>
  <c r="R225" i="3"/>
  <c r="R218" i="3"/>
  <c r="R217" i="3"/>
  <c r="R206" i="3"/>
  <c r="R205" i="3"/>
  <c r="R201" i="3"/>
  <c r="R197" i="3"/>
  <c r="P193" i="3"/>
  <c r="R243" i="3"/>
  <c r="R210" i="3"/>
  <c r="Z32" i="3"/>
  <c r="Z36" i="3"/>
  <c r="Z55" i="3"/>
  <c r="Z84" i="3"/>
  <c r="Z103" i="3"/>
  <c r="Z44" i="3"/>
  <c r="N52" i="3"/>
  <c r="Z63" i="3"/>
  <c r="Z92" i="3"/>
  <c r="N100" i="3"/>
  <c r="Z111" i="3"/>
  <c r="N216" i="3"/>
  <c r="Z218" i="3"/>
  <c r="N298" i="3"/>
  <c r="F146" i="3"/>
  <c r="F186" i="3"/>
  <c r="F222" i="3"/>
  <c r="F229" i="3"/>
  <c r="F250" i="3"/>
  <c r="F307" i="3"/>
  <c r="J238" i="3"/>
  <c r="J134" i="3"/>
  <c r="J200" i="3"/>
  <c r="J204" i="3"/>
  <c r="F209" i="3"/>
  <c r="F213" i="3"/>
  <c r="J214" i="3"/>
  <c r="J232" i="3"/>
  <c r="J240" i="3"/>
  <c r="J252" i="3"/>
  <c r="F257" i="3"/>
  <c r="F268" i="3"/>
  <c r="F269" i="3"/>
  <c r="F273" i="3"/>
  <c r="F285" i="3"/>
  <c r="J286" i="3"/>
  <c r="P289" i="3"/>
  <c r="X289" i="3" s="1"/>
  <c r="Z289" i="3" s="1"/>
  <c r="N290" i="3"/>
  <c r="J292" i="3"/>
  <c r="F294" i="3"/>
  <c r="Z296" i="3"/>
  <c r="F14" i="6"/>
  <c r="F16" i="6"/>
  <c r="F18" i="6"/>
  <c r="F20" i="6"/>
  <c r="F22" i="6"/>
  <c r="J24" i="6"/>
  <c r="N28" i="6"/>
  <c r="N29" i="6"/>
  <c r="H16" i="9"/>
  <c r="Z41" i="9"/>
  <c r="R73" i="9"/>
  <c r="R257" i="12"/>
  <c r="R246" i="12"/>
  <c r="R239" i="12"/>
  <c r="R238" i="12"/>
  <c r="R234" i="12"/>
  <c r="R256" i="12"/>
  <c r="R229" i="12"/>
  <c r="R218" i="12"/>
  <c r="R217" i="12"/>
  <c r="R210" i="12"/>
  <c r="R209" i="12"/>
  <c r="R190" i="12"/>
  <c r="R189" i="12"/>
  <c r="R254" i="12"/>
  <c r="R248" i="12"/>
  <c r="R247" i="12"/>
  <c r="R235" i="12"/>
  <c r="R219" i="12"/>
  <c r="R212" i="12"/>
  <c r="R211" i="12"/>
  <c r="R191" i="12"/>
  <c r="R171" i="12"/>
  <c r="R167" i="12"/>
  <c r="R253" i="12"/>
  <c r="R231" i="12"/>
  <c r="R230" i="12"/>
  <c r="R183" i="12"/>
  <c r="R182" i="12"/>
  <c r="R163" i="12"/>
  <c r="R251" i="12"/>
  <c r="R236" i="12"/>
  <c r="R232" i="12"/>
  <c r="R220" i="12"/>
  <c r="R193" i="12"/>
  <c r="R192" i="12"/>
  <c r="R185" i="12"/>
  <c r="R184" i="12"/>
  <c r="R173" i="12"/>
  <c r="R172" i="12"/>
  <c r="R168" i="12"/>
  <c r="R164" i="12"/>
  <c r="R244" i="12"/>
  <c r="R243" i="12"/>
  <c r="R215" i="12"/>
  <c r="R204" i="12"/>
  <c r="R203" i="12"/>
  <c r="R155" i="12"/>
  <c r="R151" i="12"/>
  <c r="R147" i="12"/>
  <c r="R227" i="12"/>
  <c r="R222" i="12"/>
  <c r="R206" i="12"/>
  <c r="R194" i="12"/>
  <c r="R178" i="12"/>
  <c r="R175" i="12"/>
  <c r="R152" i="12"/>
  <c r="R241" i="12"/>
  <c r="R195" i="12"/>
  <c r="R149" i="12"/>
  <c r="R228" i="12"/>
  <c r="R225" i="12"/>
  <c r="R170" i="12"/>
  <c r="R162" i="12"/>
  <c r="P160" i="12"/>
  <c r="R146" i="12"/>
  <c r="R142" i="12"/>
  <c r="R138" i="12"/>
  <c r="R134" i="12"/>
  <c r="R130" i="12"/>
  <c r="R126" i="12"/>
  <c r="R122" i="12"/>
  <c r="R118" i="12"/>
  <c r="R114" i="12"/>
  <c r="R110" i="12"/>
  <c r="R242" i="12"/>
  <c r="R201" i="12"/>
  <c r="R156" i="12"/>
  <c r="R262" i="12"/>
  <c r="R258" i="12"/>
  <c r="R198" i="12"/>
  <c r="R186" i="12"/>
  <c r="R176" i="12"/>
  <c r="R153" i="12"/>
  <c r="R255" i="12"/>
  <c r="R252" i="12"/>
  <c r="R233" i="12"/>
  <c r="R223" i="12"/>
  <c r="R213" i="12"/>
  <c r="R207" i="12"/>
  <c r="R202" i="12"/>
  <c r="R187" i="12"/>
  <c r="R179" i="12"/>
  <c r="R166" i="12"/>
  <c r="R150" i="12"/>
  <c r="R143" i="12"/>
  <c r="R139" i="12"/>
  <c r="R135" i="12"/>
  <c r="R131" i="12"/>
  <c r="R127" i="12"/>
  <c r="R123" i="12"/>
  <c r="R119" i="12"/>
  <c r="R115" i="12"/>
  <c r="R111" i="12"/>
  <c r="R237" i="12"/>
  <c r="R216" i="12"/>
  <c r="R196" i="12"/>
  <c r="R226" i="12"/>
  <c r="R214" i="12"/>
  <c r="R208" i="12"/>
  <c r="R199" i="12"/>
  <c r="R174" i="12"/>
  <c r="R157" i="12"/>
  <c r="R249" i="12"/>
  <c r="R240" i="12"/>
  <c r="R221" i="12"/>
  <c r="R205" i="12"/>
  <c r="R177" i="12"/>
  <c r="R169" i="12"/>
  <c r="R154" i="12"/>
  <c r="R144" i="12"/>
  <c r="R140" i="12"/>
  <c r="R136" i="12"/>
  <c r="R132" i="12"/>
  <c r="R128" i="12"/>
  <c r="R124" i="12"/>
  <c r="R120" i="12"/>
  <c r="R116" i="12"/>
  <c r="R112" i="12"/>
  <c r="R245" i="12"/>
  <c r="R224" i="12"/>
  <c r="R197" i="12"/>
  <c r="R180" i="12"/>
  <c r="R148" i="12"/>
  <c r="R108" i="12"/>
  <c r="R181" i="12"/>
  <c r="R165" i="12"/>
  <c r="R158" i="12"/>
  <c r="R145" i="12"/>
  <c r="R141" i="12"/>
  <c r="R137" i="12"/>
  <c r="R133" i="12"/>
  <c r="R129" i="12"/>
  <c r="R125" i="12"/>
  <c r="R121" i="12"/>
  <c r="R117" i="12"/>
  <c r="R113" i="12"/>
  <c r="R109" i="12"/>
  <c r="N58" i="12"/>
  <c r="X67" i="12"/>
  <c r="N82" i="12"/>
  <c r="Z87" i="12"/>
  <c r="X91" i="12"/>
  <c r="L199" i="12"/>
  <c r="N199" i="12" s="1"/>
  <c r="F142" i="3"/>
  <c r="F150" i="3"/>
  <c r="F182" i="3"/>
  <c r="F190" i="3"/>
  <c r="J142" i="3"/>
  <c r="J250" i="3"/>
  <c r="J199" i="3"/>
  <c r="J203" i="3"/>
  <c r="F208" i="3"/>
  <c r="F212" i="3"/>
  <c r="F227" i="3"/>
  <c r="F228" i="3"/>
  <c r="J229" i="3"/>
  <c r="F247" i="3"/>
  <c r="F248" i="3"/>
  <c r="J249" i="3"/>
  <c r="F255" i="3"/>
  <c r="F256" i="3"/>
  <c r="J267" i="3"/>
  <c r="F272" i="3"/>
  <c r="F276" i="3"/>
  <c r="J277" i="3"/>
  <c r="F284" i="3"/>
  <c r="J295" i="3"/>
  <c r="F297" i="3"/>
  <c r="J307" i="3"/>
  <c r="J308" i="3"/>
  <c r="L14" i="6"/>
  <c r="L18" i="6"/>
  <c r="L20" i="6"/>
  <c r="L14" i="9"/>
  <c r="T16" i="9"/>
  <c r="V45" i="9"/>
  <c r="N66" i="12"/>
  <c r="Z71" i="12"/>
  <c r="L12" i="3"/>
  <c r="N12" i="3" s="1"/>
  <c r="X13" i="3"/>
  <c r="Z13" i="3" s="1"/>
  <c r="F137" i="3"/>
  <c r="F141" i="3"/>
  <c r="F145" i="3"/>
  <c r="F149" i="3"/>
  <c r="F153" i="3"/>
  <c r="F157" i="3"/>
  <c r="F161" i="3"/>
  <c r="F165" i="3"/>
  <c r="F169" i="3"/>
  <c r="F173" i="3"/>
  <c r="F177" i="3"/>
  <c r="F181" i="3"/>
  <c r="F185" i="3"/>
  <c r="F189" i="3"/>
  <c r="J208" i="3"/>
  <c r="J212" i="3"/>
  <c r="F220" i="3"/>
  <c r="F221" i="3"/>
  <c r="J228" i="3"/>
  <c r="F236" i="3"/>
  <c r="F237" i="3"/>
  <c r="J248" i="3"/>
  <c r="J256" i="3"/>
  <c r="F261" i="3"/>
  <c r="J272" i="3"/>
  <c r="J276" i="3"/>
  <c r="J284" i="3"/>
  <c r="J296" i="3"/>
  <c r="F298" i="3"/>
  <c r="F303" i="3"/>
  <c r="N14" i="6"/>
  <c r="V16" i="9"/>
  <c r="R24" i="9"/>
  <c r="R42" i="9"/>
  <c r="N69" i="9"/>
  <c r="R88" i="9"/>
  <c r="J245" i="12"/>
  <c r="J237" i="12"/>
  <c r="J233" i="12"/>
  <c r="J221" i="12"/>
  <c r="J205" i="12"/>
  <c r="J222" i="12"/>
  <c r="J216" i="12"/>
  <c r="J206" i="12"/>
  <c r="J196" i="12"/>
  <c r="J188" i="12"/>
  <c r="J258" i="12"/>
  <c r="J246" i="12"/>
  <c r="J238" i="12"/>
  <c r="J234" i="12"/>
  <c r="J228" i="12"/>
  <c r="J208" i="12"/>
  <c r="J198" i="12"/>
  <c r="J170" i="12"/>
  <c r="J166" i="12"/>
  <c r="J257" i="12"/>
  <c r="J239" i="12"/>
  <c r="J229" i="12"/>
  <c r="J217" i="12"/>
  <c r="J209" i="12"/>
  <c r="J199" i="12"/>
  <c r="J189" i="12"/>
  <c r="J255" i="12"/>
  <c r="J247" i="12"/>
  <c r="J235" i="12"/>
  <c r="J219" i="12"/>
  <c r="J211" i="12"/>
  <c r="J191" i="12"/>
  <c r="J181" i="12"/>
  <c r="J171" i="12"/>
  <c r="J167" i="12"/>
  <c r="J254" i="12"/>
  <c r="J248" i="12"/>
  <c r="J230" i="12"/>
  <c r="J212" i="12"/>
  <c r="J182" i="12"/>
  <c r="J158" i="12"/>
  <c r="J154" i="12"/>
  <c r="J150" i="12"/>
  <c r="J251" i="12"/>
  <c r="J243" i="12"/>
  <c r="J224" i="12"/>
  <c r="J203" i="12"/>
  <c r="J197" i="12"/>
  <c r="J184" i="12"/>
  <c r="J180" i="12"/>
  <c r="J148" i="12"/>
  <c r="J232" i="12"/>
  <c r="J200" i="12"/>
  <c r="J108" i="12"/>
  <c r="J236" i="12"/>
  <c r="J215" i="12"/>
  <c r="J165" i="12"/>
  <c r="J155" i="12"/>
  <c r="J145" i="12"/>
  <c r="J141" i="12"/>
  <c r="J137" i="12"/>
  <c r="J133" i="12"/>
  <c r="J129" i="12"/>
  <c r="J125" i="12"/>
  <c r="J121" i="12"/>
  <c r="J117" i="12"/>
  <c r="J113" i="12"/>
  <c r="J109" i="12"/>
  <c r="J241" i="12"/>
  <c r="J227" i="12"/>
  <c r="J194" i="12"/>
  <c r="J185" i="12"/>
  <c r="J178" i="12"/>
  <c r="J175" i="12"/>
  <c r="J172" i="12"/>
  <c r="J152" i="12"/>
  <c r="J244" i="12"/>
  <c r="J225" i="12"/>
  <c r="J220" i="12"/>
  <c r="J149" i="12"/>
  <c r="L12" i="12"/>
  <c r="N12" i="12" s="1"/>
  <c r="J204" i="12"/>
  <c r="J201" i="12"/>
  <c r="J195" i="12"/>
  <c r="J163" i="12"/>
  <c r="J162" i="12"/>
  <c r="H160" i="12"/>
  <c r="J146" i="12"/>
  <c r="J142" i="12"/>
  <c r="J138" i="12"/>
  <c r="J134" i="12"/>
  <c r="J130" i="12"/>
  <c r="J126" i="12"/>
  <c r="J122" i="12"/>
  <c r="J118" i="12"/>
  <c r="J114" i="12"/>
  <c r="J110" i="12"/>
  <c r="J242" i="12"/>
  <c r="J218" i="12"/>
  <c r="J210" i="12"/>
  <c r="J173" i="12"/>
  <c r="J168" i="12"/>
  <c r="J156" i="12"/>
  <c r="J262" i="12"/>
  <c r="J231" i="12"/>
  <c r="J213" i="12"/>
  <c r="J186" i="12"/>
  <c r="J176" i="12"/>
  <c r="J153" i="12"/>
  <c r="J252" i="12"/>
  <c r="J223" i="12"/>
  <c r="J207" i="12"/>
  <c r="J202" i="12"/>
  <c r="J192" i="12"/>
  <c r="J183" i="12"/>
  <c r="J179" i="12"/>
  <c r="J147" i="12"/>
  <c r="J143" i="12"/>
  <c r="J139" i="12"/>
  <c r="J135" i="12"/>
  <c r="J131" i="12"/>
  <c r="J127" i="12"/>
  <c r="J123" i="12"/>
  <c r="J119" i="12"/>
  <c r="J115" i="12"/>
  <c r="J111" i="12"/>
  <c r="J190" i="12"/>
  <c r="J187" i="12"/>
  <c r="J164" i="12"/>
  <c r="J256" i="12"/>
  <c r="J253" i="12"/>
  <c r="J240" i="12"/>
  <c r="J193" i="12"/>
  <c r="J169" i="12"/>
  <c r="J151" i="12"/>
  <c r="J144" i="12"/>
  <c r="J140" i="12"/>
  <c r="J136" i="12"/>
  <c r="J132" i="12"/>
  <c r="J128" i="12"/>
  <c r="J124" i="12"/>
  <c r="J120" i="12"/>
  <c r="J116" i="12"/>
  <c r="J112" i="12"/>
  <c r="X75" i="12"/>
  <c r="N90" i="12"/>
  <c r="X95" i="12"/>
  <c r="J226" i="12"/>
  <c r="F154" i="3"/>
  <c r="F158" i="3"/>
  <c r="F162" i="3"/>
  <c r="F238" i="3"/>
  <c r="R20" i="9"/>
  <c r="Z91" i="12"/>
  <c r="J138" i="3"/>
  <c r="J158" i="3"/>
  <c r="J162" i="3"/>
  <c r="J178" i="3"/>
  <c r="J182" i="3"/>
  <c r="J230" i="3"/>
  <c r="J262" i="3"/>
  <c r="F296" i="3"/>
  <c r="J137" i="3"/>
  <c r="J141" i="3"/>
  <c r="J145" i="3"/>
  <c r="J149" i="3"/>
  <c r="J153" i="3"/>
  <c r="J157" i="3"/>
  <c r="J161" i="3"/>
  <c r="J165" i="3"/>
  <c r="J169" i="3"/>
  <c r="J173" i="3"/>
  <c r="J177" i="3"/>
  <c r="J181" i="3"/>
  <c r="J185" i="3"/>
  <c r="J189" i="3"/>
  <c r="F198" i="3"/>
  <c r="F202" i="3"/>
  <c r="J221" i="3"/>
  <c r="F226" i="3"/>
  <c r="J227" i="3"/>
  <c r="J237" i="3"/>
  <c r="F245" i="3"/>
  <c r="F246" i="3"/>
  <c r="J247" i="3"/>
  <c r="F254" i="3"/>
  <c r="J255" i="3"/>
  <c r="J261" i="3"/>
  <c r="F265" i="3"/>
  <c r="F266" i="3"/>
  <c r="J297" i="3"/>
  <c r="F299" i="3"/>
  <c r="J303" i="3"/>
  <c r="X19" i="9"/>
  <c r="Z19" i="9" s="1"/>
  <c r="R26" i="9"/>
  <c r="R31" i="9"/>
  <c r="V40" i="9"/>
  <c r="N58" i="9"/>
  <c r="N70" i="12"/>
  <c r="Z75" i="12"/>
  <c r="Z95" i="12"/>
  <c r="X99" i="12"/>
  <c r="N193" i="12"/>
  <c r="V243" i="15"/>
  <c r="V237" i="15"/>
  <c r="V225" i="15"/>
  <c r="V213" i="15"/>
  <c r="V197" i="15"/>
  <c r="V189" i="15"/>
  <c r="V181" i="15"/>
  <c r="V149" i="15"/>
  <c r="V145" i="15"/>
  <c r="V141" i="15"/>
  <c r="V137" i="15"/>
  <c r="V133" i="15"/>
  <c r="V129" i="15"/>
  <c r="V125" i="15"/>
  <c r="V121" i="15"/>
  <c r="V117" i="15"/>
  <c r="V113" i="15"/>
  <c r="V109" i="15"/>
  <c r="V105" i="15"/>
  <c r="V242" i="15"/>
  <c r="V232" i="15"/>
  <c r="V220" i="15"/>
  <c r="V208" i="15"/>
  <c r="V200" i="15"/>
  <c r="V188" i="15"/>
  <c r="V180" i="15"/>
  <c r="V172" i="15"/>
  <c r="V168" i="15"/>
  <c r="V241" i="15"/>
  <c r="V239" i="15"/>
  <c r="V231" i="15"/>
  <c r="V215" i="15"/>
  <c r="V199" i="15"/>
  <c r="V191" i="15"/>
  <c r="V163" i="15"/>
  <c r="V159" i="15"/>
  <c r="V234" i="15"/>
  <c r="V226" i="15"/>
  <c r="V222" i="15"/>
  <c r="V210" i="15"/>
  <c r="V202" i="15"/>
  <c r="V190" i="15"/>
  <c r="V182" i="15"/>
  <c r="V150" i="15"/>
  <c r="V146" i="15"/>
  <c r="V142" i="15"/>
  <c r="V138" i="15"/>
  <c r="V134" i="15"/>
  <c r="V130" i="15"/>
  <c r="V126" i="15"/>
  <c r="V122" i="15"/>
  <c r="V118" i="15"/>
  <c r="V114" i="15"/>
  <c r="V110" i="15"/>
  <c r="V106" i="15"/>
  <c r="V233" i="15"/>
  <c r="V221" i="15"/>
  <c r="V209" i="15"/>
  <c r="V201" i="15"/>
  <c r="V193" i="15"/>
  <c r="V173" i="15"/>
  <c r="V169" i="15"/>
  <c r="V216" i="15"/>
  <c r="V204" i="15"/>
  <c r="V192" i="15"/>
  <c r="V184" i="15"/>
  <c r="V164" i="15"/>
  <c r="V160" i="15"/>
  <c r="V235" i="15"/>
  <c r="V227" i="15"/>
  <c r="V223" i="15"/>
  <c r="V211" i="15"/>
  <c r="V203" i="15"/>
  <c r="V183" i="15"/>
  <c r="V175" i="15"/>
  <c r="V151" i="15"/>
  <c r="V147" i="15"/>
  <c r="V143" i="15"/>
  <c r="V139" i="15"/>
  <c r="V135" i="15"/>
  <c r="V131" i="15"/>
  <c r="V127" i="15"/>
  <c r="V123" i="15"/>
  <c r="V119" i="15"/>
  <c r="V115" i="15"/>
  <c r="V111" i="15"/>
  <c r="V107" i="15"/>
  <c r="V248" i="15"/>
  <c r="V206" i="15"/>
  <c r="V194" i="15"/>
  <c r="V174" i="15"/>
  <c r="V170" i="15"/>
  <c r="V247" i="15"/>
  <c r="V229" i="15"/>
  <c r="V217" i="15"/>
  <c r="V205" i="15"/>
  <c r="V185" i="15"/>
  <c r="V177" i="15"/>
  <c r="V165" i="15"/>
  <c r="V161" i="15"/>
  <c r="V157" i="15"/>
  <c r="V246" i="15"/>
  <c r="V236" i="15"/>
  <c r="V228" i="15"/>
  <c r="V224" i="15"/>
  <c r="V212" i="15"/>
  <c r="V196" i="15"/>
  <c r="V176" i="15"/>
  <c r="V156" i="15"/>
  <c r="V152" i="15"/>
  <c r="V148" i="15"/>
  <c r="V144" i="15"/>
  <c r="V140" i="15"/>
  <c r="V136" i="15"/>
  <c r="V132" i="15"/>
  <c r="V128" i="15"/>
  <c r="V124" i="15"/>
  <c r="V120" i="15"/>
  <c r="V116" i="15"/>
  <c r="V112" i="15"/>
  <c r="V108" i="15"/>
  <c r="V104" i="15"/>
  <c r="V252" i="15"/>
  <c r="V244" i="15"/>
  <c r="V238" i="15"/>
  <c r="V230" i="15"/>
  <c r="V218" i="15"/>
  <c r="V214" i="15"/>
  <c r="V198" i="15"/>
  <c r="V186" i="15"/>
  <c r="V178" i="15"/>
  <c r="V166" i="15"/>
  <c r="V162" i="15"/>
  <c r="V158" i="15"/>
  <c r="V179" i="15"/>
  <c r="V245" i="15"/>
  <c r="V187" i="15"/>
  <c r="V171" i="15"/>
  <c r="V219" i="15"/>
  <c r="V207" i="15"/>
  <c r="T154" i="15"/>
  <c r="L37" i="15"/>
  <c r="N37" i="15" s="1"/>
  <c r="R29" i="9"/>
  <c r="J198" i="3"/>
  <c r="J202" i="3"/>
  <c r="F206" i="3"/>
  <c r="F207" i="3"/>
  <c r="F218" i="3"/>
  <c r="F219" i="3"/>
  <c r="J220" i="3"/>
  <c r="J226" i="3"/>
  <c r="F235" i="3"/>
  <c r="J236" i="3"/>
  <c r="J246" i="3"/>
  <c r="J254" i="3"/>
  <c r="J266" i="3"/>
  <c r="F271" i="3"/>
  <c r="F275" i="3"/>
  <c r="F282" i="3"/>
  <c r="F283" i="3"/>
  <c r="J298" i="3"/>
  <c r="V46" i="9"/>
  <c r="R50" i="9"/>
  <c r="Z77" i="12"/>
  <c r="Z99" i="12"/>
  <c r="X181" i="12"/>
  <c r="Z181" i="12" s="1"/>
  <c r="X253" i="12"/>
  <c r="P251" i="12"/>
  <c r="X251" i="12" s="1"/>
  <c r="Z251" i="12" s="1"/>
  <c r="F138" i="3"/>
  <c r="F308" i="3"/>
  <c r="F267" i="3"/>
  <c r="J278" i="3"/>
  <c r="R22" i="9"/>
  <c r="X134" i="3"/>
  <c r="Z134" i="3" s="1"/>
  <c r="F136" i="3"/>
  <c r="F140" i="3"/>
  <c r="F144" i="3"/>
  <c r="F148" i="3"/>
  <c r="F152" i="3"/>
  <c r="F156" i="3"/>
  <c r="F160" i="3"/>
  <c r="F164" i="3"/>
  <c r="F168" i="3"/>
  <c r="F172" i="3"/>
  <c r="F176" i="3"/>
  <c r="F180" i="3"/>
  <c r="F184" i="3"/>
  <c r="F188" i="3"/>
  <c r="F195" i="3"/>
  <c r="J207" i="3"/>
  <c r="J211" i="3"/>
  <c r="X214" i="3"/>
  <c r="Z214" i="3" s="1"/>
  <c r="J219" i="3"/>
  <c r="L220" i="3"/>
  <c r="N220" i="3" s="1"/>
  <c r="J235" i="3"/>
  <c r="L236" i="3"/>
  <c r="N236" i="3" s="1"/>
  <c r="F243" i="3"/>
  <c r="F244" i="3"/>
  <c r="J245" i="3"/>
  <c r="F259" i="3"/>
  <c r="F260" i="3"/>
  <c r="F264" i="3"/>
  <c r="J265" i="3"/>
  <c r="J271" i="3"/>
  <c r="J275" i="3"/>
  <c r="J283" i="3"/>
  <c r="F289" i="3"/>
  <c r="J299" i="3"/>
  <c r="T16" i="6"/>
  <c r="X14" i="9"/>
  <c r="N18" i="9"/>
  <c r="R28" i="9"/>
  <c r="Z52" i="9"/>
  <c r="T12" i="12"/>
  <c r="Z15" i="12"/>
  <c r="X19" i="12"/>
  <c r="X23" i="12"/>
  <c r="X27" i="12"/>
  <c r="X31" i="12"/>
  <c r="X35" i="12"/>
  <c r="X39" i="12"/>
  <c r="X43" i="12"/>
  <c r="X47" i="12"/>
  <c r="X51" i="12"/>
  <c r="N74" i="12"/>
  <c r="Z79" i="12"/>
  <c r="X103" i="12"/>
  <c r="X25" i="15"/>
  <c r="Z25" i="15" s="1"/>
  <c r="F166" i="3"/>
  <c r="F170" i="3"/>
  <c r="F174" i="3"/>
  <c r="F178" i="3"/>
  <c r="F230" i="3"/>
  <c r="F249" i="3"/>
  <c r="F262" i="3"/>
  <c r="F277" i="3"/>
  <c r="F278" i="3"/>
  <c r="F295" i="3"/>
  <c r="R75" i="9"/>
  <c r="R67" i="9"/>
  <c r="R52" i="9"/>
  <c r="R51" i="9"/>
  <c r="R35" i="9"/>
  <c r="R92" i="9"/>
  <c r="R62" i="9"/>
  <c r="R97" i="9"/>
  <c r="R94" i="9"/>
  <c r="R82" i="9"/>
  <c r="R81" i="9"/>
  <c r="R54" i="9"/>
  <c r="R53" i="9"/>
  <c r="R76" i="9"/>
  <c r="R69" i="9"/>
  <c r="R68" i="9"/>
  <c r="R45" i="9"/>
  <c r="R44" i="9"/>
  <c r="R36" i="9"/>
  <c r="R32" i="9"/>
  <c r="X12" i="9"/>
  <c r="R84" i="9"/>
  <c r="R83" i="9"/>
  <c r="R70" i="9"/>
  <c r="R46" i="9"/>
  <c r="R19" i="9"/>
  <c r="R85" i="9"/>
  <c r="R77" i="9"/>
  <c r="R58" i="9"/>
  <c r="R57" i="9"/>
  <c r="R37" i="9"/>
  <c r="R33" i="9"/>
  <c r="R18" i="9"/>
  <c r="R16" i="9"/>
  <c r="R14" i="9"/>
  <c r="R65" i="9"/>
  <c r="R64" i="9"/>
  <c r="R72" i="9"/>
  <c r="R71" i="9"/>
  <c r="R60" i="9"/>
  <c r="R59" i="9"/>
  <c r="R48" i="9"/>
  <c r="R47" i="9"/>
  <c r="R86" i="9"/>
  <c r="R79" i="9"/>
  <c r="R78" i="9"/>
  <c r="R66" i="9"/>
  <c r="R39" i="9"/>
  <c r="R38" i="9"/>
  <c r="R34" i="9"/>
  <c r="R80" i="9"/>
  <c r="R41" i="9"/>
  <c r="R40" i="9"/>
  <c r="R43" i="9"/>
  <c r="Z67" i="12"/>
  <c r="F241" i="15"/>
  <c r="F199" i="3"/>
  <c r="J222" i="3"/>
  <c r="J294" i="3"/>
  <c r="D193" i="3"/>
  <c r="F193" i="3" s="1"/>
  <c r="F211" i="3"/>
  <c r="J136" i="3"/>
  <c r="J140" i="3"/>
  <c r="J144" i="3"/>
  <c r="J148" i="3"/>
  <c r="J152" i="3"/>
  <c r="J156" i="3"/>
  <c r="J160" i="3"/>
  <c r="J164" i="3"/>
  <c r="J168" i="3"/>
  <c r="J172" i="3"/>
  <c r="J176" i="3"/>
  <c r="J180" i="3"/>
  <c r="J184" i="3"/>
  <c r="J188" i="3"/>
  <c r="H193" i="3"/>
  <c r="F196" i="3"/>
  <c r="F197" i="3"/>
  <c r="F201" i="3"/>
  <c r="F205" i="3"/>
  <c r="J206" i="3"/>
  <c r="F216" i="3"/>
  <c r="F217" i="3"/>
  <c r="J218" i="3"/>
  <c r="F224" i="3"/>
  <c r="F225" i="3"/>
  <c r="X239" i="3"/>
  <c r="Z239" i="3" s="1"/>
  <c r="J244" i="3"/>
  <c r="F253" i="3"/>
  <c r="J260" i="3"/>
  <c r="J264" i="3"/>
  <c r="F280" i="3"/>
  <c r="F281" i="3"/>
  <c r="J282" i="3"/>
  <c r="H289" i="3"/>
  <c r="F290" i="3"/>
  <c r="V14" i="6"/>
  <c r="V16" i="6"/>
  <c r="V18" i="6"/>
  <c r="V20" i="6"/>
  <c r="F26" i="6"/>
  <c r="F28" i="6"/>
  <c r="F29" i="6"/>
  <c r="F31" i="6"/>
  <c r="R21" i="9"/>
  <c r="R23" i="9"/>
  <c r="R30" i="9"/>
  <c r="L41" i="9"/>
  <c r="N41" i="9" s="1"/>
  <c r="V52" i="9"/>
  <c r="N65" i="9"/>
  <c r="Z19" i="12"/>
  <c r="Z23" i="12"/>
  <c r="Z27" i="12"/>
  <c r="Z29" i="12"/>
  <c r="Z31" i="12"/>
  <c r="Z35" i="12"/>
  <c r="Z39" i="12"/>
  <c r="Z43" i="12"/>
  <c r="Z47" i="12"/>
  <c r="Z51" i="12"/>
  <c r="X55" i="12"/>
  <c r="Z55" i="12" s="1"/>
  <c r="X59" i="12"/>
  <c r="X83" i="12"/>
  <c r="Z103" i="12"/>
  <c r="R188" i="12"/>
  <c r="R200" i="12"/>
  <c r="V167" i="15"/>
  <c r="J193" i="3"/>
  <c r="J195" i="3"/>
  <c r="J197" i="3"/>
  <c r="J201" i="3"/>
  <c r="J205" i="3"/>
  <c r="J217" i="3"/>
  <c r="J225" i="3"/>
  <c r="F233" i="3"/>
  <c r="F234" i="3"/>
  <c r="F241" i="3"/>
  <c r="F242" i="3"/>
  <c r="J243" i="3"/>
  <c r="J253" i="3"/>
  <c r="F258" i="3"/>
  <c r="J259" i="3"/>
  <c r="F270" i="3"/>
  <c r="F274" i="3"/>
  <c r="J281" i="3"/>
  <c r="J289" i="3"/>
  <c r="F291" i="3"/>
  <c r="V14" i="9"/>
  <c r="R49" i="9"/>
  <c r="V58" i="9"/>
  <c r="R63" i="9"/>
  <c r="R74" i="9"/>
  <c r="R90" i="9"/>
  <c r="Z57" i="12"/>
  <c r="Z59" i="12"/>
  <c r="Z83" i="12"/>
  <c r="J174" i="12"/>
  <c r="J177" i="12"/>
  <c r="J214" i="12"/>
  <c r="J146" i="3"/>
  <c r="J150" i="3"/>
  <c r="J154" i="3"/>
  <c r="J166" i="3"/>
  <c r="J170" i="3"/>
  <c r="J174" i="3"/>
  <c r="J186" i="3"/>
  <c r="J190" i="3"/>
  <c r="F203" i="3"/>
  <c r="V97" i="9"/>
  <c r="V94" i="9"/>
  <c r="V92" i="9"/>
  <c r="V82" i="9"/>
  <c r="V62" i="9"/>
  <c r="V54" i="9"/>
  <c r="V42" i="9"/>
  <c r="V30" i="9"/>
  <c r="V26" i="9"/>
  <c r="V22" i="9"/>
  <c r="V81" i="9"/>
  <c r="V69" i="9"/>
  <c r="V53" i="9"/>
  <c r="V84" i="9"/>
  <c r="V76" i="9"/>
  <c r="V68" i="9"/>
  <c r="V56" i="9"/>
  <c r="V44" i="9"/>
  <c r="V36" i="9"/>
  <c r="V32" i="9"/>
  <c r="Z12" i="9"/>
  <c r="V83" i="9"/>
  <c r="V63" i="9"/>
  <c r="V55" i="9"/>
  <c r="V27" i="9"/>
  <c r="V23" i="9"/>
  <c r="V19" i="9"/>
  <c r="V85" i="9"/>
  <c r="V77" i="9"/>
  <c r="V65" i="9"/>
  <c r="V57" i="9"/>
  <c r="V37" i="9"/>
  <c r="V33" i="9"/>
  <c r="V72" i="9"/>
  <c r="V64" i="9"/>
  <c r="V60" i="9"/>
  <c r="V48" i="9"/>
  <c r="V28" i="9"/>
  <c r="V24" i="9"/>
  <c r="V20" i="9"/>
  <c r="V79" i="9"/>
  <c r="V71" i="9"/>
  <c r="V59" i="9"/>
  <c r="V47" i="9"/>
  <c r="V90" i="9"/>
  <c r="V88" i="9"/>
  <c r="V86" i="9"/>
  <c r="V78" i="9"/>
  <c r="V74" i="9"/>
  <c r="V66" i="9"/>
  <c r="V50" i="9"/>
  <c r="V38" i="9"/>
  <c r="V34" i="9"/>
  <c r="V73" i="9"/>
  <c r="V61" i="9"/>
  <c r="V49" i="9"/>
  <c r="V41" i="9"/>
  <c r="V29" i="9"/>
  <c r="V25" i="9"/>
  <c r="V21" i="9"/>
  <c r="V75" i="9"/>
  <c r="V67" i="9"/>
  <c r="V51" i="9"/>
  <c r="V43" i="9"/>
  <c r="V35" i="9"/>
  <c r="V31" i="9"/>
  <c r="Z34" i="12"/>
  <c r="F210" i="3"/>
  <c r="F134" i="3"/>
  <c r="F135" i="3"/>
  <c r="F139" i="3"/>
  <c r="F143" i="3"/>
  <c r="F147" i="3"/>
  <c r="F151" i="3"/>
  <c r="F155" i="3"/>
  <c r="F159" i="3"/>
  <c r="F163" i="3"/>
  <c r="F167" i="3"/>
  <c r="F171" i="3"/>
  <c r="F175" i="3"/>
  <c r="F179" i="3"/>
  <c r="F183" i="3"/>
  <c r="F187" i="3"/>
  <c r="F191" i="3"/>
  <c r="J196" i="3"/>
  <c r="J210" i="3"/>
  <c r="F214" i="3"/>
  <c r="F215" i="3"/>
  <c r="J216" i="3"/>
  <c r="F223" i="3"/>
  <c r="J224" i="3"/>
  <c r="J234" i="3"/>
  <c r="J242" i="3"/>
  <c r="J258" i="3"/>
  <c r="F263" i="3"/>
  <c r="J270" i="3"/>
  <c r="J274" i="3"/>
  <c r="F279" i="3"/>
  <c r="J280" i="3"/>
  <c r="F286" i="3"/>
  <c r="F287" i="3"/>
  <c r="J290" i="3"/>
  <c r="F292" i="3"/>
  <c r="J26" i="6"/>
  <c r="J28" i="6"/>
  <c r="J29" i="6"/>
  <c r="D90" i="9"/>
  <c r="L16" i="9"/>
  <c r="Z18" i="9"/>
  <c r="R55" i="9"/>
  <c r="Z79" i="9"/>
  <c r="N222" i="12"/>
  <c r="V265" i="18"/>
  <c r="V263" i="18"/>
  <c r="V255" i="18"/>
  <c r="V239" i="18"/>
  <c r="V223" i="18"/>
  <c r="V215" i="18"/>
  <c r="V187" i="18"/>
  <c r="V183" i="18"/>
  <c r="V258" i="18"/>
  <c r="V250" i="18"/>
  <c r="V246" i="18"/>
  <c r="V234" i="18"/>
  <c r="V226" i="18"/>
  <c r="V214" i="18"/>
  <c r="V206" i="18"/>
  <c r="V174" i="18"/>
  <c r="V170" i="18"/>
  <c r="V166" i="18"/>
  <c r="V162" i="18"/>
  <c r="V158" i="18"/>
  <c r="V154" i="18"/>
  <c r="V150" i="18"/>
  <c r="V146" i="18"/>
  <c r="V142" i="18"/>
  <c r="V257" i="18"/>
  <c r="V245" i="18"/>
  <c r="V233" i="18"/>
  <c r="V225" i="18"/>
  <c r="V217" i="18"/>
  <c r="V197" i="18"/>
  <c r="V193" i="18"/>
  <c r="V274" i="18"/>
  <c r="V240" i="18"/>
  <c r="V228" i="18"/>
  <c r="V216" i="18"/>
  <c r="V208" i="18"/>
  <c r="V188" i="18"/>
  <c r="V184" i="18"/>
  <c r="V273" i="18"/>
  <c r="V259" i="18"/>
  <c r="V251" i="18"/>
  <c r="V247" i="18"/>
  <c r="V235" i="18"/>
  <c r="V227" i="18"/>
  <c r="V207" i="18"/>
  <c r="V199" i="18"/>
  <c r="V272" i="18"/>
  <c r="V230" i="18"/>
  <c r="V218" i="18"/>
  <c r="V198" i="18"/>
  <c r="V194" i="18"/>
  <c r="V271" i="18"/>
  <c r="V278" i="18"/>
  <c r="V270" i="18"/>
  <c r="V260" i="18"/>
  <c r="V252" i="18"/>
  <c r="V248" i="18"/>
  <c r="V236" i="18"/>
  <c r="V220" i="18"/>
  <c r="V200" i="18"/>
  <c r="V180" i="18"/>
  <c r="V176" i="18"/>
  <c r="V172" i="18"/>
  <c r="V269" i="18"/>
  <c r="V243" i="18"/>
  <c r="V231" i="18"/>
  <c r="V219" i="18"/>
  <c r="V268" i="18"/>
  <c r="V262" i="18"/>
  <c r="V254" i="18"/>
  <c r="V242" i="18"/>
  <c r="V238" i="18"/>
  <c r="V222" i="18"/>
  <c r="V210" i="18"/>
  <c r="V202" i="18"/>
  <c r="V190" i="18"/>
  <c r="V186" i="18"/>
  <c r="V182" i="18"/>
  <c r="V232" i="18"/>
  <c r="V192" i="18"/>
  <c r="V168" i="18"/>
  <c r="V129" i="18"/>
  <c r="V267" i="18"/>
  <c r="V241" i="18"/>
  <c r="V204" i="18"/>
  <c r="V152" i="18"/>
  <c r="V181" i="18"/>
  <c r="V148" i="18"/>
  <c r="V137" i="18"/>
  <c r="V132" i="18"/>
  <c r="V213" i="18"/>
  <c r="V211" i="18"/>
  <c r="V196" i="18"/>
  <c r="V144" i="18"/>
  <c r="V127" i="18"/>
  <c r="V121" i="18"/>
  <c r="V261" i="18"/>
  <c r="V256" i="18"/>
  <c r="V175" i="18"/>
  <c r="V159" i="18"/>
  <c r="V140" i="18"/>
  <c r="V135" i="18"/>
  <c r="V130" i="18"/>
  <c r="V124" i="18"/>
  <c r="V221" i="18"/>
  <c r="V209" i="18"/>
  <c r="V205" i="18"/>
  <c r="V191" i="18"/>
  <c r="V185" i="18"/>
  <c r="V173" i="18"/>
  <c r="V163" i="18"/>
  <c r="V161" i="18"/>
  <c r="V157" i="18"/>
  <c r="V249" i="18"/>
  <c r="V229" i="18"/>
  <c r="V203" i="18"/>
  <c r="V201" i="18"/>
  <c r="T178" i="18"/>
  <c r="V178" i="18" s="1"/>
  <c r="V171" i="18"/>
  <c r="V169" i="18"/>
  <c r="V167" i="18"/>
  <c r="V165" i="18"/>
  <c r="V155" i="18"/>
  <c r="V138" i="18"/>
  <c r="V253" i="18"/>
  <c r="V244" i="18"/>
  <c r="V189" i="18"/>
  <c r="V153" i="18"/>
  <c r="V151" i="18"/>
  <c r="V133" i="18"/>
  <c r="V122" i="18"/>
  <c r="V266" i="18"/>
  <c r="V149" i="18"/>
  <c r="V147" i="18"/>
  <c r="V128" i="18"/>
  <c r="V125" i="18"/>
  <c r="V195" i="18"/>
  <c r="V145" i="18"/>
  <c r="V143" i="18"/>
  <c r="V136" i="18"/>
  <c r="V131" i="18"/>
  <c r="V237" i="18"/>
  <c r="V224" i="18"/>
  <c r="V212" i="18"/>
  <c r="V164" i="18"/>
  <c r="V156" i="18"/>
  <c r="V139" i="18"/>
  <c r="V134" i="18"/>
  <c r="V126" i="18"/>
  <c r="V123" i="18"/>
  <c r="V141" i="18"/>
  <c r="V160" i="18"/>
  <c r="L30" i="18"/>
  <c r="N30" i="18" s="1"/>
  <c r="J268" i="3"/>
  <c r="P16" i="9"/>
  <c r="Z46" i="12"/>
  <c r="J135" i="3"/>
  <c r="J139" i="3"/>
  <c r="J143" i="3"/>
  <c r="J147" i="3"/>
  <c r="J151" i="3"/>
  <c r="J155" i="3"/>
  <c r="J159" i="3"/>
  <c r="J163" i="3"/>
  <c r="J167" i="3"/>
  <c r="J171" i="3"/>
  <c r="J175" i="3"/>
  <c r="J179" i="3"/>
  <c r="J183" i="3"/>
  <c r="J187" i="3"/>
  <c r="J191" i="3"/>
  <c r="F200" i="3"/>
  <c r="F204" i="3"/>
  <c r="J215" i="3"/>
  <c r="J223" i="3"/>
  <c r="F231" i="3"/>
  <c r="F232" i="3"/>
  <c r="J233" i="3"/>
  <c r="F239" i="3"/>
  <c r="F240" i="3"/>
  <c r="J241" i="3"/>
  <c r="F251" i="3"/>
  <c r="F252" i="3"/>
  <c r="J263" i="3"/>
  <c r="J279" i="3"/>
  <c r="J287" i="3"/>
  <c r="D16" i="6"/>
  <c r="V18" i="9"/>
  <c r="R25" i="9"/>
  <c r="R27" i="9"/>
  <c r="R61" i="9"/>
  <c r="Z63" i="12"/>
  <c r="V195" i="15"/>
  <c r="J47" i="9"/>
  <c r="J59" i="9"/>
  <c r="F64" i="9"/>
  <c r="J65" i="9"/>
  <c r="J71" i="9"/>
  <c r="Z16" i="12"/>
  <c r="Z20" i="12"/>
  <c r="Z24" i="12"/>
  <c r="Z28" i="12"/>
  <c r="Z32" i="12"/>
  <c r="Z36" i="12"/>
  <c r="F154" i="12"/>
  <c r="F157" i="12"/>
  <c r="F174" i="12"/>
  <c r="F177" i="12"/>
  <c r="F187" i="12"/>
  <c r="F208" i="12"/>
  <c r="F243" i="12"/>
  <c r="F249" i="12"/>
  <c r="N33" i="15"/>
  <c r="P12" i="18"/>
  <c r="X15" i="18"/>
  <c r="L54" i="18"/>
  <c r="N54" i="18" s="1"/>
  <c r="J19" i="9"/>
  <c r="J33" i="9"/>
  <c r="J37" i="9"/>
  <c r="F45" i="9"/>
  <c r="F46" i="9"/>
  <c r="J57" i="9"/>
  <c r="F69" i="9"/>
  <c r="F70" i="9"/>
  <c r="J77" i="9"/>
  <c r="J85" i="9"/>
  <c r="F111" i="12"/>
  <c r="F115" i="12"/>
  <c r="F119" i="12"/>
  <c r="F123" i="12"/>
  <c r="F127" i="12"/>
  <c r="F131" i="12"/>
  <c r="F135" i="12"/>
  <c r="F139" i="12"/>
  <c r="F143" i="12"/>
  <c r="F147" i="12"/>
  <c r="N183" i="12"/>
  <c r="F192" i="12"/>
  <c r="F196" i="12"/>
  <c r="N202" i="12"/>
  <c r="L214" i="12"/>
  <c r="N214" i="12" s="1"/>
  <c r="F216" i="12"/>
  <c r="F229" i="12"/>
  <c r="F231" i="12"/>
  <c r="Z253" i="12"/>
  <c r="F255" i="12"/>
  <c r="P12" i="15"/>
  <c r="X14" i="15"/>
  <c r="Z29" i="15"/>
  <c r="X29" i="15"/>
  <c r="N41" i="15"/>
  <c r="L41" i="15"/>
  <c r="L45" i="15"/>
  <c r="N45" i="15" s="1"/>
  <c r="L49" i="15"/>
  <c r="N49" i="15" s="1"/>
  <c r="Z76" i="15"/>
  <c r="Z80" i="15"/>
  <c r="N104" i="15"/>
  <c r="Z157" i="15"/>
  <c r="Z184" i="15"/>
  <c r="F191" i="15"/>
  <c r="N198" i="15"/>
  <c r="N234" i="15"/>
  <c r="Z246" i="15"/>
  <c r="Z39" i="18"/>
  <c r="N98" i="18"/>
  <c r="Z107" i="18"/>
  <c r="F23" i="9"/>
  <c r="F27" i="9"/>
  <c r="J46" i="9"/>
  <c r="F54" i="9"/>
  <c r="F55" i="9"/>
  <c r="J56" i="9"/>
  <c r="F63" i="9"/>
  <c r="J70" i="9"/>
  <c r="F82" i="9"/>
  <c r="F83" i="9"/>
  <c r="J84" i="9"/>
  <c r="F94" i="9"/>
  <c r="F97" i="9"/>
  <c r="F150" i="12"/>
  <c r="F153" i="12"/>
  <c r="L163" i="12"/>
  <c r="F173" i="12"/>
  <c r="F186" i="12"/>
  <c r="Z197" i="12"/>
  <c r="F213" i="12"/>
  <c r="N231" i="12"/>
  <c r="F242" i="12"/>
  <c r="F258" i="12"/>
  <c r="Z14" i="15"/>
  <c r="X16" i="15"/>
  <c r="X33" i="15"/>
  <c r="Z33" i="15" s="1"/>
  <c r="N53" i="15"/>
  <c r="L53" i="15"/>
  <c r="L57" i="15"/>
  <c r="N57" i="15" s="1"/>
  <c r="L61" i="15"/>
  <c r="N61" i="15" s="1"/>
  <c r="L65" i="15"/>
  <c r="N65" i="15" s="1"/>
  <c r="N97" i="15"/>
  <c r="L97" i="15"/>
  <c r="N101" i="15"/>
  <c r="L101" i="15"/>
  <c r="X104" i="15"/>
  <c r="N191" i="15"/>
  <c r="F278" i="18"/>
  <c r="F273" i="18"/>
  <c r="F260" i="18"/>
  <c r="F252" i="18"/>
  <c r="F248" i="18"/>
  <c r="F236" i="18"/>
  <c r="F200" i="18"/>
  <c r="F199" i="18"/>
  <c r="F176" i="18"/>
  <c r="F172" i="18"/>
  <c r="F168" i="18"/>
  <c r="F164" i="18"/>
  <c r="F160" i="18"/>
  <c r="F156" i="18"/>
  <c r="F152" i="18"/>
  <c r="F148" i="18"/>
  <c r="F144" i="18"/>
  <c r="F140" i="18"/>
  <c r="F136" i="18"/>
  <c r="F132" i="18"/>
  <c r="F128" i="18"/>
  <c r="F124" i="18"/>
  <c r="F272" i="18"/>
  <c r="F231" i="18"/>
  <c r="F230" i="18"/>
  <c r="F219" i="18"/>
  <c r="F195" i="18"/>
  <c r="F271" i="18"/>
  <c r="F254" i="18"/>
  <c r="F253" i="18"/>
  <c r="F242" i="18"/>
  <c r="F210" i="18"/>
  <c r="F202" i="18"/>
  <c r="F201" i="18"/>
  <c r="F190" i="18"/>
  <c r="F186" i="18"/>
  <c r="F182" i="18"/>
  <c r="F181" i="18"/>
  <c r="F270" i="18"/>
  <c r="F261" i="18"/>
  <c r="F249" i="18"/>
  <c r="F237" i="18"/>
  <c r="F221" i="18"/>
  <c r="F220" i="18"/>
  <c r="F180" i="18"/>
  <c r="F173" i="18"/>
  <c r="F169" i="18"/>
  <c r="F165" i="18"/>
  <c r="F161" i="18"/>
  <c r="F269" i="18"/>
  <c r="F244" i="18"/>
  <c r="F243" i="18"/>
  <c r="F232" i="18"/>
  <c r="F212" i="18"/>
  <c r="F211" i="18"/>
  <c r="F204" i="18"/>
  <c r="F203" i="18"/>
  <c r="F196" i="18"/>
  <c r="F192" i="18"/>
  <c r="F191" i="18"/>
  <c r="F268" i="18"/>
  <c r="F263" i="18"/>
  <c r="F262" i="18"/>
  <c r="F255" i="18"/>
  <c r="F239" i="18"/>
  <c r="F238" i="18"/>
  <c r="F223" i="18"/>
  <c r="F222" i="18"/>
  <c r="F187" i="18"/>
  <c r="F183" i="18"/>
  <c r="F267" i="18"/>
  <c r="F266" i="18"/>
  <c r="F257" i="18"/>
  <c r="F256" i="18"/>
  <c r="F245" i="18"/>
  <c r="F233" i="18"/>
  <c r="F225" i="18"/>
  <c r="F224" i="18"/>
  <c r="F197" i="18"/>
  <c r="F193" i="18"/>
  <c r="F240" i="18"/>
  <c r="F216" i="18"/>
  <c r="F259" i="18"/>
  <c r="F258" i="18"/>
  <c r="F251" i="18"/>
  <c r="F247" i="18"/>
  <c r="F246" i="18"/>
  <c r="F235" i="18"/>
  <c r="F234" i="18"/>
  <c r="F227" i="18"/>
  <c r="F226" i="18"/>
  <c r="F207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127" i="18"/>
  <c r="F123" i="18"/>
  <c r="F218" i="18"/>
  <c r="F214" i="18"/>
  <c r="F145" i="18"/>
  <c r="F125" i="18"/>
  <c r="F122" i="18"/>
  <c r="F174" i="18"/>
  <c r="F162" i="18"/>
  <c r="F158" i="18"/>
  <c r="F141" i="18"/>
  <c r="F250" i="18"/>
  <c r="F206" i="18"/>
  <c r="F184" i="18"/>
  <c r="F170" i="18"/>
  <c r="F166" i="18"/>
  <c r="F228" i="18"/>
  <c r="F208" i="18"/>
  <c r="F154" i="18"/>
  <c r="F134" i="18"/>
  <c r="F194" i="18"/>
  <c r="F188" i="18"/>
  <c r="F150" i="18"/>
  <c r="F129" i="18"/>
  <c r="F126" i="18"/>
  <c r="F241" i="18"/>
  <c r="F146" i="18"/>
  <c r="F217" i="18"/>
  <c r="F215" i="18"/>
  <c r="F142" i="18"/>
  <c r="F137" i="18"/>
  <c r="F213" i="18"/>
  <c r="F198" i="18"/>
  <c r="F274" i="18"/>
  <c r="F157" i="18"/>
  <c r="F130" i="18"/>
  <c r="F209" i="18"/>
  <c r="F205" i="18"/>
  <c r="F185" i="18"/>
  <c r="D178" i="18"/>
  <c r="F178" i="18" s="1"/>
  <c r="F189" i="18"/>
  <c r="F149" i="18"/>
  <c r="F133" i="18"/>
  <c r="N34" i="18"/>
  <c r="L34" i="18"/>
  <c r="Z54" i="18"/>
  <c r="L102" i="18"/>
  <c r="J55" i="9"/>
  <c r="J63" i="9"/>
  <c r="F68" i="9"/>
  <c r="J69" i="9"/>
  <c r="F76" i="9"/>
  <c r="J83" i="9"/>
  <c r="F156" i="12"/>
  <c r="D160" i="12"/>
  <c r="F162" i="12"/>
  <c r="F163" i="12"/>
  <c r="F168" i="12"/>
  <c r="Z16" i="15"/>
  <c r="Z18" i="15"/>
  <c r="Z37" i="15"/>
  <c r="X37" i="15"/>
  <c r="X41" i="15"/>
  <c r="Z41" i="15" s="1"/>
  <c r="Z45" i="15"/>
  <c r="X45" i="15"/>
  <c r="Z49" i="15"/>
  <c r="X49" i="15"/>
  <c r="L69" i="15"/>
  <c r="N69" i="15" s="1"/>
  <c r="L73" i="15"/>
  <c r="N73" i="15" s="1"/>
  <c r="L85" i="15"/>
  <c r="N85" i="15" s="1"/>
  <c r="N89" i="15"/>
  <c r="L89" i="15"/>
  <c r="L93" i="15"/>
  <c r="N93" i="15" s="1"/>
  <c r="Z104" i="15"/>
  <c r="X241" i="15"/>
  <c r="Z241" i="15" s="1"/>
  <c r="H12" i="18"/>
  <c r="L14" i="18"/>
  <c r="N14" i="18" s="1"/>
  <c r="Z43" i="18"/>
  <c r="N58" i="18"/>
  <c r="Z111" i="18"/>
  <c r="J32" i="9"/>
  <c r="J36" i="9"/>
  <c r="J44" i="9"/>
  <c r="F52" i="9"/>
  <c r="F53" i="9"/>
  <c r="J54" i="9"/>
  <c r="J68" i="9"/>
  <c r="J76" i="9"/>
  <c r="F81" i="9"/>
  <c r="J82" i="9"/>
  <c r="J94" i="9"/>
  <c r="J97" i="9"/>
  <c r="F226" i="12"/>
  <c r="F245" i="12"/>
  <c r="F244" i="12"/>
  <c r="F237" i="12"/>
  <c r="F233" i="12"/>
  <c r="F221" i="12"/>
  <c r="F205" i="12"/>
  <c r="F204" i="12"/>
  <c r="F227" i="12"/>
  <c r="F223" i="12"/>
  <c r="F222" i="12"/>
  <c r="F207" i="12"/>
  <c r="F206" i="12"/>
  <c r="F179" i="12"/>
  <c r="F175" i="12"/>
  <c r="F246" i="12"/>
  <c r="F238" i="12"/>
  <c r="F234" i="12"/>
  <c r="F198" i="12"/>
  <c r="F197" i="12"/>
  <c r="F170" i="12"/>
  <c r="F166" i="12"/>
  <c r="F262" i="12"/>
  <c r="F257" i="12"/>
  <c r="F240" i="12"/>
  <c r="F239" i="12"/>
  <c r="F224" i="12"/>
  <c r="F200" i="12"/>
  <c r="F199" i="12"/>
  <c r="F180" i="12"/>
  <c r="F176" i="12"/>
  <c r="F256" i="12"/>
  <c r="F247" i="12"/>
  <c r="F235" i="12"/>
  <c r="F219" i="12"/>
  <c r="F218" i="12"/>
  <c r="F211" i="12"/>
  <c r="F210" i="12"/>
  <c r="F191" i="12"/>
  <c r="F190" i="12"/>
  <c r="F171" i="12"/>
  <c r="F167" i="12"/>
  <c r="F253" i="12"/>
  <c r="X14" i="12"/>
  <c r="Z14" i="12" s="1"/>
  <c r="X18" i="12"/>
  <c r="Z18" i="12" s="1"/>
  <c r="X22" i="12"/>
  <c r="Z22" i="12" s="1"/>
  <c r="X26" i="12"/>
  <c r="Z26" i="12" s="1"/>
  <c r="X30" i="12"/>
  <c r="Z30" i="12" s="1"/>
  <c r="X34" i="12"/>
  <c r="X38" i="12"/>
  <c r="Z38" i="12" s="1"/>
  <c r="X42" i="12"/>
  <c r="Z42" i="12" s="1"/>
  <c r="X46" i="12"/>
  <c r="X50" i="12"/>
  <c r="Z50" i="12" s="1"/>
  <c r="X54" i="12"/>
  <c r="Z54" i="12" s="1"/>
  <c r="X58" i="12"/>
  <c r="Z58" i="12" s="1"/>
  <c r="F110" i="12"/>
  <c r="F114" i="12"/>
  <c r="F118" i="12"/>
  <c r="F122" i="12"/>
  <c r="F126" i="12"/>
  <c r="F130" i="12"/>
  <c r="F134" i="12"/>
  <c r="F138" i="12"/>
  <c r="F142" i="12"/>
  <c r="F146" i="12"/>
  <c r="F160" i="12"/>
  <c r="N163" i="12"/>
  <c r="F189" i="12"/>
  <c r="F201" i="12"/>
  <c r="Z208" i="12"/>
  <c r="F228" i="12"/>
  <c r="F248" i="12"/>
  <c r="L254" i="12"/>
  <c r="N254" i="12" s="1"/>
  <c r="F194" i="15"/>
  <c r="F193" i="15"/>
  <c r="F174" i="15"/>
  <c r="F170" i="15"/>
  <c r="F217" i="15"/>
  <c r="F205" i="15"/>
  <c r="F204" i="15"/>
  <c r="F185" i="15"/>
  <c r="F184" i="15"/>
  <c r="F165" i="15"/>
  <c r="F161" i="15"/>
  <c r="F236" i="15"/>
  <c r="F228" i="15"/>
  <c r="F224" i="15"/>
  <c r="F212" i="15"/>
  <c r="F176" i="15"/>
  <c r="F175" i="15"/>
  <c r="F152" i="15"/>
  <c r="F148" i="15"/>
  <c r="F144" i="15"/>
  <c r="F140" i="15"/>
  <c r="F136" i="15"/>
  <c r="F132" i="15"/>
  <c r="F128" i="15"/>
  <c r="F124" i="15"/>
  <c r="F120" i="15"/>
  <c r="F116" i="15"/>
  <c r="F112" i="15"/>
  <c r="F108" i="15"/>
  <c r="F248" i="15"/>
  <c r="F207" i="15"/>
  <c r="F206" i="15"/>
  <c r="F195" i="15"/>
  <c r="F171" i="15"/>
  <c r="F252" i="15"/>
  <c r="F247" i="15"/>
  <c r="F230" i="15"/>
  <c r="F229" i="15"/>
  <c r="F218" i="15"/>
  <c r="F186" i="15"/>
  <c r="F178" i="15"/>
  <c r="F177" i="15"/>
  <c r="F166" i="15"/>
  <c r="F162" i="15"/>
  <c r="F158" i="15"/>
  <c r="F157" i="15"/>
  <c r="F246" i="15"/>
  <c r="F237" i="15"/>
  <c r="F225" i="15"/>
  <c r="F213" i="15"/>
  <c r="F197" i="15"/>
  <c r="F196" i="15"/>
  <c r="F156" i="15"/>
  <c r="F149" i="15"/>
  <c r="F145" i="15"/>
  <c r="F141" i="15"/>
  <c r="F137" i="15"/>
  <c r="F133" i="15"/>
  <c r="F129" i="15"/>
  <c r="F125" i="15"/>
  <c r="F121" i="15"/>
  <c r="F117" i="15"/>
  <c r="F113" i="15"/>
  <c r="F109" i="15"/>
  <c r="F105" i="15"/>
  <c r="F104" i="15"/>
  <c r="F245" i="15"/>
  <c r="F220" i="15"/>
  <c r="F219" i="15"/>
  <c r="F208" i="15"/>
  <c r="F188" i="15"/>
  <c r="F187" i="15"/>
  <c r="F180" i="15"/>
  <c r="F179" i="15"/>
  <c r="F172" i="15"/>
  <c r="F168" i="15"/>
  <c r="F167" i="15"/>
  <c r="D154" i="15"/>
  <c r="F244" i="15"/>
  <c r="F239" i="15"/>
  <c r="F238" i="15"/>
  <c r="F231" i="15"/>
  <c r="F215" i="15"/>
  <c r="F214" i="15"/>
  <c r="F199" i="15"/>
  <c r="F198" i="15"/>
  <c r="F163" i="15"/>
  <c r="F159" i="15"/>
  <c r="F243" i="15"/>
  <c r="F226" i="15"/>
  <c r="F190" i="15"/>
  <c r="F189" i="15"/>
  <c r="F182" i="15"/>
  <c r="F181" i="15"/>
  <c r="F150" i="15"/>
  <c r="F146" i="15"/>
  <c r="F142" i="15"/>
  <c r="F138" i="15"/>
  <c r="F134" i="15"/>
  <c r="F130" i="15"/>
  <c r="F126" i="15"/>
  <c r="F122" i="15"/>
  <c r="F118" i="15"/>
  <c r="F114" i="15"/>
  <c r="F110" i="15"/>
  <c r="F106" i="15"/>
  <c r="F242" i="15"/>
  <c r="F233" i="15"/>
  <c r="F232" i="15"/>
  <c r="F221" i="15"/>
  <c r="F209" i="15"/>
  <c r="F201" i="15"/>
  <c r="F200" i="15"/>
  <c r="F173" i="15"/>
  <c r="F169" i="15"/>
  <c r="F235" i="15"/>
  <c r="F234" i="15"/>
  <c r="F227" i="15"/>
  <c r="F223" i="15"/>
  <c r="F222" i="15"/>
  <c r="F211" i="15"/>
  <c r="F210" i="15"/>
  <c r="F203" i="15"/>
  <c r="F202" i="15"/>
  <c r="F183" i="15"/>
  <c r="F151" i="15"/>
  <c r="F147" i="15"/>
  <c r="F143" i="15"/>
  <c r="F139" i="15"/>
  <c r="F135" i="15"/>
  <c r="F131" i="15"/>
  <c r="F127" i="15"/>
  <c r="F123" i="15"/>
  <c r="F119" i="15"/>
  <c r="F115" i="15"/>
  <c r="F111" i="15"/>
  <c r="F107" i="15"/>
  <c r="Z53" i="15"/>
  <c r="X53" i="15"/>
  <c r="X57" i="15"/>
  <c r="Z57" i="15" s="1"/>
  <c r="X61" i="15"/>
  <c r="Z61" i="15" s="1"/>
  <c r="Z65" i="15"/>
  <c r="X65" i="15"/>
  <c r="N77" i="15"/>
  <c r="L77" i="15"/>
  <c r="L81" i="15"/>
  <c r="N81" i="15" s="1"/>
  <c r="Z97" i="15"/>
  <c r="X97" i="15"/>
  <c r="Z101" i="15"/>
  <c r="X101" i="15"/>
  <c r="N210" i="15"/>
  <c r="N222" i="15"/>
  <c r="N38" i="18"/>
  <c r="Z67" i="18"/>
  <c r="Z87" i="18"/>
  <c r="X21" i="21"/>
  <c r="Z21" i="21" s="1"/>
  <c r="F22" i="9"/>
  <c r="F26" i="9"/>
  <c r="F30" i="9"/>
  <c r="J31" i="9"/>
  <c r="F41" i="9"/>
  <c r="F42" i="9"/>
  <c r="J43" i="9"/>
  <c r="J53" i="9"/>
  <c r="F62" i="9"/>
  <c r="J81" i="9"/>
  <c r="F92" i="9"/>
  <c r="F149" i="12"/>
  <c r="F182" i="12"/>
  <c r="F185" i="12"/>
  <c r="F220" i="12"/>
  <c r="F225" i="12"/>
  <c r="N228" i="12"/>
  <c r="Z231" i="12"/>
  <c r="F254" i="12"/>
  <c r="H12" i="15"/>
  <c r="N13" i="15"/>
  <c r="N15" i="15"/>
  <c r="Z22" i="15"/>
  <c r="X26" i="15"/>
  <c r="X69" i="15"/>
  <c r="Z69" i="15" s="1"/>
  <c r="X73" i="15"/>
  <c r="Z73" i="15" s="1"/>
  <c r="Z85" i="15"/>
  <c r="X85" i="15"/>
  <c r="Z89" i="15"/>
  <c r="X89" i="15"/>
  <c r="Z93" i="15"/>
  <c r="X93" i="15"/>
  <c r="N156" i="15"/>
  <c r="X196" i="15"/>
  <c r="Z23" i="18"/>
  <c r="L42" i="18"/>
  <c r="Z58" i="18"/>
  <c r="N62" i="18"/>
  <c r="N78" i="18"/>
  <c r="Z91" i="18"/>
  <c r="L106" i="18"/>
  <c r="X115" i="18"/>
  <c r="J92" i="9"/>
  <c r="F152" i="12"/>
  <c r="L162" i="12"/>
  <c r="N162" i="12" s="1"/>
  <c r="F172" i="12"/>
  <c r="F178" i="12"/>
  <c r="F194" i="12"/>
  <c r="Z202" i="12"/>
  <c r="L222" i="12"/>
  <c r="F241" i="12"/>
  <c r="Z26" i="15"/>
  <c r="X30" i="15"/>
  <c r="X77" i="15"/>
  <c r="Z77" i="15" s="1"/>
  <c r="X81" i="15"/>
  <c r="Z81" i="15" s="1"/>
  <c r="X156" i="15"/>
  <c r="F164" i="15"/>
  <c r="F192" i="15"/>
  <c r="Z196" i="15"/>
  <c r="L242" i="15"/>
  <c r="D241" i="15"/>
  <c r="L241" i="15" s="1"/>
  <c r="N241" i="15" s="1"/>
  <c r="N18" i="18"/>
  <c r="L18" i="18"/>
  <c r="N42" i="18"/>
  <c r="N106" i="18"/>
  <c r="F153" i="18"/>
  <c r="F229" i="18"/>
  <c r="J104" i="21"/>
  <c r="J74" i="21"/>
  <c r="J66" i="21"/>
  <c r="J54" i="21"/>
  <c r="H27" i="21"/>
  <c r="J81" i="21"/>
  <c r="J75" i="21"/>
  <c r="J67" i="21"/>
  <c r="J55" i="21"/>
  <c r="J45" i="21"/>
  <c r="J41" i="21"/>
  <c r="J92" i="21"/>
  <c r="J88" i="21"/>
  <c r="J82" i="21"/>
  <c r="J76" i="21"/>
  <c r="J68" i="21"/>
  <c r="J56" i="21"/>
  <c r="J46" i="21"/>
  <c r="J36" i="21"/>
  <c r="J32" i="21"/>
  <c r="J93" i="21"/>
  <c r="J83" i="21"/>
  <c r="J77" i="21"/>
  <c r="J69" i="21"/>
  <c r="J57" i="21"/>
  <c r="J47" i="21"/>
  <c r="J94" i="21"/>
  <c r="J78" i="21"/>
  <c r="J70" i="21"/>
  <c r="J58" i="21"/>
  <c r="J48" i="21"/>
  <c r="J42" i="21"/>
  <c r="J95" i="21"/>
  <c r="J89" i="21"/>
  <c r="J71" i="21"/>
  <c r="J59" i="21"/>
  <c r="J49" i="21"/>
  <c r="J37" i="21"/>
  <c r="J33" i="21"/>
  <c r="J23" i="21"/>
  <c r="J96" i="21"/>
  <c r="J84" i="21"/>
  <c r="J72" i="21"/>
  <c r="J60" i="21"/>
  <c r="J50" i="21"/>
  <c r="J24" i="21"/>
  <c r="J97" i="21"/>
  <c r="J85" i="21"/>
  <c r="J79" i="21"/>
  <c r="J61" i="21"/>
  <c r="J51" i="21"/>
  <c r="J43" i="21"/>
  <c r="J98" i="21"/>
  <c r="J90" i="21"/>
  <c r="J86" i="21"/>
  <c r="J62" i="21"/>
  <c r="J52" i="21"/>
  <c r="J38" i="21"/>
  <c r="J34" i="21"/>
  <c r="J73" i="21"/>
  <c r="J63" i="21"/>
  <c r="J53" i="21"/>
  <c r="J39" i="21"/>
  <c r="J25" i="21"/>
  <c r="J91" i="21"/>
  <c r="J87" i="21"/>
  <c r="J65" i="21"/>
  <c r="J35" i="21"/>
  <c r="J31" i="21"/>
  <c r="J29" i="21"/>
  <c r="J27" i="21"/>
  <c r="J100" i="21"/>
  <c r="N12" i="21"/>
  <c r="J80" i="21"/>
  <c r="J40" i="21"/>
  <c r="J64" i="21"/>
  <c r="J30" i="21"/>
  <c r="J44" i="21"/>
  <c r="J35" i="9"/>
  <c r="F39" i="9"/>
  <c r="F40" i="9"/>
  <c r="J41" i="9"/>
  <c r="J51" i="9"/>
  <c r="J67" i="9"/>
  <c r="J75" i="9"/>
  <c r="F79" i="9"/>
  <c r="F80" i="9"/>
  <c r="X13" i="12"/>
  <c r="X17" i="12"/>
  <c r="X21" i="12"/>
  <c r="Z21" i="12" s="1"/>
  <c r="X25" i="12"/>
  <c r="Z25" i="12" s="1"/>
  <c r="X29" i="12"/>
  <c r="X33" i="12"/>
  <c r="Z33" i="12" s="1"/>
  <c r="X37" i="12"/>
  <c r="Z37" i="12" s="1"/>
  <c r="X41" i="12"/>
  <c r="Z41" i="12" s="1"/>
  <c r="X45" i="12"/>
  <c r="Z45" i="12" s="1"/>
  <c r="X49" i="12"/>
  <c r="Z49" i="12" s="1"/>
  <c r="X53" i="12"/>
  <c r="Z53" i="12" s="1"/>
  <c r="X57" i="12"/>
  <c r="X61" i="12"/>
  <c r="Z61" i="12" s="1"/>
  <c r="X65" i="12"/>
  <c r="Z65" i="12" s="1"/>
  <c r="X69" i="12"/>
  <c r="Z69" i="12" s="1"/>
  <c r="X73" i="12"/>
  <c r="Z73" i="12" s="1"/>
  <c r="X77" i="12"/>
  <c r="X81" i="12"/>
  <c r="Z81" i="12" s="1"/>
  <c r="X85" i="12"/>
  <c r="Z85" i="12" s="1"/>
  <c r="X89" i="12"/>
  <c r="Z89" i="12" s="1"/>
  <c r="X93" i="12"/>
  <c r="X97" i="12"/>
  <c r="Z97" i="12" s="1"/>
  <c r="X101" i="12"/>
  <c r="Z101" i="12" s="1"/>
  <c r="X105" i="12"/>
  <c r="F108" i="12"/>
  <c r="F109" i="12"/>
  <c r="F113" i="12"/>
  <c r="F117" i="12"/>
  <c r="F121" i="12"/>
  <c r="F125" i="12"/>
  <c r="F129" i="12"/>
  <c r="F133" i="12"/>
  <c r="F137" i="12"/>
  <c r="F141" i="12"/>
  <c r="F145" i="12"/>
  <c r="F155" i="12"/>
  <c r="F165" i="12"/>
  <c r="F181" i="12"/>
  <c r="F212" i="12"/>
  <c r="F215" i="12"/>
  <c r="F230" i="12"/>
  <c r="F236" i="12"/>
  <c r="Z30" i="15"/>
  <c r="Z156" i="15"/>
  <c r="N238" i="15"/>
  <c r="Z27" i="18"/>
  <c r="L46" i="18"/>
  <c r="Z51" i="18"/>
  <c r="N66" i="18"/>
  <c r="N82" i="18"/>
  <c r="N110" i="18"/>
  <c r="F121" i="18"/>
  <c r="F138" i="18"/>
  <c r="F21" i="9"/>
  <c r="F25" i="9"/>
  <c r="F29" i="9"/>
  <c r="J40" i="9"/>
  <c r="F48" i="9"/>
  <c r="F49" i="9"/>
  <c r="J50" i="9"/>
  <c r="F60" i="9"/>
  <c r="F61" i="9"/>
  <c r="F72" i="9"/>
  <c r="F73" i="9"/>
  <c r="J74" i="9"/>
  <c r="J80" i="9"/>
  <c r="J88" i="9"/>
  <c r="J90" i="9"/>
  <c r="Z13" i="12"/>
  <c r="F158" i="12"/>
  <c r="L185" i="12"/>
  <c r="N185" i="12" s="1"/>
  <c r="N206" i="12"/>
  <c r="F209" i="12"/>
  <c r="F217" i="12"/>
  <c r="F232" i="12"/>
  <c r="X239" i="12"/>
  <c r="Z239" i="12" s="1"/>
  <c r="Z13" i="15"/>
  <c r="X13" i="15"/>
  <c r="L21" i="15"/>
  <c r="N21" i="15" s="1"/>
  <c r="Z32" i="15"/>
  <c r="Z34" i="15"/>
  <c r="F216" i="15"/>
  <c r="N22" i="18"/>
  <c r="L22" i="18"/>
  <c r="N46" i="18"/>
  <c r="J49" i="9"/>
  <c r="J61" i="9"/>
  <c r="F65" i="9"/>
  <c r="F66" i="9"/>
  <c r="J73" i="9"/>
  <c r="F78" i="9"/>
  <c r="J79" i="9"/>
  <c r="F86" i="9"/>
  <c r="F148" i="12"/>
  <c r="Z173" i="12"/>
  <c r="F184" i="12"/>
  <c r="F188" i="12"/>
  <c r="F193" i="12"/>
  <c r="F203" i="12"/>
  <c r="X206" i="12"/>
  <c r="Z206" i="12" s="1"/>
  <c r="X222" i="12"/>
  <c r="Z222" i="12" s="1"/>
  <c r="Z228" i="12"/>
  <c r="D251" i="12"/>
  <c r="L251" i="12" s="1"/>
  <c r="N251" i="12" s="1"/>
  <c r="L253" i="12"/>
  <c r="Z17" i="15"/>
  <c r="X17" i="15"/>
  <c r="N25" i="15"/>
  <c r="Z36" i="15"/>
  <c r="Z38" i="15"/>
  <c r="Z42" i="15"/>
  <c r="Z46" i="15"/>
  <c r="Z50" i="15"/>
  <c r="L202" i="15"/>
  <c r="N244" i="15"/>
  <c r="Z31" i="18"/>
  <c r="Z55" i="18"/>
  <c r="N70" i="18"/>
  <c r="Z110" i="18"/>
  <c r="N114" i="18"/>
  <c r="J34" i="9"/>
  <c r="J38" i="9"/>
  <c r="F47" i="9"/>
  <c r="J48" i="9"/>
  <c r="F58" i="9"/>
  <c r="F59" i="9"/>
  <c r="J60" i="9"/>
  <c r="J66" i="9"/>
  <c r="J72" i="9"/>
  <c r="J78" i="9"/>
  <c r="F112" i="12"/>
  <c r="F116" i="12"/>
  <c r="F120" i="12"/>
  <c r="F124" i="12"/>
  <c r="F128" i="12"/>
  <c r="F132" i="12"/>
  <c r="F136" i="12"/>
  <c r="F140" i="12"/>
  <c r="F144" i="12"/>
  <c r="F151" i="12"/>
  <c r="F169" i="12"/>
  <c r="X212" i="12"/>
  <c r="Z212" i="12" s="1"/>
  <c r="F214" i="12"/>
  <c r="N253" i="12"/>
  <c r="Z21" i="15"/>
  <c r="X21" i="15"/>
  <c r="N29" i="15"/>
  <c r="N26" i="18"/>
  <c r="L26" i="18"/>
  <c r="N50" i="18"/>
  <c r="L74" i="18"/>
  <c r="N74" i="18" s="1"/>
  <c r="N90" i="18"/>
  <c r="L94" i="18"/>
  <c r="N94" i="18" s="1"/>
  <c r="Z103" i="18"/>
  <c r="F100" i="21"/>
  <c r="F91" i="21"/>
  <c r="F87" i="21"/>
  <c r="F35" i="21"/>
  <c r="F31" i="21"/>
  <c r="F30" i="21"/>
  <c r="F104" i="21"/>
  <c r="F74" i="21"/>
  <c r="F66" i="21"/>
  <c r="F65" i="21"/>
  <c r="F54" i="21"/>
  <c r="F29" i="21"/>
  <c r="F27" i="21"/>
  <c r="F81" i="21"/>
  <c r="F45" i="21"/>
  <c r="F41" i="21"/>
  <c r="D27" i="21"/>
  <c r="F92" i="21"/>
  <c r="F88" i="21"/>
  <c r="F76" i="21"/>
  <c r="F75" i="21"/>
  <c r="F68" i="21"/>
  <c r="F67" i="21"/>
  <c r="F56" i="21"/>
  <c r="F55" i="21"/>
  <c r="F36" i="21"/>
  <c r="F32" i="21"/>
  <c r="F83" i="21"/>
  <c r="F82" i="21"/>
  <c r="F47" i="21"/>
  <c r="F46" i="21"/>
  <c r="F94" i="21"/>
  <c r="F93" i="21"/>
  <c r="F78" i="21"/>
  <c r="F77" i="21"/>
  <c r="F70" i="21"/>
  <c r="F69" i="21"/>
  <c r="F58" i="21"/>
  <c r="F57" i="21"/>
  <c r="F42" i="21"/>
  <c r="F89" i="21"/>
  <c r="F49" i="21"/>
  <c r="F48" i="21"/>
  <c r="F37" i="21"/>
  <c r="F33" i="21"/>
  <c r="F96" i="21"/>
  <c r="F95" i="21"/>
  <c r="F84" i="21"/>
  <c r="F72" i="21"/>
  <c r="F71" i="21"/>
  <c r="F60" i="21"/>
  <c r="F59" i="21"/>
  <c r="F24" i="21"/>
  <c r="F23" i="21"/>
  <c r="F79" i="21"/>
  <c r="F51" i="21"/>
  <c r="F50" i="21"/>
  <c r="F43" i="21"/>
  <c r="F98" i="21"/>
  <c r="F97" i="21"/>
  <c r="F90" i="21"/>
  <c r="F86" i="21"/>
  <c r="F85" i="21"/>
  <c r="F62" i="21"/>
  <c r="F61" i="21"/>
  <c r="F38" i="21"/>
  <c r="F34" i="21"/>
  <c r="F80" i="21"/>
  <c r="F64" i="21"/>
  <c r="F63" i="21"/>
  <c r="F44" i="21"/>
  <c r="F40" i="21"/>
  <c r="F39" i="21"/>
  <c r="F53" i="21"/>
  <c r="N63" i="21"/>
  <c r="F73" i="21"/>
  <c r="N191" i="18"/>
  <c r="X222" i="18"/>
  <c r="Z222" i="18" s="1"/>
  <c r="Z230" i="18"/>
  <c r="R83" i="21"/>
  <c r="R48" i="21"/>
  <c r="R47" i="21"/>
  <c r="R95" i="21"/>
  <c r="R94" i="21"/>
  <c r="R78" i="21"/>
  <c r="R71" i="21"/>
  <c r="R70" i="21"/>
  <c r="R59" i="21"/>
  <c r="R58" i="21"/>
  <c r="R42" i="21"/>
  <c r="R23" i="21"/>
  <c r="R89" i="21"/>
  <c r="R50" i="21"/>
  <c r="R49" i="21"/>
  <c r="R37" i="21"/>
  <c r="R33" i="21"/>
  <c r="R97" i="21"/>
  <c r="R96" i="21"/>
  <c r="R85" i="21"/>
  <c r="R84" i="21"/>
  <c r="R72" i="21"/>
  <c r="R61" i="21"/>
  <c r="R60" i="21"/>
  <c r="R24" i="21"/>
  <c r="R79" i="21"/>
  <c r="R52" i="21"/>
  <c r="R51" i="21"/>
  <c r="R43" i="21"/>
  <c r="R98" i="21"/>
  <c r="R90" i="21"/>
  <c r="R86" i="21"/>
  <c r="R63" i="21"/>
  <c r="R62" i="21"/>
  <c r="R39" i="21"/>
  <c r="R38" i="21"/>
  <c r="R34" i="21"/>
  <c r="R100" i="21"/>
  <c r="R73" i="21"/>
  <c r="R53" i="21"/>
  <c r="R30" i="21"/>
  <c r="R25" i="21"/>
  <c r="R80" i="21"/>
  <c r="R65" i="21"/>
  <c r="R64" i="21"/>
  <c r="R44" i="21"/>
  <c r="R40" i="21"/>
  <c r="R29" i="21"/>
  <c r="R91" i="21"/>
  <c r="R87" i="21"/>
  <c r="R35" i="21"/>
  <c r="R31" i="21"/>
  <c r="P27" i="21"/>
  <c r="R27" i="21" s="1"/>
  <c r="R104" i="21"/>
  <c r="R75" i="21"/>
  <c r="R74" i="21"/>
  <c r="R67" i="21"/>
  <c r="R66" i="21"/>
  <c r="R55" i="21"/>
  <c r="R54" i="21"/>
  <c r="R93" i="21"/>
  <c r="R92" i="21"/>
  <c r="R88" i="21"/>
  <c r="R77" i="21"/>
  <c r="R76" i="21"/>
  <c r="R69" i="21"/>
  <c r="R68" i="21"/>
  <c r="R57" i="21"/>
  <c r="R56" i="21"/>
  <c r="R36" i="21"/>
  <c r="R32" i="21"/>
  <c r="F25" i="21"/>
  <c r="R41" i="21"/>
  <c r="Z63" i="21"/>
  <c r="Z199" i="18"/>
  <c r="N205" i="18"/>
  <c r="N258" i="18"/>
  <c r="X262" i="18"/>
  <c r="Z262" i="18" s="1"/>
  <c r="T12" i="21"/>
  <c r="X12" i="21" s="1"/>
  <c r="X17" i="21"/>
  <c r="Z17" i="21" s="1"/>
  <c r="R46" i="21"/>
  <c r="R81" i="21"/>
  <c r="N42" i="24"/>
  <c r="Z15" i="18"/>
  <c r="N211" i="18"/>
  <c r="N256" i="18"/>
  <c r="X268" i="18"/>
  <c r="Z268" i="18" s="1"/>
  <c r="N274" i="18"/>
  <c r="L274" i="18"/>
  <c r="X13" i="21"/>
  <c r="Z13" i="21" s="1"/>
  <c r="N23" i="21"/>
  <c r="N39" i="21"/>
  <c r="N213" i="18"/>
  <c r="N238" i="18"/>
  <c r="Z30" i="21"/>
  <c r="N69" i="21"/>
  <c r="X14" i="18"/>
  <c r="Z14" i="18" s="1"/>
  <c r="X18" i="18"/>
  <c r="Z18" i="18" s="1"/>
  <c r="X22" i="18"/>
  <c r="Z22" i="18" s="1"/>
  <c r="X26" i="18"/>
  <c r="Z26" i="18" s="1"/>
  <c r="X30" i="18"/>
  <c r="Z30" i="18" s="1"/>
  <c r="X34" i="18"/>
  <c r="Z34" i="18" s="1"/>
  <c r="X38" i="18"/>
  <c r="Z38" i="18" s="1"/>
  <c r="X42" i="18"/>
  <c r="Z42" i="18" s="1"/>
  <c r="X46" i="18"/>
  <c r="Z46" i="18" s="1"/>
  <c r="X50" i="18"/>
  <c r="Z50" i="18" s="1"/>
  <c r="X54" i="18"/>
  <c r="X58" i="18"/>
  <c r="X62" i="18"/>
  <c r="Z62" i="18" s="1"/>
  <c r="X66" i="18"/>
  <c r="Z66" i="18" s="1"/>
  <c r="X70" i="18"/>
  <c r="Z70" i="18" s="1"/>
  <c r="X74" i="18"/>
  <c r="Z74" i="18" s="1"/>
  <c r="X78" i="18"/>
  <c r="Z78" i="18" s="1"/>
  <c r="X82" i="18"/>
  <c r="Z82" i="18" s="1"/>
  <c r="X86" i="18"/>
  <c r="Z86" i="18" s="1"/>
  <c r="X90" i="18"/>
  <c r="Z90" i="18" s="1"/>
  <c r="X94" i="18"/>
  <c r="Z94" i="18" s="1"/>
  <c r="X98" i="18"/>
  <c r="Z98" i="18" s="1"/>
  <c r="X102" i="18"/>
  <c r="X106" i="18"/>
  <c r="Z106" i="18" s="1"/>
  <c r="X110" i="18"/>
  <c r="X121" i="18"/>
  <c r="Z121" i="18" s="1"/>
  <c r="N215" i="18"/>
  <c r="Z272" i="18"/>
  <c r="F52" i="21"/>
  <c r="X69" i="21"/>
  <c r="Z69" i="21" s="1"/>
  <c r="N93" i="21"/>
  <c r="N30" i="24"/>
  <c r="L83" i="15"/>
  <c r="N83" i="15" s="1"/>
  <c r="L87" i="15"/>
  <c r="N87" i="15" s="1"/>
  <c r="L91" i="15"/>
  <c r="L95" i="15"/>
  <c r="N95" i="15" s="1"/>
  <c r="L99" i="15"/>
  <c r="N99" i="15" s="1"/>
  <c r="L224" i="18"/>
  <c r="N234" i="18"/>
  <c r="X238" i="18"/>
  <c r="Z238" i="18" s="1"/>
  <c r="N243" i="18"/>
  <c r="X267" i="18"/>
  <c r="P265" i="18"/>
  <c r="X265" i="18" s="1"/>
  <c r="Z265" i="18" s="1"/>
  <c r="X269" i="18"/>
  <c r="Z269" i="18" s="1"/>
  <c r="L273" i="18"/>
  <c r="Z18" i="21"/>
  <c r="N29" i="21"/>
  <c r="R45" i="21"/>
  <c r="X13" i="18"/>
  <c r="Z13" i="18" s="1"/>
  <c r="X17" i="18"/>
  <c r="X21" i="18"/>
  <c r="Z21" i="18" s="1"/>
  <c r="X25" i="18"/>
  <c r="Z25" i="18" s="1"/>
  <c r="X29" i="18"/>
  <c r="Z29" i="18" s="1"/>
  <c r="X33" i="18"/>
  <c r="Z33" i="18" s="1"/>
  <c r="X37" i="18"/>
  <c r="Z37" i="18" s="1"/>
  <c r="X116" i="18"/>
  <c r="X119" i="18"/>
  <c r="L199" i="18"/>
  <c r="N199" i="18" s="1"/>
  <c r="N208" i="18"/>
  <c r="Z213" i="18"/>
  <c r="N224" i="18"/>
  <c r="L228" i="18"/>
  <c r="N228" i="18" s="1"/>
  <c r="Z267" i="18"/>
  <c r="N273" i="18"/>
  <c r="L12" i="21"/>
  <c r="X93" i="21"/>
  <c r="Z93" i="21" s="1"/>
  <c r="T12" i="24"/>
  <c r="X16" i="24"/>
  <c r="Z16" i="24" s="1"/>
  <c r="X26" i="24"/>
  <c r="Z26" i="24" s="1"/>
  <c r="L75" i="24"/>
  <c r="N75" i="24" s="1"/>
  <c r="T115" i="27"/>
  <c r="N230" i="18"/>
  <c r="N48" i="21"/>
  <c r="Z52" i="21"/>
  <c r="Z77" i="21"/>
  <c r="R82" i="21"/>
  <c r="L115" i="18"/>
  <c r="Z180" i="18"/>
  <c r="N222" i="18"/>
  <c r="Z224" i="18"/>
  <c r="Z228" i="18"/>
  <c r="Z57" i="21"/>
  <c r="X57" i="21"/>
  <c r="L63" i="21"/>
  <c r="D12" i="24"/>
  <c r="N28" i="24"/>
  <c r="Z31" i="24"/>
  <c r="L42" i="24"/>
  <c r="N22" i="27"/>
  <c r="D265" i="18"/>
  <c r="L265" i="18" s="1"/>
  <c r="Z266" i="18"/>
  <c r="L30" i="21"/>
  <c r="N30" i="21" s="1"/>
  <c r="X48" i="21"/>
  <c r="Z48" i="21" s="1"/>
  <c r="L100" i="21"/>
  <c r="L13" i="24"/>
  <c r="N13" i="24" s="1"/>
  <c r="Z21" i="24"/>
  <c r="N93" i="24"/>
  <c r="V75" i="27"/>
  <c r="X105" i="27"/>
  <c r="Z105" i="27" s="1"/>
  <c r="T12" i="30"/>
  <c r="P12" i="24"/>
  <c r="N20" i="24"/>
  <c r="Z33" i="24"/>
  <c r="L46" i="24"/>
  <c r="H265" i="18"/>
  <c r="X18" i="24"/>
  <c r="Z18" i="24" s="1"/>
  <c r="L98" i="27"/>
  <c r="N98" i="27" s="1"/>
  <c r="X23" i="24"/>
  <c r="Z23" i="24" s="1"/>
  <c r="X30" i="24"/>
  <c r="Z30" i="24" s="1"/>
  <c r="N15" i="27"/>
  <c r="N19" i="27"/>
  <c r="N23" i="27"/>
  <c r="L25" i="27"/>
  <c r="N25" i="27" s="1"/>
  <c r="L29" i="27"/>
  <c r="N31" i="27"/>
  <c r="L33" i="27"/>
  <c r="N35" i="27"/>
  <c r="L37" i="27"/>
  <c r="N37" i="27" s="1"/>
  <c r="N39" i="27"/>
  <c r="X181" i="18"/>
  <c r="Z181" i="18" s="1"/>
  <c r="X201" i="18"/>
  <c r="Z201" i="18" s="1"/>
  <c r="X253" i="18"/>
  <c r="Z253" i="18" s="1"/>
  <c r="X271" i="18"/>
  <c r="Z271" i="18" s="1"/>
  <c r="L50" i="21"/>
  <c r="N50" i="21" s="1"/>
  <c r="Z15" i="24"/>
  <c r="X25" i="24"/>
  <c r="Z37" i="24"/>
  <c r="N85" i="24"/>
  <c r="H12" i="27"/>
  <c r="N13" i="27"/>
  <c r="L13" i="27"/>
  <c r="N17" i="27"/>
  <c r="L17" i="27"/>
  <c r="L21" i="27"/>
  <c r="N21" i="27" s="1"/>
  <c r="N29" i="27"/>
  <c r="X60" i="27"/>
  <c r="H12" i="24"/>
  <c r="Z25" i="24"/>
  <c r="Z39" i="24"/>
  <c r="Z89" i="24"/>
  <c r="P12" i="27"/>
  <c r="V112" i="27"/>
  <c r="V106" i="27"/>
  <c r="V90" i="27"/>
  <c r="V82" i="27"/>
  <c r="V110" i="27"/>
  <c r="V108" i="27"/>
  <c r="V117" i="27"/>
  <c r="V101" i="27"/>
  <c r="V96" i="27"/>
  <c r="V105" i="27"/>
  <c r="V97" i="27"/>
  <c r="V113" i="27"/>
  <c r="V100" i="27"/>
  <c r="V79" i="27"/>
  <c r="V67" i="27"/>
  <c r="V63" i="27"/>
  <c r="V107" i="27"/>
  <c r="V103" i="27"/>
  <c r="V91" i="27"/>
  <c r="V78" i="27"/>
  <c r="V54" i="27"/>
  <c r="V50" i="27"/>
  <c r="V46" i="27"/>
  <c r="V42" i="27"/>
  <c r="V98" i="27"/>
  <c r="V73" i="27"/>
  <c r="V94" i="27"/>
  <c r="V85" i="27"/>
  <c r="V68" i="27"/>
  <c r="V64" i="27"/>
  <c r="V86" i="27"/>
  <c r="V80" i="27"/>
  <c r="V55" i="27"/>
  <c r="V51" i="27"/>
  <c r="V47" i="27"/>
  <c r="V43" i="27"/>
  <c r="V92" i="27"/>
  <c r="V74" i="27"/>
  <c r="V111" i="27"/>
  <c r="V104" i="27"/>
  <c r="V69" i="27"/>
  <c r="V65" i="27"/>
  <c r="V61" i="27"/>
  <c r="V115" i="27"/>
  <c r="V99" i="27"/>
  <c r="V81" i="27"/>
  <c r="V60" i="27"/>
  <c r="V58" i="27"/>
  <c r="V56" i="27"/>
  <c r="V52" i="27"/>
  <c r="V48" i="27"/>
  <c r="V44" i="27"/>
  <c r="V102" i="27"/>
  <c r="V70" i="27"/>
  <c r="V66" i="27"/>
  <c r="V62" i="27"/>
  <c r="V89" i="27"/>
  <c r="V84" i="27"/>
  <c r="V83" i="27"/>
  <c r="V77" i="27"/>
  <c r="V53" i="27"/>
  <c r="V49" i="27"/>
  <c r="V45" i="27"/>
  <c r="V41" i="27"/>
  <c r="V88" i="27"/>
  <c r="V76" i="27"/>
  <c r="V72" i="27"/>
  <c r="Z60" i="27"/>
  <c r="V93" i="27"/>
  <c r="J84" i="33"/>
  <c r="J80" i="33"/>
  <c r="J64" i="33"/>
  <c r="J54" i="33"/>
  <c r="J48" i="33"/>
  <c r="J44" i="33"/>
  <c r="J30" i="33"/>
  <c r="J83" i="33"/>
  <c r="J65" i="33"/>
  <c r="J55" i="33"/>
  <c r="J49" i="33"/>
  <c r="J35" i="33"/>
  <c r="J31" i="33"/>
  <c r="J74" i="33"/>
  <c r="J66" i="33"/>
  <c r="J56" i="33"/>
  <c r="J50" i="33"/>
  <c r="J40" i="33"/>
  <c r="J67" i="33"/>
  <c r="J57" i="33"/>
  <c r="J45" i="33"/>
  <c r="J41" i="33"/>
  <c r="J39" i="33"/>
  <c r="J37" i="33"/>
  <c r="J68" i="33"/>
  <c r="J58" i="33"/>
  <c r="H37" i="33"/>
  <c r="J32" i="33"/>
  <c r="J75" i="33"/>
  <c r="J69" i="33"/>
  <c r="J70" i="33"/>
  <c r="J60" i="33"/>
  <c r="J46" i="33"/>
  <c r="J42" i="33"/>
  <c r="J71" i="33"/>
  <c r="J61" i="33"/>
  <c r="J33" i="33"/>
  <c r="J76" i="33"/>
  <c r="J72" i="33"/>
  <c r="J52" i="33"/>
  <c r="J87" i="33"/>
  <c r="J77" i="33"/>
  <c r="J91" i="33"/>
  <c r="J53" i="33"/>
  <c r="J73" i="33"/>
  <c r="J62" i="33"/>
  <c r="J79" i="33"/>
  <c r="J85" i="33"/>
  <c r="J43" i="33"/>
  <c r="J63" i="33"/>
  <c r="J59" i="33"/>
  <c r="J34" i="33"/>
  <c r="J78" i="33"/>
  <c r="J86" i="33"/>
  <c r="J51" i="33"/>
  <c r="J47" i="33"/>
  <c r="Z27" i="24"/>
  <c r="Z16" i="30"/>
  <c r="X16" i="30"/>
  <c r="L13" i="21"/>
  <c r="L17" i="21"/>
  <c r="N17" i="21" s="1"/>
  <c r="L21" i="21"/>
  <c r="N14" i="24"/>
  <c r="Z17" i="24"/>
  <c r="X22" i="24"/>
  <c r="Z22" i="24" s="1"/>
  <c r="X34" i="24"/>
  <c r="Z34" i="24" s="1"/>
  <c r="N71" i="27"/>
  <c r="N13" i="21"/>
  <c r="X29" i="24"/>
  <c r="Z41" i="24"/>
  <c r="Z98" i="24"/>
  <c r="X100" i="24"/>
  <c r="Z100" i="24" s="1"/>
  <c r="X108" i="24"/>
  <c r="Z108" i="24" s="1"/>
  <c r="X14" i="24"/>
  <c r="Z14" i="24" s="1"/>
  <c r="Z19" i="24"/>
  <c r="Z29" i="24"/>
  <c r="Z43" i="24"/>
  <c r="V87" i="27"/>
  <c r="X111" i="27"/>
  <c r="Z111" i="27" s="1"/>
  <c r="P110" i="27"/>
  <c r="X110" i="27" s="1"/>
  <c r="Z110" i="27" s="1"/>
  <c r="Z84" i="27"/>
  <c r="Z36" i="30"/>
  <c r="X36" i="30"/>
  <c r="L14" i="27"/>
  <c r="N14" i="27" s="1"/>
  <c r="L18" i="27"/>
  <c r="N18" i="27" s="1"/>
  <c r="L22" i="27"/>
  <c r="L26" i="27"/>
  <c r="N26" i="27" s="1"/>
  <c r="L30" i="27"/>
  <c r="N30" i="27" s="1"/>
  <c r="L34" i="27"/>
  <c r="N34" i="27" s="1"/>
  <c r="L38" i="27"/>
  <c r="N38" i="27" s="1"/>
  <c r="N111" i="27"/>
  <c r="X112" i="27"/>
  <c r="Z22" i="30"/>
  <c r="Z26" i="30"/>
  <c r="Z28" i="30"/>
  <c r="X28" i="30"/>
  <c r="X32" i="30"/>
  <c r="Z32" i="30" s="1"/>
  <c r="Z91" i="30"/>
  <c r="Z98" i="30"/>
  <c r="Z100" i="30"/>
  <c r="R116" i="30"/>
  <c r="Z112" i="27"/>
  <c r="Z18" i="30"/>
  <c r="X20" i="30"/>
  <c r="Z20" i="30" s="1"/>
  <c r="X24" i="30"/>
  <c r="Z24" i="30" s="1"/>
  <c r="P67" i="30"/>
  <c r="N121" i="30"/>
  <c r="L24" i="33"/>
  <c r="X37" i="30"/>
  <c r="X39" i="30"/>
  <c r="N69" i="30"/>
  <c r="J85" i="30"/>
  <c r="R128" i="30"/>
  <c r="D12" i="27"/>
  <c r="Z37" i="30"/>
  <c r="Z39" i="30"/>
  <c r="J69" i="30"/>
  <c r="J95" i="30"/>
  <c r="L106" i="30"/>
  <c r="N110" i="30"/>
  <c r="J115" i="30"/>
  <c r="N139" i="30"/>
  <c r="F91" i="33"/>
  <c r="F86" i="33"/>
  <c r="F73" i="33"/>
  <c r="F53" i="33"/>
  <c r="F85" i="33"/>
  <c r="F80" i="33"/>
  <c r="F79" i="33"/>
  <c r="F64" i="33"/>
  <c r="F63" i="33"/>
  <c r="F48" i="33"/>
  <c r="F44" i="33"/>
  <c r="F84" i="33"/>
  <c r="F55" i="33"/>
  <c r="F54" i="33"/>
  <c r="F35" i="33"/>
  <c r="F31" i="33"/>
  <c r="F30" i="33"/>
  <c r="F83" i="33"/>
  <c r="F74" i="33"/>
  <c r="F66" i="33"/>
  <c r="F65" i="33"/>
  <c r="F50" i="33"/>
  <c r="F49" i="33"/>
  <c r="F82" i="33"/>
  <c r="F57" i="33"/>
  <c r="F56" i="33"/>
  <c r="F45" i="33"/>
  <c r="F41" i="33"/>
  <c r="F40" i="33"/>
  <c r="F68" i="33"/>
  <c r="F67" i="33"/>
  <c r="F75" i="33"/>
  <c r="F59" i="33"/>
  <c r="F58" i="33"/>
  <c r="F51" i="33"/>
  <c r="D37" i="33"/>
  <c r="F70" i="33"/>
  <c r="F69" i="33"/>
  <c r="F46" i="33"/>
  <c r="F42" i="33"/>
  <c r="F61" i="33"/>
  <c r="F60" i="33"/>
  <c r="F33" i="33"/>
  <c r="F76" i="33"/>
  <c r="F72" i="33"/>
  <c r="F71" i="33"/>
  <c r="F47" i="33"/>
  <c r="F77" i="33"/>
  <c r="F62" i="33"/>
  <c r="F87" i="33"/>
  <c r="F52" i="33"/>
  <c r="F39" i="33"/>
  <c r="L12" i="33"/>
  <c r="N12" i="33" s="1"/>
  <c r="F34" i="33"/>
  <c r="F78" i="33"/>
  <c r="F37" i="33"/>
  <c r="V68" i="33"/>
  <c r="V60" i="33"/>
  <c r="V32" i="33"/>
  <c r="V75" i="33"/>
  <c r="V71" i="33"/>
  <c r="V59" i="33"/>
  <c r="V51" i="33"/>
  <c r="V70" i="33"/>
  <c r="V46" i="33"/>
  <c r="V42" i="33"/>
  <c r="V87" i="33"/>
  <c r="V77" i="33"/>
  <c r="V61" i="33"/>
  <c r="V33" i="33"/>
  <c r="V86" i="33"/>
  <c r="V76" i="33"/>
  <c r="V72" i="33"/>
  <c r="V52" i="33"/>
  <c r="V85" i="33"/>
  <c r="V79" i="33"/>
  <c r="V84" i="33"/>
  <c r="V78" i="33"/>
  <c r="V62" i="33"/>
  <c r="V54" i="33"/>
  <c r="V34" i="33"/>
  <c r="V30" i="33"/>
  <c r="V91" i="33"/>
  <c r="V83" i="33"/>
  <c r="V73" i="33"/>
  <c r="V65" i="33"/>
  <c r="V53" i="33"/>
  <c r="V49" i="33"/>
  <c r="V80" i="33"/>
  <c r="V64" i="33"/>
  <c r="V56" i="33"/>
  <c r="V48" i="33"/>
  <c r="V44" i="33"/>
  <c r="V40" i="33"/>
  <c r="V67" i="33"/>
  <c r="V58" i="33"/>
  <c r="V31" i="33"/>
  <c r="V66" i="33"/>
  <c r="V39" i="33"/>
  <c r="V50" i="33"/>
  <c r="V35" i="33"/>
  <c r="V74" i="33"/>
  <c r="V43" i="33"/>
  <c r="V41" i="33"/>
  <c r="V63" i="33"/>
  <c r="V69" i="33"/>
  <c r="V55" i="33"/>
  <c r="V45" i="33"/>
  <c r="T37" i="33"/>
  <c r="V47" i="33"/>
  <c r="V57" i="33"/>
  <c r="X38" i="24"/>
  <c r="Z38" i="24" s="1"/>
  <c r="X42" i="24"/>
  <c r="Z42" i="24" s="1"/>
  <c r="X46" i="24"/>
  <c r="D110" i="27"/>
  <c r="N17" i="30"/>
  <c r="Z29" i="30"/>
  <c r="Z33" i="30"/>
  <c r="Z35" i="30"/>
  <c r="X22" i="33"/>
  <c r="Z22" i="33" s="1"/>
  <c r="N84" i="27"/>
  <c r="J129" i="30"/>
  <c r="J117" i="30"/>
  <c r="J111" i="30"/>
  <c r="J99" i="30"/>
  <c r="J89" i="30"/>
  <c r="J63" i="30"/>
  <c r="J59" i="30"/>
  <c r="J55" i="30"/>
  <c r="J51" i="30"/>
  <c r="J47" i="30"/>
  <c r="J130" i="30"/>
  <c r="J118" i="30"/>
  <c r="J100" i="30"/>
  <c r="J90" i="30"/>
  <c r="J82" i="30"/>
  <c r="J131" i="30"/>
  <c r="J125" i="30"/>
  <c r="J101" i="30"/>
  <c r="J91" i="30"/>
  <c r="J77" i="30"/>
  <c r="J73" i="30"/>
  <c r="J43" i="30"/>
  <c r="J132" i="30"/>
  <c r="J112" i="30"/>
  <c r="J102" i="30"/>
  <c r="J92" i="30"/>
  <c r="J64" i="30"/>
  <c r="J60" i="30"/>
  <c r="J56" i="30"/>
  <c r="J52" i="30"/>
  <c r="J48" i="30"/>
  <c r="J44" i="30"/>
  <c r="J133" i="30"/>
  <c r="J119" i="30"/>
  <c r="J103" i="30"/>
  <c r="J83" i="30"/>
  <c r="J134" i="30"/>
  <c r="J126" i="30"/>
  <c r="J104" i="30"/>
  <c r="J78" i="30"/>
  <c r="J74" i="30"/>
  <c r="J135" i="30"/>
  <c r="J113" i="30"/>
  <c r="J105" i="30"/>
  <c r="J93" i="30"/>
  <c r="J79" i="30"/>
  <c r="J65" i="30"/>
  <c r="J61" i="30"/>
  <c r="J57" i="30"/>
  <c r="J53" i="30"/>
  <c r="J49" i="30"/>
  <c r="J45" i="30"/>
  <c r="J136" i="30"/>
  <c r="J120" i="30"/>
  <c r="J114" i="30"/>
  <c r="J106" i="30"/>
  <c r="J94" i="30"/>
  <c r="J84" i="30"/>
  <c r="J80" i="30"/>
  <c r="J70" i="30"/>
  <c r="N12" i="30"/>
  <c r="J122" i="30"/>
  <c r="J108" i="30"/>
  <c r="J96" i="30"/>
  <c r="J86" i="30"/>
  <c r="H67" i="30"/>
  <c r="J62" i="30"/>
  <c r="J58" i="30"/>
  <c r="J54" i="30"/>
  <c r="J50" i="30"/>
  <c r="J46" i="30"/>
  <c r="J143" i="30"/>
  <c r="J123" i="30"/>
  <c r="J109" i="30"/>
  <c r="J97" i="30"/>
  <c r="J87" i="30"/>
  <c r="J81" i="30"/>
  <c r="J128" i="30"/>
  <c r="J124" i="30"/>
  <c r="J116" i="30"/>
  <c r="J110" i="30"/>
  <c r="J98" i="30"/>
  <c r="J88" i="30"/>
  <c r="J76" i="30"/>
  <c r="J72" i="30"/>
  <c r="X17" i="30"/>
  <c r="X19" i="30"/>
  <c r="Z19" i="30" s="1"/>
  <c r="Z21" i="30"/>
  <c r="X23" i="30"/>
  <c r="Z25" i="30"/>
  <c r="Z27" i="30"/>
  <c r="Z31" i="30"/>
  <c r="R76" i="30"/>
  <c r="Z98" i="27"/>
  <c r="R133" i="30"/>
  <c r="R132" i="30"/>
  <c r="R112" i="30"/>
  <c r="R92" i="30"/>
  <c r="R64" i="30"/>
  <c r="R60" i="30"/>
  <c r="R56" i="30"/>
  <c r="R52" i="30"/>
  <c r="R48" i="30"/>
  <c r="R44" i="30"/>
  <c r="R119" i="30"/>
  <c r="R104" i="30"/>
  <c r="R103" i="30"/>
  <c r="R83" i="30"/>
  <c r="R135" i="30"/>
  <c r="R134" i="30"/>
  <c r="R126" i="30"/>
  <c r="R79" i="30"/>
  <c r="R78" i="30"/>
  <c r="R74" i="30"/>
  <c r="R114" i="30"/>
  <c r="R113" i="30"/>
  <c r="R106" i="30"/>
  <c r="R105" i="30"/>
  <c r="R94" i="30"/>
  <c r="R93" i="30"/>
  <c r="R70" i="30"/>
  <c r="R65" i="30"/>
  <c r="R61" i="30"/>
  <c r="R57" i="30"/>
  <c r="R53" i="30"/>
  <c r="R49" i="30"/>
  <c r="R45" i="30"/>
  <c r="R139" i="30"/>
  <c r="R136" i="30"/>
  <c r="R121" i="30"/>
  <c r="R120" i="30"/>
  <c r="R85" i="30"/>
  <c r="R84" i="30"/>
  <c r="R80" i="30"/>
  <c r="R69" i="30"/>
  <c r="R67" i="30"/>
  <c r="X12" i="30"/>
  <c r="R127" i="30"/>
  <c r="R115" i="30"/>
  <c r="R108" i="30"/>
  <c r="R107" i="30"/>
  <c r="R96" i="30"/>
  <c r="R95" i="30"/>
  <c r="R75" i="30"/>
  <c r="R71" i="30"/>
  <c r="R123" i="30"/>
  <c r="R122" i="30"/>
  <c r="R87" i="30"/>
  <c r="R86" i="30"/>
  <c r="R62" i="30"/>
  <c r="R58" i="30"/>
  <c r="R54" i="30"/>
  <c r="R50" i="30"/>
  <c r="R46" i="30"/>
  <c r="R143" i="30"/>
  <c r="R110" i="30"/>
  <c r="R109" i="30"/>
  <c r="R98" i="30"/>
  <c r="R97" i="30"/>
  <c r="R81" i="30"/>
  <c r="R111" i="30"/>
  <c r="R100" i="30"/>
  <c r="R99" i="30"/>
  <c r="R63" i="30"/>
  <c r="R59" i="30"/>
  <c r="R55" i="30"/>
  <c r="R51" i="30"/>
  <c r="R47" i="30"/>
  <c r="R131" i="30"/>
  <c r="R130" i="30"/>
  <c r="R118" i="30"/>
  <c r="R91" i="30"/>
  <c r="R90" i="30"/>
  <c r="R82" i="30"/>
  <c r="R43" i="30"/>
  <c r="R125" i="30"/>
  <c r="R102" i="30"/>
  <c r="R101" i="30"/>
  <c r="R77" i="30"/>
  <c r="R73" i="30"/>
  <c r="Z17" i="30"/>
  <c r="R88" i="30"/>
  <c r="R117" i="30"/>
  <c r="F120" i="30"/>
  <c r="J127" i="30"/>
  <c r="X13" i="24"/>
  <c r="Z13" i="24" s="1"/>
  <c r="Z15" i="30"/>
  <c r="L70" i="30"/>
  <c r="F79" i="30"/>
  <c r="Z131" i="30"/>
  <c r="X76" i="24"/>
  <c r="Z76" i="24" s="1"/>
  <c r="L98" i="24"/>
  <c r="N98" i="24" s="1"/>
  <c r="L116" i="24"/>
  <c r="N93" i="27"/>
  <c r="L96" i="27"/>
  <c r="N96" i="27" s="1"/>
  <c r="N70" i="30"/>
  <c r="F32" i="33"/>
  <c r="F128" i="30"/>
  <c r="F124" i="30"/>
  <c r="F123" i="30"/>
  <c r="F116" i="30"/>
  <c r="F88" i="30"/>
  <c r="F87" i="30"/>
  <c r="F76" i="30"/>
  <c r="F72" i="30"/>
  <c r="F111" i="30"/>
  <c r="F110" i="30"/>
  <c r="F99" i="30"/>
  <c r="F98" i="30"/>
  <c r="F63" i="30"/>
  <c r="F59" i="30"/>
  <c r="F55" i="30"/>
  <c r="F51" i="30"/>
  <c r="F47" i="30"/>
  <c r="F130" i="30"/>
  <c r="F129" i="30"/>
  <c r="F118" i="30"/>
  <c r="F117" i="30"/>
  <c r="F90" i="30"/>
  <c r="F89" i="30"/>
  <c r="F82" i="30"/>
  <c r="F125" i="30"/>
  <c r="F101" i="30"/>
  <c r="F100" i="30"/>
  <c r="F77" i="30"/>
  <c r="F73" i="30"/>
  <c r="F132" i="30"/>
  <c r="F131" i="30"/>
  <c r="F112" i="30"/>
  <c r="F92" i="30"/>
  <c r="F91" i="30"/>
  <c r="F64" i="30"/>
  <c r="F60" i="30"/>
  <c r="F56" i="30"/>
  <c r="F52" i="30"/>
  <c r="F48" i="30"/>
  <c r="F44" i="30"/>
  <c r="F43" i="30"/>
  <c r="F119" i="30"/>
  <c r="F103" i="30"/>
  <c r="F102" i="30"/>
  <c r="F83" i="30"/>
  <c r="F134" i="30"/>
  <c r="F133" i="30"/>
  <c r="F126" i="30"/>
  <c r="F78" i="30"/>
  <c r="F74" i="30"/>
  <c r="F113" i="30"/>
  <c r="F105" i="30"/>
  <c r="F104" i="30"/>
  <c r="F93" i="30"/>
  <c r="F65" i="30"/>
  <c r="F61" i="30"/>
  <c r="F57" i="30"/>
  <c r="F53" i="30"/>
  <c r="F49" i="30"/>
  <c r="F45" i="30"/>
  <c r="F127" i="30"/>
  <c r="F115" i="30"/>
  <c r="F114" i="30"/>
  <c r="F107" i="30"/>
  <c r="F106" i="30"/>
  <c r="F95" i="30"/>
  <c r="F94" i="30"/>
  <c r="F75" i="30"/>
  <c r="F71" i="30"/>
  <c r="F70" i="30"/>
  <c r="F139" i="30"/>
  <c r="F122" i="30"/>
  <c r="F121" i="30"/>
  <c r="F86" i="30"/>
  <c r="F85" i="30"/>
  <c r="F69" i="30"/>
  <c r="F62" i="30"/>
  <c r="F58" i="30"/>
  <c r="F54" i="30"/>
  <c r="F50" i="30"/>
  <c r="F46" i="30"/>
  <c r="F143" i="30"/>
  <c r="F138" i="30"/>
  <c r="F109" i="30"/>
  <c r="F108" i="30"/>
  <c r="F97" i="30"/>
  <c r="F96" i="30"/>
  <c r="F81" i="30"/>
  <c r="D67" i="30"/>
  <c r="N18" i="30"/>
  <c r="N20" i="30"/>
  <c r="X40" i="30"/>
  <c r="Z40" i="30" s="1"/>
  <c r="R72" i="30"/>
  <c r="L94" i="30"/>
  <c r="J107" i="30"/>
  <c r="L114" i="30"/>
  <c r="N114" i="30" s="1"/>
  <c r="R129" i="30"/>
  <c r="F43" i="33"/>
  <c r="L13" i="30"/>
  <c r="L17" i="30"/>
  <c r="L21" i="30"/>
  <c r="N21" i="30" s="1"/>
  <c r="L25" i="30"/>
  <c r="N25" i="30" s="1"/>
  <c r="L29" i="30"/>
  <c r="N29" i="30" s="1"/>
  <c r="L33" i="30"/>
  <c r="N33" i="30" s="1"/>
  <c r="L37" i="30"/>
  <c r="L41" i="30"/>
  <c r="X18" i="33"/>
  <c r="Z18" i="33" s="1"/>
  <c r="L20" i="33"/>
  <c r="Z23" i="33"/>
  <c r="H82" i="33"/>
  <c r="Z32" i="36"/>
  <c r="Z53" i="36"/>
  <c r="J119" i="36"/>
  <c r="H110" i="27"/>
  <c r="N13" i="30"/>
  <c r="H138" i="30"/>
  <c r="P12" i="33"/>
  <c r="X13" i="33"/>
  <c r="Z13" i="33" s="1"/>
  <c r="Z20" i="33"/>
  <c r="Z25" i="33"/>
  <c r="Z86" i="33"/>
  <c r="Z51" i="36"/>
  <c r="X13" i="30"/>
  <c r="Z13" i="30" s="1"/>
  <c r="Z15" i="33"/>
  <c r="Z27" i="33"/>
  <c r="Z40" i="33"/>
  <c r="L87" i="33"/>
  <c r="D12" i="36"/>
  <c r="X110" i="36"/>
  <c r="P138" i="30"/>
  <c r="X138" i="30" s="1"/>
  <c r="Z138" i="30" s="1"/>
  <c r="X17" i="33"/>
  <c r="Z67" i="33"/>
  <c r="J112" i="36"/>
  <c r="J104" i="36"/>
  <c r="J100" i="36"/>
  <c r="J88" i="36"/>
  <c r="J82" i="36"/>
  <c r="J124" i="36"/>
  <c r="J118" i="36"/>
  <c r="J108" i="36"/>
  <c r="J102" i="36"/>
  <c r="J98" i="36"/>
  <c r="J117" i="36"/>
  <c r="J109" i="36"/>
  <c r="J93" i="36"/>
  <c r="J84" i="36"/>
  <c r="J76" i="36"/>
  <c r="J66" i="36"/>
  <c r="J58" i="36"/>
  <c r="J110" i="36"/>
  <c r="J103" i="36"/>
  <c r="J77" i="36"/>
  <c r="J67" i="36"/>
  <c r="J49" i="36"/>
  <c r="J45" i="36"/>
  <c r="J101" i="36"/>
  <c r="J95" i="36"/>
  <c r="J92" i="36"/>
  <c r="J89" i="36"/>
  <c r="J78" i="36"/>
  <c r="J68" i="36"/>
  <c r="J40" i="36"/>
  <c r="J36" i="36"/>
  <c r="J26" i="36"/>
  <c r="J113" i="36"/>
  <c r="J106" i="36"/>
  <c r="J79" i="36"/>
  <c r="J69" i="36"/>
  <c r="J59" i="36"/>
  <c r="J27" i="36"/>
  <c r="J99" i="36"/>
  <c r="J85" i="36"/>
  <c r="J80" i="36"/>
  <c r="J70" i="36"/>
  <c r="J50" i="36"/>
  <c r="J46" i="36"/>
  <c r="J111" i="36"/>
  <c r="J96" i="36"/>
  <c r="J86" i="36"/>
  <c r="J51" i="36"/>
  <c r="J41" i="36"/>
  <c r="J37" i="36"/>
  <c r="J107" i="36"/>
  <c r="J90" i="36"/>
  <c r="J81" i="36"/>
  <c r="J60" i="36"/>
  <c r="J52" i="36"/>
  <c r="J28" i="36"/>
  <c r="J114" i="36"/>
  <c r="J71" i="36"/>
  <c r="J61" i="36"/>
  <c r="J53" i="36"/>
  <c r="J47" i="36"/>
  <c r="J33" i="36"/>
  <c r="J97" i="36"/>
  <c r="J87" i="36"/>
  <c r="J72" i="36"/>
  <c r="J62" i="36"/>
  <c r="J54" i="36"/>
  <c r="J42" i="36"/>
  <c r="J38" i="36"/>
  <c r="J34" i="36"/>
  <c r="J32" i="36"/>
  <c r="J83" i="36"/>
  <c r="J73" i="36"/>
  <c r="J63" i="36"/>
  <c r="J55" i="36"/>
  <c r="J43" i="36"/>
  <c r="H30" i="36"/>
  <c r="J30" i="36" s="1"/>
  <c r="J120" i="36"/>
  <c r="J115" i="36"/>
  <c r="J105" i="36"/>
  <c r="J94" i="36"/>
  <c r="J91" i="36"/>
  <c r="J75" i="36"/>
  <c r="J65" i="36"/>
  <c r="J57" i="36"/>
  <c r="J39" i="36"/>
  <c r="J35" i="36"/>
  <c r="Z110" i="36"/>
  <c r="L117" i="36"/>
  <c r="Z17" i="33"/>
  <c r="N16" i="33"/>
  <c r="X24" i="33"/>
  <c r="X39" i="33"/>
  <c r="L58" i="33"/>
  <c r="N58" i="33" s="1"/>
  <c r="L82" i="33"/>
  <c r="T12" i="36"/>
  <c r="N43" i="36"/>
  <c r="L55" i="36"/>
  <c r="N55" i="36" s="1"/>
  <c r="Z69" i="36"/>
  <c r="J74" i="36"/>
  <c r="X95" i="36"/>
  <c r="Z95" i="36" s="1"/>
  <c r="N117" i="36"/>
  <c r="N87" i="39"/>
  <c r="L87" i="39"/>
  <c r="X87" i="30"/>
  <c r="Z87" i="30" s="1"/>
  <c r="X123" i="30"/>
  <c r="Z123" i="30" s="1"/>
  <c r="N77" i="33"/>
  <c r="X13" i="36"/>
  <c r="Z13" i="36" s="1"/>
  <c r="N19" i="36"/>
  <c r="N26" i="36"/>
  <c r="Z39" i="33"/>
  <c r="Z43" i="36"/>
  <c r="Z16" i="33"/>
  <c r="Z21" i="33"/>
  <c r="Z54" i="33"/>
  <c r="X56" i="33"/>
  <c r="Z56" i="33" s="1"/>
  <c r="Z58" i="33"/>
  <c r="Z21" i="36"/>
  <c r="N32" i="36"/>
  <c r="N53" i="36"/>
  <c r="N63" i="36"/>
  <c r="N20" i="33"/>
  <c r="N86" i="33"/>
  <c r="L86" i="33"/>
  <c r="Z26" i="36"/>
  <c r="R36" i="36"/>
  <c r="R40" i="36"/>
  <c r="R68" i="36"/>
  <c r="R69" i="36"/>
  <c r="R92" i="36"/>
  <c r="Z123" i="39"/>
  <c r="Z47" i="45"/>
  <c r="R65" i="42"/>
  <c r="R64" i="42"/>
  <c r="R56" i="42"/>
  <c r="R106" i="42"/>
  <c r="R98" i="42"/>
  <c r="R94" i="42"/>
  <c r="R83" i="42"/>
  <c r="R82" i="42"/>
  <c r="R66" i="42"/>
  <c r="R38" i="42"/>
  <c r="R34" i="42"/>
  <c r="R77" i="42"/>
  <c r="R57" i="42"/>
  <c r="R25" i="42"/>
  <c r="R89" i="42"/>
  <c r="R88" i="42"/>
  <c r="R84" i="42"/>
  <c r="R114" i="42"/>
  <c r="R108" i="42"/>
  <c r="R107" i="42"/>
  <c r="R100" i="42"/>
  <c r="R99" i="42"/>
  <c r="R95" i="42"/>
  <c r="R68" i="42"/>
  <c r="R67" i="42"/>
  <c r="R39" i="42"/>
  <c r="R35" i="42"/>
  <c r="R113" i="42"/>
  <c r="R91" i="42"/>
  <c r="R90" i="42"/>
  <c r="R78" i="42"/>
  <c r="R59" i="42"/>
  <c r="R58" i="42"/>
  <c r="R51" i="42"/>
  <c r="R50" i="42"/>
  <c r="R112" i="42"/>
  <c r="R109" i="42"/>
  <c r="R102" i="42"/>
  <c r="R101" i="42"/>
  <c r="R85" i="42"/>
  <c r="R70" i="42"/>
  <c r="R69" i="42"/>
  <c r="R45" i="42"/>
  <c r="R30" i="42"/>
  <c r="R104" i="42"/>
  <c r="R103" i="42"/>
  <c r="R80" i="42"/>
  <c r="R79" i="42"/>
  <c r="R72" i="42"/>
  <c r="R71" i="42"/>
  <c r="R105" i="42"/>
  <c r="R97" i="42"/>
  <c r="R93" i="42"/>
  <c r="R81" i="42"/>
  <c r="R74" i="42"/>
  <c r="R73" i="42"/>
  <c r="R37" i="42"/>
  <c r="R33" i="42"/>
  <c r="R49" i="42"/>
  <c r="P28" i="42"/>
  <c r="R28" i="42" s="1"/>
  <c r="R86" i="42"/>
  <c r="R41" i="42"/>
  <c r="R32" i="42"/>
  <c r="R75" i="42"/>
  <c r="R62" i="42"/>
  <c r="R47" i="42"/>
  <c r="R43" i="42"/>
  <c r="R92" i="42"/>
  <c r="R54" i="42"/>
  <c r="R26" i="42"/>
  <c r="R24" i="42"/>
  <c r="R60" i="42"/>
  <c r="R36" i="42"/>
  <c r="R52" i="42"/>
  <c r="R63" i="42"/>
  <c r="R76" i="42"/>
  <c r="R55" i="42"/>
  <c r="R46" i="42"/>
  <c r="R42" i="42"/>
  <c r="R31" i="42"/>
  <c r="R118" i="42"/>
  <c r="R96" i="42"/>
  <c r="R53" i="42"/>
  <c r="R87" i="42"/>
  <c r="T82" i="33"/>
  <c r="V82" i="33" s="1"/>
  <c r="R120" i="36"/>
  <c r="R114" i="36"/>
  <c r="R113" i="36"/>
  <c r="R106" i="36"/>
  <c r="R105" i="36"/>
  <c r="R101" i="36"/>
  <c r="R118" i="36"/>
  <c r="R115" i="36"/>
  <c r="R111" i="36"/>
  <c r="R103" i="36"/>
  <c r="R99" i="36"/>
  <c r="R95" i="36"/>
  <c r="R94" i="36"/>
  <c r="R90" i="36"/>
  <c r="R58" i="36"/>
  <c r="R66" i="36"/>
  <c r="R67" i="36"/>
  <c r="L74" i="36"/>
  <c r="N74" i="36" s="1"/>
  <c r="X80" i="36"/>
  <c r="Z80" i="36" s="1"/>
  <c r="R84" i="36"/>
  <c r="R98" i="36"/>
  <c r="R109" i="36"/>
  <c r="P12" i="39"/>
  <c r="X14" i="39"/>
  <c r="R48" i="42"/>
  <c r="T12" i="45"/>
  <c r="R35" i="36"/>
  <c r="R39" i="36"/>
  <c r="R75" i="36"/>
  <c r="R76" i="36"/>
  <c r="L86" i="36"/>
  <c r="N86" i="36" s="1"/>
  <c r="R91" i="36"/>
  <c r="R112" i="36"/>
  <c r="N114" i="36"/>
  <c r="T12" i="39"/>
  <c r="Z14" i="39"/>
  <c r="Z18" i="39"/>
  <c r="Z22" i="39"/>
  <c r="Z26" i="39"/>
  <c r="Z79" i="39"/>
  <c r="Z116" i="39"/>
  <c r="X116" i="39"/>
  <c r="R40" i="42"/>
  <c r="X12" i="36"/>
  <c r="R44" i="36"/>
  <c r="R48" i="36"/>
  <c r="R56" i="36"/>
  <c r="R57" i="36"/>
  <c r="R64" i="36"/>
  <c r="R65" i="36"/>
  <c r="R100" i="36"/>
  <c r="R124" i="36"/>
  <c r="X81" i="39"/>
  <c r="Z81" i="39" s="1"/>
  <c r="X124" i="39"/>
  <c r="Z124" i="39" s="1"/>
  <c r="P123" i="39"/>
  <c r="X123" i="39" s="1"/>
  <c r="R73" i="36"/>
  <c r="R74" i="36"/>
  <c r="R83" i="36"/>
  <c r="R87" i="36"/>
  <c r="R102" i="36"/>
  <c r="L118" i="36"/>
  <c r="N118" i="36" s="1"/>
  <c r="R119" i="36"/>
  <c r="L15" i="39"/>
  <c r="D12" i="39"/>
  <c r="X56" i="39"/>
  <c r="Z56" i="39" s="1"/>
  <c r="L62" i="39"/>
  <c r="N62" i="39" s="1"/>
  <c r="D12" i="45"/>
  <c r="L15" i="45"/>
  <c r="X70" i="51"/>
  <c r="Z70" i="51" s="1"/>
  <c r="P30" i="36"/>
  <c r="R34" i="36"/>
  <c r="R38" i="36"/>
  <c r="R42" i="36"/>
  <c r="R43" i="36"/>
  <c r="R54" i="36"/>
  <c r="R55" i="36"/>
  <c r="R62" i="36"/>
  <c r="R63" i="36"/>
  <c r="H12" i="39"/>
  <c r="N13" i="39"/>
  <c r="N15" i="39"/>
  <c r="N17" i="39"/>
  <c r="N21" i="39"/>
  <c r="N23" i="39"/>
  <c r="N25" i="39"/>
  <c r="N27" i="39"/>
  <c r="L70" i="39"/>
  <c r="N70" i="39" s="1"/>
  <c r="Z85" i="39"/>
  <c r="R61" i="42"/>
  <c r="N63" i="45"/>
  <c r="X15" i="36"/>
  <c r="Z15" i="36" s="1"/>
  <c r="X19" i="36"/>
  <c r="Z19" i="36" s="1"/>
  <c r="X23" i="36"/>
  <c r="Z23" i="36" s="1"/>
  <c r="R30" i="36"/>
  <c r="R32" i="36"/>
  <c r="R47" i="36"/>
  <c r="R71" i="36"/>
  <c r="R72" i="36"/>
  <c r="R82" i="36"/>
  <c r="R93" i="36"/>
  <c r="R97" i="36"/>
  <c r="R104" i="36"/>
  <c r="R108" i="36"/>
  <c r="R28" i="36"/>
  <c r="R33" i="36"/>
  <c r="R52" i="36"/>
  <c r="R53" i="36"/>
  <c r="R60" i="36"/>
  <c r="R61" i="36"/>
  <c r="R81" i="36"/>
  <c r="N89" i="36"/>
  <c r="R107" i="36"/>
  <c r="Z68" i="39"/>
  <c r="N74" i="39"/>
  <c r="Z100" i="39"/>
  <c r="R44" i="42"/>
  <c r="Z80" i="42"/>
  <c r="L67" i="33"/>
  <c r="N67" i="33" s="1"/>
  <c r="X77" i="33"/>
  <c r="Z77" i="33" s="1"/>
  <c r="X87" i="33"/>
  <c r="L13" i="36"/>
  <c r="N13" i="36" s="1"/>
  <c r="R37" i="36"/>
  <c r="R41" i="36"/>
  <c r="X43" i="36"/>
  <c r="X55" i="36"/>
  <c r="Z55" i="36" s="1"/>
  <c r="X63" i="36"/>
  <c r="Z63" i="36" s="1"/>
  <c r="R86" i="36"/>
  <c r="R96" i="36"/>
  <c r="L106" i="36"/>
  <c r="N106" i="36" s="1"/>
  <c r="L110" i="36"/>
  <c r="N110" i="36" s="1"/>
  <c r="R46" i="36"/>
  <c r="R50" i="36"/>
  <c r="R51" i="36"/>
  <c r="R70" i="36"/>
  <c r="R85" i="36"/>
  <c r="Z86" i="36"/>
  <c r="P117" i="36"/>
  <c r="X117" i="36" s="1"/>
  <c r="Z117" i="36" s="1"/>
  <c r="Z48" i="39"/>
  <c r="X76" i="39"/>
  <c r="Z76" i="39" s="1"/>
  <c r="L123" i="39"/>
  <c r="N123" i="39" s="1"/>
  <c r="R27" i="36"/>
  <c r="R59" i="36"/>
  <c r="R79" i="36"/>
  <c r="R80" i="36"/>
  <c r="R89" i="36"/>
  <c r="R117" i="36"/>
  <c r="N120" i="36"/>
  <c r="L79" i="39"/>
  <c r="N79" i="39" s="1"/>
  <c r="N108" i="42"/>
  <c r="N124" i="39"/>
  <c r="X17" i="42"/>
  <c r="Z17" i="42" s="1"/>
  <c r="Z49" i="42"/>
  <c r="N70" i="42"/>
  <c r="X16" i="45"/>
  <c r="Z16" i="45" s="1"/>
  <c r="N45" i="45"/>
  <c r="Z49" i="45"/>
  <c r="L65" i="45"/>
  <c r="N65" i="45" s="1"/>
  <c r="Z14" i="42"/>
  <c r="N16" i="42"/>
  <c r="Z70" i="42"/>
  <c r="N15" i="45"/>
  <c r="Z45" i="45"/>
  <c r="L13" i="42"/>
  <c r="N13" i="42" s="1"/>
  <c r="N24" i="42"/>
  <c r="N30" i="42"/>
  <c r="Z74" i="42"/>
  <c r="Z76" i="42"/>
  <c r="X83" i="42"/>
  <c r="Z83" i="42" s="1"/>
  <c r="H12" i="42"/>
  <c r="X21" i="42"/>
  <c r="Z21" i="42" s="1"/>
  <c r="L41" i="42"/>
  <c r="N41" i="42" s="1"/>
  <c r="X112" i="42"/>
  <c r="P111" i="42"/>
  <c r="H111" i="42"/>
  <c r="N114" i="42"/>
  <c r="Z13" i="45"/>
  <c r="R86" i="45"/>
  <c r="R78" i="45"/>
  <c r="R74" i="45"/>
  <c r="R87" i="45"/>
  <c r="R79" i="45"/>
  <c r="R75" i="45"/>
  <c r="R89" i="45"/>
  <c r="R70" i="45"/>
  <c r="R81" i="45"/>
  <c r="R80" i="45"/>
  <c r="R76" i="45"/>
  <c r="R93" i="45"/>
  <c r="R71" i="45"/>
  <c r="R82" i="45"/>
  <c r="R67" i="45"/>
  <c r="R63" i="45"/>
  <c r="R62" i="45"/>
  <c r="R51" i="45"/>
  <c r="R50" i="45"/>
  <c r="R42" i="45"/>
  <c r="R38" i="45"/>
  <c r="R83" i="45"/>
  <c r="R33" i="45"/>
  <c r="R29" i="45"/>
  <c r="R68" i="45"/>
  <c r="R65" i="45"/>
  <c r="R64" i="45"/>
  <c r="R53" i="45"/>
  <c r="R52" i="45"/>
  <c r="R69" i="45"/>
  <c r="R43" i="45"/>
  <c r="R39" i="45"/>
  <c r="R20" i="45"/>
  <c r="R55" i="45"/>
  <c r="R54" i="45"/>
  <c r="R34" i="45"/>
  <c r="R30" i="45"/>
  <c r="R84" i="45"/>
  <c r="R21" i="45"/>
  <c r="R72" i="45"/>
  <c r="R66" i="45"/>
  <c r="R57" i="45"/>
  <c r="R56" i="45"/>
  <c r="R45" i="45"/>
  <c r="R44" i="45"/>
  <c r="R40" i="45"/>
  <c r="R85" i="45"/>
  <c r="R59" i="45"/>
  <c r="R58" i="45"/>
  <c r="R47" i="45"/>
  <c r="R46" i="45"/>
  <c r="R27" i="45"/>
  <c r="R22" i="45"/>
  <c r="R77" i="45"/>
  <c r="R73" i="45"/>
  <c r="R61" i="45"/>
  <c r="R60" i="45"/>
  <c r="R49" i="45"/>
  <c r="R48" i="45"/>
  <c r="R37" i="45"/>
  <c r="R36" i="45"/>
  <c r="R32" i="45"/>
  <c r="R28" i="45"/>
  <c r="P24" i="45"/>
  <c r="J44" i="45"/>
  <c r="Z112" i="42"/>
  <c r="Z30" i="42"/>
  <c r="L100" i="42"/>
  <c r="N100" i="42" s="1"/>
  <c r="N27" i="45"/>
  <c r="L55" i="45"/>
  <c r="N55" i="45" s="1"/>
  <c r="X61" i="45"/>
  <c r="Z61" i="45" s="1"/>
  <c r="N69" i="45"/>
  <c r="T12" i="42"/>
  <c r="X12" i="42" s="1"/>
  <c r="N15" i="42"/>
  <c r="Z18" i="42"/>
  <c r="N20" i="42"/>
  <c r="Z24" i="42"/>
  <c r="L53" i="42"/>
  <c r="N53" i="42" s="1"/>
  <c r="Z104" i="42"/>
  <c r="L111" i="42"/>
  <c r="R24" i="45"/>
  <c r="X27" i="45"/>
  <c r="Z27" i="45" s="1"/>
  <c r="Z37" i="45"/>
  <c r="Z59" i="45"/>
  <c r="L56" i="39"/>
  <c r="N56" i="39" s="1"/>
  <c r="X62" i="39"/>
  <c r="Z62" i="39" s="1"/>
  <c r="X70" i="39"/>
  <c r="Z70" i="39" s="1"/>
  <c r="L76" i="39"/>
  <c r="N76" i="39" s="1"/>
  <c r="L116" i="39"/>
  <c r="N116" i="39" s="1"/>
  <c r="L17" i="42"/>
  <c r="L61" i="42"/>
  <c r="N61" i="42" s="1"/>
  <c r="J83" i="45"/>
  <c r="J77" i="45"/>
  <c r="J86" i="45"/>
  <c r="J78" i="45"/>
  <c r="J74" i="45"/>
  <c r="J87" i="45"/>
  <c r="J79" i="45"/>
  <c r="J75" i="45"/>
  <c r="J70" i="45"/>
  <c r="J85" i="45"/>
  <c r="J58" i="45"/>
  <c r="J46" i="45"/>
  <c r="J22" i="45"/>
  <c r="J73" i="45"/>
  <c r="J59" i="45"/>
  <c r="J47" i="45"/>
  <c r="J41" i="45"/>
  <c r="J27" i="45"/>
  <c r="J67" i="45"/>
  <c r="J60" i="45"/>
  <c r="J48" i="45"/>
  <c r="J36" i="45"/>
  <c r="J32" i="45"/>
  <c r="J28" i="45"/>
  <c r="J26" i="45"/>
  <c r="J93" i="45"/>
  <c r="J82" i="45"/>
  <c r="J61" i="45"/>
  <c r="J49" i="45"/>
  <c r="J37" i="45"/>
  <c r="H24" i="45"/>
  <c r="J71" i="45"/>
  <c r="J62" i="45"/>
  <c r="J50" i="45"/>
  <c r="J42" i="45"/>
  <c r="J38" i="45"/>
  <c r="J89" i="45"/>
  <c r="J63" i="45"/>
  <c r="J51" i="45"/>
  <c r="J33" i="45"/>
  <c r="J29" i="45"/>
  <c r="J68" i="45"/>
  <c r="J64" i="45"/>
  <c r="J52" i="45"/>
  <c r="J80" i="45"/>
  <c r="J76" i="45"/>
  <c r="J69" i="45"/>
  <c r="J65" i="45"/>
  <c r="J53" i="45"/>
  <c r="J43" i="45"/>
  <c r="J39" i="45"/>
  <c r="J84" i="45"/>
  <c r="J55" i="45"/>
  <c r="J21" i="45"/>
  <c r="J81" i="45"/>
  <c r="J72" i="45"/>
  <c r="J66" i="45"/>
  <c r="J57" i="45"/>
  <c r="J45" i="45"/>
  <c r="J35" i="45"/>
  <c r="J31" i="45"/>
  <c r="J40" i="45"/>
  <c r="D12" i="42"/>
  <c r="L68" i="42"/>
  <c r="N68" i="42" s="1"/>
  <c r="Z51" i="45"/>
  <c r="J54" i="45"/>
  <c r="J56" i="45"/>
  <c r="V41" i="48"/>
  <c r="P12" i="51"/>
  <c r="N20" i="51"/>
  <c r="L24" i="51"/>
  <c r="N35" i="51"/>
  <c r="L35" i="51"/>
  <c r="X85" i="45"/>
  <c r="Z85" i="45" s="1"/>
  <c r="R29" i="48"/>
  <c r="R28" i="48"/>
  <c r="R24" i="48"/>
  <c r="R60" i="48"/>
  <c r="R59" i="48"/>
  <c r="R44" i="48"/>
  <c r="R43" i="48"/>
  <c r="R20" i="48"/>
  <c r="R55" i="48"/>
  <c r="R54" i="48"/>
  <c r="R34" i="48"/>
  <c r="R30" i="48"/>
  <c r="R19" i="48"/>
  <c r="R15" i="48"/>
  <c r="R64" i="48"/>
  <c r="R61" i="48"/>
  <c r="R46" i="48"/>
  <c r="R45" i="48"/>
  <c r="R25" i="48"/>
  <c r="R21" i="48"/>
  <c r="P17" i="48"/>
  <c r="R17" i="48" s="1"/>
  <c r="R56" i="48"/>
  <c r="R48" i="48"/>
  <c r="R47" i="48"/>
  <c r="R36" i="48"/>
  <c r="R35" i="48"/>
  <c r="R31" i="48"/>
  <c r="R68" i="48"/>
  <c r="R26" i="48"/>
  <c r="R22" i="48"/>
  <c r="R32" i="48"/>
  <c r="X12" i="48"/>
  <c r="R52" i="48"/>
  <c r="R51" i="48"/>
  <c r="R40" i="48"/>
  <c r="R39" i="48"/>
  <c r="R27" i="48"/>
  <c r="R23" i="48"/>
  <c r="R58" i="48"/>
  <c r="V85" i="51"/>
  <c r="V73" i="51"/>
  <c r="V61" i="51"/>
  <c r="V57" i="51"/>
  <c r="V76" i="51"/>
  <c r="V48" i="51"/>
  <c r="V44" i="51"/>
  <c r="V40" i="51"/>
  <c r="V93" i="51"/>
  <c r="V87" i="51"/>
  <c r="V75" i="51"/>
  <c r="V67" i="51"/>
  <c r="V92" i="51"/>
  <c r="V86" i="51"/>
  <c r="V78" i="51"/>
  <c r="V62" i="51"/>
  <c r="V58" i="51"/>
  <c r="V91" i="51"/>
  <c r="V77" i="51"/>
  <c r="V49" i="51"/>
  <c r="V45" i="51"/>
  <c r="V41" i="51"/>
  <c r="V37" i="51"/>
  <c r="V88" i="51"/>
  <c r="V80" i="51"/>
  <c r="V68" i="51"/>
  <c r="V97" i="51"/>
  <c r="V79" i="51"/>
  <c r="V63" i="51"/>
  <c r="V59" i="51"/>
  <c r="V55" i="51"/>
  <c r="V82" i="51"/>
  <c r="V70" i="51"/>
  <c r="V54" i="51"/>
  <c r="V50" i="51"/>
  <c r="V46" i="51"/>
  <c r="V42" i="51"/>
  <c r="V38" i="51"/>
  <c r="V84" i="51"/>
  <c r="V72" i="51"/>
  <c r="V64" i="51"/>
  <c r="V60" i="51"/>
  <c r="V56" i="51"/>
  <c r="V83" i="51"/>
  <c r="V71" i="51"/>
  <c r="V47" i="51"/>
  <c r="V43" i="51"/>
  <c r="V39" i="51"/>
  <c r="N24" i="51"/>
  <c r="V65" i="51"/>
  <c r="N48" i="57"/>
  <c r="L48" i="57"/>
  <c r="L113" i="42"/>
  <c r="N113" i="42" s="1"/>
  <c r="Z73" i="45"/>
  <c r="Z12" i="48"/>
  <c r="Z29" i="48"/>
  <c r="N28" i="51"/>
  <c r="N80" i="51"/>
  <c r="D62" i="57"/>
  <c r="T111" i="42"/>
  <c r="X81" i="45"/>
  <c r="Z81" i="45" s="1"/>
  <c r="V32" i="48"/>
  <c r="Z36" i="48"/>
  <c r="X36" i="48"/>
  <c r="N55" i="48"/>
  <c r="N32" i="51"/>
  <c r="L37" i="51"/>
  <c r="N37" i="51" s="1"/>
  <c r="V74" i="51"/>
  <c r="H12" i="48"/>
  <c r="N13" i="48"/>
  <c r="L13" i="48"/>
  <c r="L48" i="48"/>
  <c r="N48" i="48" s="1"/>
  <c r="R53" i="48"/>
  <c r="Z54" i="51"/>
  <c r="X54" i="51"/>
  <c r="V66" i="51"/>
  <c r="Z82" i="51"/>
  <c r="X82" i="51"/>
  <c r="L14" i="45"/>
  <c r="N14" i="45" s="1"/>
  <c r="R38" i="48"/>
  <c r="X42" i="48"/>
  <c r="Z42" i="48" s="1"/>
  <c r="N15" i="51"/>
  <c r="L15" i="51"/>
  <c r="V69" i="51"/>
  <c r="X90" i="51"/>
  <c r="Z20" i="54"/>
  <c r="X20" i="54"/>
  <c r="V59" i="48"/>
  <c r="V55" i="48"/>
  <c r="V43" i="48"/>
  <c r="V19" i="48"/>
  <c r="V15" i="48"/>
  <c r="V64" i="48"/>
  <c r="V54" i="48"/>
  <c r="V46" i="48"/>
  <c r="V34" i="48"/>
  <c r="V30" i="48"/>
  <c r="T17" i="48"/>
  <c r="V17" i="48" s="1"/>
  <c r="V63" i="48"/>
  <c r="V61" i="48"/>
  <c r="V45" i="48"/>
  <c r="V25" i="48"/>
  <c r="V21" i="48"/>
  <c r="V56" i="48"/>
  <c r="V48" i="48"/>
  <c r="V36" i="48"/>
  <c r="V47" i="48"/>
  <c r="V68" i="48"/>
  <c r="V50" i="48"/>
  <c r="V38" i="48"/>
  <c r="V26" i="48"/>
  <c r="V22" i="48"/>
  <c r="V57" i="48"/>
  <c r="V49" i="48"/>
  <c r="V37" i="48"/>
  <c r="V51" i="48"/>
  <c r="V39" i="48"/>
  <c r="V27" i="48"/>
  <c r="V23" i="48"/>
  <c r="V58" i="48"/>
  <c r="V42" i="48"/>
  <c r="V28" i="48"/>
  <c r="V35" i="48"/>
  <c r="V40" i="48"/>
  <c r="R42" i="48"/>
  <c r="R57" i="48"/>
  <c r="L19" i="51"/>
  <c r="N19" i="51" s="1"/>
  <c r="N46" i="48"/>
  <c r="N50" i="48"/>
  <c r="N23" i="51"/>
  <c r="L23" i="51"/>
  <c r="N55" i="51"/>
  <c r="V81" i="51"/>
  <c r="N16" i="55"/>
  <c r="H31" i="55"/>
  <c r="N73" i="45"/>
  <c r="L19" i="48"/>
  <c r="N19" i="48" s="1"/>
  <c r="V24" i="48"/>
  <c r="R33" i="48"/>
  <c r="R37" i="48"/>
  <c r="Z44" i="48"/>
  <c r="L27" i="51"/>
  <c r="N27" i="51" s="1"/>
  <c r="N90" i="51"/>
  <c r="L18" i="56"/>
  <c r="N18" i="56" s="1"/>
  <c r="D49" i="60"/>
  <c r="V31" i="48"/>
  <c r="V33" i="48"/>
  <c r="V44" i="48"/>
  <c r="N31" i="51"/>
  <c r="L31" i="51"/>
  <c r="V20" i="48"/>
  <c r="L36" i="48"/>
  <c r="N36" i="48" s="1"/>
  <c r="R41" i="48"/>
  <c r="D63" i="48"/>
  <c r="H12" i="51"/>
  <c r="T52" i="51"/>
  <c r="V52" i="51" s="1"/>
  <c r="N76" i="51"/>
  <c r="L76" i="51"/>
  <c r="V62" i="56"/>
  <c r="V54" i="56"/>
  <c r="V38" i="56"/>
  <c r="V30" i="56"/>
  <c r="V65" i="56"/>
  <c r="V57" i="56"/>
  <c r="V49" i="56"/>
  <c r="V41" i="56"/>
  <c r="V25" i="56"/>
  <c r="V21" i="56"/>
  <c r="V64" i="56"/>
  <c r="V56" i="56"/>
  <c r="V40" i="56"/>
  <c r="V51" i="56"/>
  <c r="V66" i="56"/>
  <c r="V58" i="56"/>
  <c r="V50" i="56"/>
  <c r="V42" i="56"/>
  <c r="V26" i="56"/>
  <c r="V22" i="56"/>
  <c r="V45" i="56"/>
  <c r="V33" i="56"/>
  <c r="V52" i="56"/>
  <c r="V44" i="56"/>
  <c r="V32" i="56"/>
  <c r="Z12" i="56"/>
  <c r="V71" i="56"/>
  <c r="V69" i="56"/>
  <c r="V67" i="56"/>
  <c r="V59" i="56"/>
  <c r="V47" i="56"/>
  <c r="V35" i="56"/>
  <c r="V27" i="56"/>
  <c r="V23" i="56"/>
  <c r="V19" i="56"/>
  <c r="V61" i="56"/>
  <c r="V53" i="56"/>
  <c r="V37" i="56"/>
  <c r="V29" i="56"/>
  <c r="T16" i="56"/>
  <c r="V78" i="56"/>
  <c r="V75" i="56"/>
  <c r="V73" i="56"/>
  <c r="V63" i="56"/>
  <c r="V55" i="56"/>
  <c r="V39" i="56"/>
  <c r="V43" i="56"/>
  <c r="V34" i="56"/>
  <c r="V28" i="56"/>
  <c r="V14" i="56"/>
  <c r="V60" i="56"/>
  <c r="V20" i="56"/>
  <c r="V18" i="56"/>
  <c r="V46" i="56"/>
  <c r="V24" i="56"/>
  <c r="V16" i="56"/>
  <c r="N44" i="59"/>
  <c r="L44" i="59"/>
  <c r="D17" i="48"/>
  <c r="F31" i="48"/>
  <c r="F35" i="48"/>
  <c r="F46" i="48"/>
  <c r="F47" i="48"/>
  <c r="F64" i="48"/>
  <c r="L12" i="51"/>
  <c r="F68" i="51"/>
  <c r="F87" i="51"/>
  <c r="F88" i="51"/>
  <c r="F93" i="51"/>
  <c r="R29" i="54"/>
  <c r="F29" i="55"/>
  <c r="N65" i="56"/>
  <c r="H16" i="57"/>
  <c r="L16" i="57" s="1"/>
  <c r="T75" i="58"/>
  <c r="P66" i="59"/>
  <c r="F15" i="48"/>
  <c r="F17" i="48"/>
  <c r="F19" i="48"/>
  <c r="F55" i="48"/>
  <c r="F56" i="48"/>
  <c r="F41" i="51"/>
  <c r="F45" i="51"/>
  <c r="F49" i="51"/>
  <c r="F76" i="51"/>
  <c r="F77" i="51"/>
  <c r="L91" i="51"/>
  <c r="N91" i="51" s="1"/>
  <c r="J18" i="54"/>
  <c r="J22" i="54"/>
  <c r="R26" i="54"/>
  <c r="Z29" i="54"/>
  <c r="V31" i="55"/>
  <c r="V29" i="55"/>
  <c r="V27" i="55"/>
  <c r="V19" i="55"/>
  <c r="V21" i="55"/>
  <c r="T16" i="55"/>
  <c r="V20" i="55"/>
  <c r="V38" i="55"/>
  <c r="V35" i="55"/>
  <c r="V33" i="55"/>
  <c r="V23" i="55"/>
  <c r="V22" i="55"/>
  <c r="V24" i="55"/>
  <c r="V26" i="55"/>
  <c r="X19" i="56"/>
  <c r="Z19" i="56" s="1"/>
  <c r="N33" i="56"/>
  <c r="N19" i="57"/>
  <c r="L30" i="58"/>
  <c r="N30" i="58" s="1"/>
  <c r="F29" i="48"/>
  <c r="F30" i="48"/>
  <c r="F34" i="48"/>
  <c r="F54" i="48"/>
  <c r="F67" i="51"/>
  <c r="F74" i="51"/>
  <c r="F75" i="51"/>
  <c r="L28" i="54"/>
  <c r="Z61" i="56"/>
  <c r="F42" i="48"/>
  <c r="F43" i="48"/>
  <c r="F59" i="48"/>
  <c r="P63" i="48"/>
  <c r="X63" i="48" s="1"/>
  <c r="Z63" i="48" s="1"/>
  <c r="F40" i="51"/>
  <c r="F44" i="51"/>
  <c r="F48" i="51"/>
  <c r="T90" i="51"/>
  <c r="N28" i="54"/>
  <c r="N14" i="56"/>
  <c r="L14" i="56"/>
  <c r="Z29" i="56"/>
  <c r="L41" i="56"/>
  <c r="N51" i="56"/>
  <c r="N57" i="56"/>
  <c r="X61" i="56"/>
  <c r="L14" i="57"/>
  <c r="N18" i="57"/>
  <c r="F57" i="51"/>
  <c r="F61" i="51"/>
  <c r="F72" i="51"/>
  <c r="F73" i="51"/>
  <c r="F84" i="51"/>
  <c r="F85" i="51"/>
  <c r="Z29" i="55"/>
  <c r="X29" i="55"/>
  <c r="F33" i="48"/>
  <c r="F40" i="48"/>
  <c r="F41" i="48"/>
  <c r="F52" i="48"/>
  <c r="F53" i="48"/>
  <c r="L14" i="51"/>
  <c r="N14" i="51" s="1"/>
  <c r="L18" i="51"/>
  <c r="N18" i="51" s="1"/>
  <c r="L22" i="51"/>
  <c r="N22" i="51" s="1"/>
  <c r="L26" i="51"/>
  <c r="L30" i="51"/>
  <c r="L34" i="51"/>
  <c r="D52" i="51"/>
  <c r="F65" i="51"/>
  <c r="F66" i="51"/>
  <c r="X14" i="54"/>
  <c r="N25" i="55"/>
  <c r="L25" i="55"/>
  <c r="L43" i="56"/>
  <c r="N43" i="56" s="1"/>
  <c r="Z52" i="57"/>
  <c r="X14" i="64"/>
  <c r="P16" i="64"/>
  <c r="L42" i="48"/>
  <c r="X48" i="48"/>
  <c r="Z48" i="48" s="1"/>
  <c r="F58" i="48"/>
  <c r="X37" i="51"/>
  <c r="Z37" i="51" s="1"/>
  <c r="F39" i="51"/>
  <c r="F43" i="51"/>
  <c r="F47" i="51"/>
  <c r="F52" i="51"/>
  <c r="F54" i="51"/>
  <c r="F70" i="51"/>
  <c r="F71" i="51"/>
  <c r="F82" i="51"/>
  <c r="F83" i="51"/>
  <c r="X91" i="51"/>
  <c r="Z91" i="51" s="1"/>
  <c r="Z28" i="54"/>
  <c r="L18" i="55"/>
  <c r="N18" i="55" s="1"/>
  <c r="X19" i="55"/>
  <c r="Z19" i="55" s="1"/>
  <c r="Z35" i="56"/>
  <c r="Z37" i="56"/>
  <c r="Z55" i="56"/>
  <c r="Z39" i="58"/>
  <c r="F38" i="48"/>
  <c r="F39" i="48"/>
  <c r="F50" i="48"/>
  <c r="F51" i="48"/>
  <c r="F55" i="51"/>
  <c r="F56" i="51"/>
  <c r="F60" i="51"/>
  <c r="F64" i="51"/>
  <c r="L12" i="54"/>
  <c r="H16" i="54"/>
  <c r="J24" i="54"/>
  <c r="J31" i="54"/>
  <c r="J29" i="54"/>
  <c r="J28" i="54"/>
  <c r="J26" i="54"/>
  <c r="N12" i="54"/>
  <c r="J20" i="54"/>
  <c r="Z39" i="56"/>
  <c r="Z35" i="58"/>
  <c r="F69" i="51"/>
  <c r="F80" i="51"/>
  <c r="F81" i="51"/>
  <c r="F90" i="51"/>
  <c r="P16" i="54"/>
  <c r="R24" i="54"/>
  <c r="R22" i="54"/>
  <c r="R20" i="54"/>
  <c r="R18" i="54"/>
  <c r="R16" i="54"/>
  <c r="R14" i="54"/>
  <c r="T16" i="54"/>
  <c r="L29" i="54"/>
  <c r="F22" i="55"/>
  <c r="F21" i="55"/>
  <c r="D16" i="55"/>
  <c r="F38" i="55"/>
  <c r="F35" i="55"/>
  <c r="F24" i="55"/>
  <c r="F23" i="55"/>
  <c r="F26" i="55"/>
  <c r="F25" i="55"/>
  <c r="L12" i="55"/>
  <c r="F27" i="55"/>
  <c r="F33" i="55"/>
  <c r="F18" i="55"/>
  <c r="F16" i="55"/>
  <c r="F14" i="55"/>
  <c r="F20" i="55"/>
  <c r="X47" i="56"/>
  <c r="Z28" i="57"/>
  <c r="F37" i="51"/>
  <c r="F38" i="51"/>
  <c r="F42" i="51"/>
  <c r="F46" i="51"/>
  <c r="F50" i="51"/>
  <c r="N29" i="54"/>
  <c r="Z21" i="55"/>
  <c r="N16" i="56"/>
  <c r="H71" i="56"/>
  <c r="Z47" i="56"/>
  <c r="N16" i="59"/>
  <c r="H62" i="59"/>
  <c r="L34" i="60"/>
  <c r="N34" i="60" s="1"/>
  <c r="J22" i="55"/>
  <c r="L12" i="56"/>
  <c r="P16" i="56"/>
  <c r="R20" i="56"/>
  <c r="J23" i="56"/>
  <c r="R24" i="56"/>
  <c r="J27" i="56"/>
  <c r="R28" i="56"/>
  <c r="R29" i="56"/>
  <c r="F32" i="56"/>
  <c r="J33" i="56"/>
  <c r="R36" i="56"/>
  <c r="R37" i="56"/>
  <c r="F43" i="56"/>
  <c r="F44" i="56"/>
  <c r="J45" i="56"/>
  <c r="R48" i="56"/>
  <c r="F51" i="56"/>
  <c r="F52" i="56"/>
  <c r="Z57" i="56"/>
  <c r="J59" i="56"/>
  <c r="R60" i="56"/>
  <c r="R61" i="56"/>
  <c r="Z65" i="56"/>
  <c r="J67" i="56"/>
  <c r="N69" i="56"/>
  <c r="Z12" i="57"/>
  <c r="F21" i="57"/>
  <c r="F25" i="57"/>
  <c r="V28" i="57"/>
  <c r="V32" i="57"/>
  <c r="J40" i="57"/>
  <c r="V44" i="57"/>
  <c r="F48" i="57"/>
  <c r="F49" i="57"/>
  <c r="J50" i="57"/>
  <c r="R53" i="57"/>
  <c r="J60" i="57"/>
  <c r="J62" i="57"/>
  <c r="R66" i="57"/>
  <c r="R69" i="57"/>
  <c r="V64" i="58"/>
  <c r="V56" i="58"/>
  <c r="V63" i="58"/>
  <c r="V55" i="58"/>
  <c r="V65" i="58"/>
  <c r="V57" i="58"/>
  <c r="V53" i="58"/>
  <c r="V78" i="58"/>
  <c r="V75" i="58"/>
  <c r="V73" i="58"/>
  <c r="V62" i="58"/>
  <c r="V14" i="58"/>
  <c r="V16" i="58"/>
  <c r="V18" i="58"/>
  <c r="J22" i="58"/>
  <c r="R23" i="58"/>
  <c r="J26" i="58"/>
  <c r="R27" i="58"/>
  <c r="F30" i="58"/>
  <c r="F31" i="58"/>
  <c r="J38" i="58"/>
  <c r="V42" i="58"/>
  <c r="J50" i="58"/>
  <c r="V51" i="58"/>
  <c r="V54" i="58"/>
  <c r="F56" i="58"/>
  <c r="R67" i="58"/>
  <c r="D16" i="59"/>
  <c r="V18" i="59"/>
  <c r="F32" i="59"/>
  <c r="Z35" i="59"/>
  <c r="F62" i="59"/>
  <c r="Z41" i="61"/>
  <c r="T51" i="61"/>
  <c r="Z66" i="64"/>
  <c r="V14" i="54"/>
  <c r="V16" i="54"/>
  <c r="V18" i="54"/>
  <c r="V20" i="54"/>
  <c r="V22" i="54"/>
  <c r="F26" i="54"/>
  <c r="F28" i="54"/>
  <c r="F29" i="54"/>
  <c r="F31" i="54"/>
  <c r="R19" i="56"/>
  <c r="F22" i="56"/>
  <c r="F26" i="56"/>
  <c r="R34" i="56"/>
  <c r="R35" i="56"/>
  <c r="F41" i="56"/>
  <c r="F42" i="56"/>
  <c r="J43" i="56"/>
  <c r="R46" i="56"/>
  <c r="R47" i="56"/>
  <c r="F50" i="56"/>
  <c r="J51" i="56"/>
  <c r="F57" i="56"/>
  <c r="F58" i="56"/>
  <c r="F65" i="56"/>
  <c r="F66" i="56"/>
  <c r="R69" i="56"/>
  <c r="R71" i="56"/>
  <c r="F14" i="57"/>
  <c r="F16" i="57"/>
  <c r="F18" i="57"/>
  <c r="V22" i="57"/>
  <c r="V26" i="57"/>
  <c r="J30" i="57"/>
  <c r="R31" i="57"/>
  <c r="J38" i="57"/>
  <c r="V42" i="57"/>
  <c r="F47" i="57"/>
  <c r="J48" i="57"/>
  <c r="R51" i="57"/>
  <c r="R52" i="57"/>
  <c r="J58" i="57"/>
  <c r="V64" i="57"/>
  <c r="V66" i="57"/>
  <c r="V69" i="57"/>
  <c r="Z12" i="58"/>
  <c r="Z14" i="58"/>
  <c r="F21" i="58"/>
  <c r="F25" i="58"/>
  <c r="F29" i="58"/>
  <c r="J30" i="58"/>
  <c r="V32" i="58"/>
  <c r="J36" i="58"/>
  <c r="V40" i="58"/>
  <c r="J48" i="58"/>
  <c r="J56" i="58"/>
  <c r="R59" i="58"/>
  <c r="J63" i="58"/>
  <c r="V71" i="58"/>
  <c r="F24" i="59"/>
  <c r="Z56" i="59"/>
  <c r="F23" i="61"/>
  <c r="J33" i="61"/>
  <c r="Z40" i="64"/>
  <c r="J48" i="64"/>
  <c r="J75" i="64"/>
  <c r="Z27" i="69"/>
  <c r="D16" i="58"/>
  <c r="J21" i="58"/>
  <c r="J25" i="58"/>
  <c r="J29" i="58"/>
  <c r="J35" i="58"/>
  <c r="J47" i="58"/>
  <c r="R64" i="58"/>
  <c r="J66" i="58"/>
  <c r="H16" i="60"/>
  <c r="L16" i="60" s="1"/>
  <c r="R33" i="55"/>
  <c r="X12" i="56"/>
  <c r="J31" i="56"/>
  <c r="R32" i="56"/>
  <c r="R33" i="56"/>
  <c r="F39" i="56"/>
  <c r="F40" i="56"/>
  <c r="J41" i="56"/>
  <c r="R44" i="56"/>
  <c r="R45" i="56"/>
  <c r="R52" i="56"/>
  <c r="F55" i="56"/>
  <c r="F56" i="56"/>
  <c r="J57" i="56"/>
  <c r="F63" i="56"/>
  <c r="F64" i="56"/>
  <c r="J65" i="56"/>
  <c r="F75" i="56"/>
  <c r="F78" i="56"/>
  <c r="R21" i="57"/>
  <c r="R25" i="57"/>
  <c r="F28" i="57"/>
  <c r="F29" i="57"/>
  <c r="J36" i="57"/>
  <c r="V40" i="57"/>
  <c r="R49" i="57"/>
  <c r="R50" i="57"/>
  <c r="V52" i="57"/>
  <c r="J56" i="57"/>
  <c r="R60" i="57"/>
  <c r="R62" i="57"/>
  <c r="F14" i="58"/>
  <c r="F16" i="58"/>
  <c r="F18" i="58"/>
  <c r="R31" i="58"/>
  <c r="J34" i="58"/>
  <c r="V38" i="58"/>
  <c r="J46" i="58"/>
  <c r="V50" i="58"/>
  <c r="J52" i="58"/>
  <c r="F55" i="58"/>
  <c r="R63" i="58"/>
  <c r="F73" i="58"/>
  <c r="F78" i="58"/>
  <c r="V57" i="59"/>
  <c r="V49" i="59"/>
  <c r="V41" i="59"/>
  <c r="V33" i="59"/>
  <c r="V29" i="59"/>
  <c r="T16" i="59"/>
  <c r="V44" i="59"/>
  <c r="V28" i="59"/>
  <c r="V24" i="59"/>
  <c r="V20" i="59"/>
  <c r="V51" i="59"/>
  <c r="V43" i="59"/>
  <c r="V62" i="59"/>
  <c r="V60" i="59"/>
  <c r="V58" i="59"/>
  <c r="V50" i="59"/>
  <c r="V34" i="59"/>
  <c r="V30" i="59"/>
  <c r="V69" i="59"/>
  <c r="V66" i="59"/>
  <c r="V64" i="59"/>
  <c r="V54" i="59"/>
  <c r="V46" i="59"/>
  <c r="V38" i="59"/>
  <c r="V26" i="59"/>
  <c r="V22" i="59"/>
  <c r="V56" i="59"/>
  <c r="V48" i="59"/>
  <c r="V40" i="59"/>
  <c r="V32" i="59"/>
  <c r="Z12" i="59"/>
  <c r="V55" i="59"/>
  <c r="V47" i="59"/>
  <c r="V39" i="59"/>
  <c r="V27" i="59"/>
  <c r="V23" i="59"/>
  <c r="V19" i="59"/>
  <c r="X12" i="59"/>
  <c r="X16" i="59"/>
  <c r="F41" i="59"/>
  <c r="V42" i="59"/>
  <c r="J19" i="61"/>
  <c r="L28" i="61"/>
  <c r="N28" i="61" s="1"/>
  <c r="J42" i="61"/>
  <c r="H16" i="64"/>
  <c r="Z28" i="64"/>
  <c r="J43" i="64"/>
  <c r="J67" i="64"/>
  <c r="D16" i="54"/>
  <c r="P16" i="55"/>
  <c r="F21" i="56"/>
  <c r="F25" i="56"/>
  <c r="J40" i="56"/>
  <c r="F49" i="56"/>
  <c r="J56" i="56"/>
  <c r="J64" i="56"/>
  <c r="V21" i="57"/>
  <c r="V25" i="57"/>
  <c r="R30" i="57"/>
  <c r="F33" i="57"/>
  <c r="F34" i="57"/>
  <c r="R38" i="57"/>
  <c r="R39" i="57"/>
  <c r="V41" i="57"/>
  <c r="F45" i="57"/>
  <c r="F46" i="57"/>
  <c r="V49" i="57"/>
  <c r="F54" i="57"/>
  <c r="J55" i="57"/>
  <c r="R58" i="57"/>
  <c r="H16" i="58"/>
  <c r="F19" i="58"/>
  <c r="F20" i="58"/>
  <c r="F24" i="58"/>
  <c r="F28" i="58"/>
  <c r="V31" i="58"/>
  <c r="R36" i="58"/>
  <c r="R37" i="58"/>
  <c r="V39" i="58"/>
  <c r="F43" i="58"/>
  <c r="F44" i="58"/>
  <c r="J45" i="58"/>
  <c r="R48" i="58"/>
  <c r="R49" i="58"/>
  <c r="J55" i="58"/>
  <c r="F62" i="58"/>
  <c r="J69" i="58"/>
  <c r="V16" i="59"/>
  <c r="F28" i="59"/>
  <c r="F31" i="59"/>
  <c r="F33" i="59"/>
  <c r="F57" i="59"/>
  <c r="N39" i="60"/>
  <c r="J28" i="61"/>
  <c r="J85" i="64"/>
  <c r="J71" i="64"/>
  <c r="J55" i="64"/>
  <c r="J45" i="64"/>
  <c r="J35" i="64"/>
  <c r="J31" i="64"/>
  <c r="J92" i="64"/>
  <c r="J90" i="64"/>
  <c r="J86" i="64"/>
  <c r="J72" i="64"/>
  <c r="J56" i="64"/>
  <c r="J46" i="64"/>
  <c r="J36" i="64"/>
  <c r="J26" i="64"/>
  <c r="J22" i="64"/>
  <c r="J89" i="64"/>
  <c r="J77" i="64"/>
  <c r="J73" i="64"/>
  <c r="J65" i="64"/>
  <c r="J57" i="64"/>
  <c r="J37" i="64"/>
  <c r="J94" i="64"/>
  <c r="J88" i="64"/>
  <c r="J78" i="64"/>
  <c r="J66" i="64"/>
  <c r="J58" i="64"/>
  <c r="J38" i="64"/>
  <c r="J32" i="64"/>
  <c r="N12" i="64"/>
  <c r="J81" i="64"/>
  <c r="J61" i="64"/>
  <c r="J49" i="64"/>
  <c r="J41" i="64"/>
  <c r="J33" i="64"/>
  <c r="J29" i="64"/>
  <c r="J19" i="64"/>
  <c r="J82" i="64"/>
  <c r="J68" i="64"/>
  <c r="J62" i="64"/>
  <c r="J50" i="64"/>
  <c r="J42" i="64"/>
  <c r="J24" i="64"/>
  <c r="J20" i="64"/>
  <c r="J18" i="64"/>
  <c r="J16" i="64"/>
  <c r="J14" i="64"/>
  <c r="J52" i="64"/>
  <c r="J34" i="64"/>
  <c r="J30" i="64"/>
  <c r="J69" i="64"/>
  <c r="J53" i="64"/>
  <c r="J25" i="64"/>
  <c r="J21" i="64"/>
  <c r="J84" i="64"/>
  <c r="J76" i="64"/>
  <c r="J70" i="64"/>
  <c r="J64" i="64"/>
  <c r="J54" i="64"/>
  <c r="J44" i="64"/>
  <c r="J39" i="64"/>
  <c r="J79" i="64"/>
  <c r="V89" i="69"/>
  <c r="V81" i="69"/>
  <c r="V61" i="69"/>
  <c r="V57" i="69"/>
  <c r="V53" i="69"/>
  <c r="V49" i="69"/>
  <c r="V45" i="69"/>
  <c r="V100" i="69"/>
  <c r="V92" i="69"/>
  <c r="V80" i="69"/>
  <c r="V99" i="69"/>
  <c r="V91" i="69"/>
  <c r="V83" i="69"/>
  <c r="V75" i="69"/>
  <c r="V71" i="69"/>
  <c r="V102" i="69"/>
  <c r="V94" i="69"/>
  <c r="V82" i="69"/>
  <c r="V62" i="69"/>
  <c r="V58" i="69"/>
  <c r="V54" i="69"/>
  <c r="V50" i="69"/>
  <c r="V46" i="69"/>
  <c r="V101" i="69"/>
  <c r="V93" i="69"/>
  <c r="V85" i="69"/>
  <c r="V77" i="69"/>
  <c r="V84" i="69"/>
  <c r="V76" i="69"/>
  <c r="V72" i="69"/>
  <c r="V68" i="69"/>
  <c r="V105" i="69"/>
  <c r="V103" i="69"/>
  <c r="V95" i="69"/>
  <c r="V67" i="69"/>
  <c r="V63" i="69"/>
  <c r="V59" i="69"/>
  <c r="V55" i="69"/>
  <c r="V51" i="69"/>
  <c r="V47" i="69"/>
  <c r="V86" i="69"/>
  <c r="V78" i="69"/>
  <c r="T65" i="69"/>
  <c r="V65" i="69" s="1"/>
  <c r="V97" i="69"/>
  <c r="V73" i="69"/>
  <c r="V69" i="69"/>
  <c r="V96" i="69"/>
  <c r="V88" i="69"/>
  <c r="V60" i="69"/>
  <c r="V56" i="69"/>
  <c r="V52" i="69"/>
  <c r="V48" i="69"/>
  <c r="V109" i="69"/>
  <c r="V87" i="69"/>
  <c r="V79" i="69"/>
  <c r="V98" i="69"/>
  <c r="V90" i="69"/>
  <c r="V74" i="69"/>
  <c r="V70" i="69"/>
  <c r="F14" i="54"/>
  <c r="F16" i="54"/>
  <c r="F18" i="54"/>
  <c r="F20" i="54"/>
  <c r="R14" i="55"/>
  <c r="R16" i="55"/>
  <c r="R18" i="55"/>
  <c r="D16" i="56"/>
  <c r="J21" i="56"/>
  <c r="R22" i="56"/>
  <c r="J25" i="56"/>
  <c r="R26" i="56"/>
  <c r="F29" i="56"/>
  <c r="F30" i="56"/>
  <c r="F37" i="56"/>
  <c r="F38" i="56"/>
  <c r="J39" i="56"/>
  <c r="R42" i="56"/>
  <c r="R43" i="56"/>
  <c r="J49" i="56"/>
  <c r="R50" i="56"/>
  <c r="R51" i="56"/>
  <c r="F54" i="56"/>
  <c r="J55" i="56"/>
  <c r="R58" i="56"/>
  <c r="F61" i="56"/>
  <c r="F62" i="56"/>
  <c r="J63" i="56"/>
  <c r="R66" i="56"/>
  <c r="J75" i="56"/>
  <c r="J78" i="56"/>
  <c r="F23" i="57"/>
  <c r="F27" i="57"/>
  <c r="J28" i="57"/>
  <c r="V30" i="57"/>
  <c r="J34" i="57"/>
  <c r="V38" i="57"/>
  <c r="X41" i="57"/>
  <c r="Z41" i="57" s="1"/>
  <c r="J46" i="57"/>
  <c r="R47" i="57"/>
  <c r="R48" i="57"/>
  <c r="V50" i="57"/>
  <c r="J54" i="57"/>
  <c r="V58" i="57"/>
  <c r="V60" i="57"/>
  <c r="V62" i="57"/>
  <c r="F66" i="57"/>
  <c r="F69" i="57"/>
  <c r="J14" i="58"/>
  <c r="J16" i="58"/>
  <c r="J18" i="58"/>
  <c r="J20" i="58"/>
  <c r="R21" i="58"/>
  <c r="J24" i="58"/>
  <c r="R25" i="58"/>
  <c r="J28" i="58"/>
  <c r="R29" i="58"/>
  <c r="R30" i="58"/>
  <c r="V36" i="58"/>
  <c r="J44" i="58"/>
  <c r="V48" i="58"/>
  <c r="R56" i="58"/>
  <c r="J58" i="58"/>
  <c r="R66" i="58"/>
  <c r="N19" i="59"/>
  <c r="V36" i="59"/>
  <c r="F48" i="59"/>
  <c r="F60" i="59"/>
  <c r="L14" i="60"/>
  <c r="L18" i="60"/>
  <c r="X44" i="60"/>
  <c r="J30" i="61"/>
  <c r="N37" i="61"/>
  <c r="J44" i="61"/>
  <c r="L12" i="64"/>
  <c r="J23" i="64"/>
  <c r="J27" i="64"/>
  <c r="Z54" i="64"/>
  <c r="R19" i="55"/>
  <c r="R29" i="55"/>
  <c r="R31" i="55"/>
  <c r="F14" i="56"/>
  <c r="F16" i="56"/>
  <c r="F18" i="56"/>
  <c r="J30" i="56"/>
  <c r="R31" i="56"/>
  <c r="J38" i="56"/>
  <c r="J54" i="56"/>
  <c r="J62" i="56"/>
  <c r="F73" i="56"/>
  <c r="L12" i="57"/>
  <c r="P16" i="57"/>
  <c r="R20" i="57"/>
  <c r="J23" i="57"/>
  <c r="R24" i="57"/>
  <c r="J27" i="57"/>
  <c r="F32" i="57"/>
  <c r="J33" i="57"/>
  <c r="R36" i="57"/>
  <c r="R37" i="57"/>
  <c r="V39" i="57"/>
  <c r="F43" i="57"/>
  <c r="F44" i="57"/>
  <c r="J45" i="57"/>
  <c r="V47" i="57"/>
  <c r="R56" i="57"/>
  <c r="R57" i="57"/>
  <c r="F71" i="58"/>
  <c r="F69" i="58"/>
  <c r="F60" i="58"/>
  <c r="F52" i="58"/>
  <c r="F54" i="58"/>
  <c r="F53" i="58"/>
  <c r="F67" i="58"/>
  <c r="F66" i="58"/>
  <c r="F59" i="58"/>
  <c r="F58" i="58"/>
  <c r="J19" i="58"/>
  <c r="V25" i="58"/>
  <c r="V29" i="58"/>
  <c r="J33" i="58"/>
  <c r="R34" i="58"/>
  <c r="R35" i="58"/>
  <c r="V37" i="58"/>
  <c r="F41" i="58"/>
  <c r="F42" i="58"/>
  <c r="J43" i="58"/>
  <c r="R46" i="58"/>
  <c r="R47" i="58"/>
  <c r="V49" i="58"/>
  <c r="V52" i="58"/>
  <c r="R55" i="58"/>
  <c r="V60" i="58"/>
  <c r="F65" i="58"/>
  <c r="R78" i="58"/>
  <c r="X19" i="59"/>
  <c r="Z19" i="59" s="1"/>
  <c r="N48" i="59"/>
  <c r="Z51" i="59"/>
  <c r="J51" i="64"/>
  <c r="Z52" i="64"/>
  <c r="X90" i="64"/>
  <c r="Z90" i="64" s="1"/>
  <c r="T88" i="64"/>
  <c r="J96" i="64"/>
  <c r="F47" i="56"/>
  <c r="F48" i="56"/>
  <c r="F60" i="56"/>
  <c r="F69" i="56"/>
  <c r="F71" i="56"/>
  <c r="V48" i="57"/>
  <c r="V56" i="57"/>
  <c r="J60" i="58"/>
  <c r="J73" i="58"/>
  <c r="J53" i="58"/>
  <c r="J78" i="58"/>
  <c r="J75" i="58"/>
  <c r="J61" i="58"/>
  <c r="J65" i="58"/>
  <c r="J57" i="58"/>
  <c r="J67" i="58"/>
  <c r="J59" i="58"/>
  <c r="J51" i="58"/>
  <c r="J42" i="58"/>
  <c r="J54" i="58"/>
  <c r="N18" i="60"/>
  <c r="J47" i="64"/>
  <c r="J60" i="64"/>
  <c r="X12" i="55"/>
  <c r="J25" i="55"/>
  <c r="J14" i="56"/>
  <c r="J16" i="56"/>
  <c r="J18" i="56"/>
  <c r="J20" i="56"/>
  <c r="R21" i="56"/>
  <c r="J24" i="56"/>
  <c r="R25" i="56"/>
  <c r="J28" i="56"/>
  <c r="J36" i="56"/>
  <c r="J48" i="56"/>
  <c r="R49" i="56"/>
  <c r="F53" i="56"/>
  <c r="J60" i="56"/>
  <c r="T16" i="57"/>
  <c r="R19" i="57"/>
  <c r="F22" i="57"/>
  <c r="F26" i="57"/>
  <c r="V29" i="57"/>
  <c r="R34" i="57"/>
  <c r="R35" i="57"/>
  <c r="V37" i="57"/>
  <c r="F41" i="57"/>
  <c r="F42" i="57"/>
  <c r="J43" i="57"/>
  <c r="R46" i="57"/>
  <c r="J53" i="57"/>
  <c r="R54" i="57"/>
  <c r="R55" i="57"/>
  <c r="V57" i="57"/>
  <c r="F64" i="57"/>
  <c r="L12" i="58"/>
  <c r="P16" i="58"/>
  <c r="R20" i="58"/>
  <c r="J23" i="58"/>
  <c r="R24" i="58"/>
  <c r="J27" i="58"/>
  <c r="R28" i="58"/>
  <c r="F32" i="58"/>
  <c r="V35" i="58"/>
  <c r="F39" i="58"/>
  <c r="F40" i="58"/>
  <c r="J41" i="58"/>
  <c r="R44" i="58"/>
  <c r="R45" i="58"/>
  <c r="V47" i="58"/>
  <c r="X62" i="58"/>
  <c r="Z62" i="58" s="1"/>
  <c r="F64" i="58"/>
  <c r="X69" i="58"/>
  <c r="L18" i="59"/>
  <c r="N18" i="59" s="1"/>
  <c r="L37" i="59"/>
  <c r="N37" i="59" s="1"/>
  <c r="N40" i="59"/>
  <c r="F47" i="61"/>
  <c r="F46" i="61"/>
  <c r="F31" i="61"/>
  <c r="F38" i="61"/>
  <c r="F37" i="61"/>
  <c r="F26" i="61"/>
  <c r="F22" i="61"/>
  <c r="F51" i="61"/>
  <c r="F49" i="61"/>
  <c r="F40" i="61"/>
  <c r="F39" i="61"/>
  <c r="F32" i="61"/>
  <c r="L12" i="61"/>
  <c r="F33" i="61"/>
  <c r="F29" i="61"/>
  <c r="F28" i="61"/>
  <c r="F58" i="61"/>
  <c r="F55" i="61"/>
  <c r="F24" i="61"/>
  <c r="F20" i="61"/>
  <c r="F19" i="61"/>
  <c r="F34" i="61"/>
  <c r="F30" i="61"/>
  <c r="D16" i="61"/>
  <c r="F45" i="61"/>
  <c r="F44" i="61"/>
  <c r="F25" i="61"/>
  <c r="F21" i="61"/>
  <c r="F36" i="61"/>
  <c r="F35" i="61"/>
  <c r="Z35" i="61"/>
  <c r="N41" i="61"/>
  <c r="F43" i="61"/>
  <c r="Z44" i="61"/>
  <c r="N18" i="64"/>
  <c r="Z58" i="64"/>
  <c r="N62" i="64"/>
  <c r="N66" i="64"/>
  <c r="J74" i="64"/>
  <c r="L89" i="64"/>
  <c r="D88" i="64"/>
  <c r="L88" i="64" s="1"/>
  <c r="N88" i="64" s="1"/>
  <c r="F33" i="56"/>
  <c r="F34" i="56"/>
  <c r="F45" i="56"/>
  <c r="F46" i="56"/>
  <c r="V14" i="57"/>
  <c r="V16" i="57"/>
  <c r="V18" i="57"/>
  <c r="V34" i="57"/>
  <c r="X37" i="57"/>
  <c r="Z37" i="57" s="1"/>
  <c r="L43" i="57"/>
  <c r="V46" i="57"/>
  <c r="V54" i="57"/>
  <c r="X57" i="57"/>
  <c r="Z57" i="57" s="1"/>
  <c r="N12" i="58"/>
  <c r="J32" i="58"/>
  <c r="X35" i="58"/>
  <c r="J40" i="58"/>
  <c r="L41" i="58"/>
  <c r="N41" i="58" s="1"/>
  <c r="X47" i="58"/>
  <c r="Z47" i="58" s="1"/>
  <c r="N30" i="60"/>
  <c r="J38" i="61"/>
  <c r="J26" i="61"/>
  <c r="J22" i="61"/>
  <c r="J51" i="61"/>
  <c r="J49" i="61"/>
  <c r="J39" i="61"/>
  <c r="J40" i="61"/>
  <c r="J32" i="61"/>
  <c r="N12" i="61"/>
  <c r="J53" i="61"/>
  <c r="J41" i="61"/>
  <c r="J27" i="61"/>
  <c r="J23" i="61"/>
  <c r="J24" i="61"/>
  <c r="J20" i="61"/>
  <c r="J18" i="61"/>
  <c r="J16" i="61"/>
  <c r="J14" i="61"/>
  <c r="J43" i="61"/>
  <c r="H16" i="61"/>
  <c r="J45" i="61"/>
  <c r="J35" i="61"/>
  <c r="J25" i="61"/>
  <c r="J21" i="61"/>
  <c r="J46" i="61"/>
  <c r="J36" i="61"/>
  <c r="J47" i="61"/>
  <c r="J37" i="61"/>
  <c r="J31" i="61"/>
  <c r="X46" i="61"/>
  <c r="Z46" i="61" s="1"/>
  <c r="N38" i="64"/>
  <c r="N40" i="64"/>
  <c r="N78" i="64"/>
  <c r="N80" i="64"/>
  <c r="T92" i="64"/>
  <c r="J23" i="55"/>
  <c r="J35" i="55"/>
  <c r="F23" i="56"/>
  <c r="F27" i="56"/>
  <c r="J34" i="56"/>
  <c r="F59" i="56"/>
  <c r="X12" i="57"/>
  <c r="V19" i="57"/>
  <c r="V23" i="57"/>
  <c r="V27" i="57"/>
  <c r="R32" i="57"/>
  <c r="R33" i="57"/>
  <c r="V35" i="57"/>
  <c r="F39" i="57"/>
  <c r="J41" i="57"/>
  <c r="R44" i="57"/>
  <c r="R62" i="58"/>
  <c r="R61" i="58"/>
  <c r="R71" i="58"/>
  <c r="R69" i="58"/>
  <c r="R60" i="58"/>
  <c r="R53" i="58"/>
  <c r="R52" i="58"/>
  <c r="R73" i="58"/>
  <c r="R19" i="58"/>
  <c r="F22" i="58"/>
  <c r="F26" i="58"/>
  <c r="F37" i="58"/>
  <c r="F38" i="58"/>
  <c r="J39" i="58"/>
  <c r="R42" i="58"/>
  <c r="R43" i="58"/>
  <c r="V45" i="58"/>
  <c r="F49" i="58"/>
  <c r="F50" i="58"/>
  <c r="R51" i="58"/>
  <c r="R54" i="58"/>
  <c r="V58" i="58"/>
  <c r="F61" i="58"/>
  <c r="J64" i="58"/>
  <c r="J71" i="58"/>
  <c r="F64" i="59"/>
  <c r="F46" i="59"/>
  <c r="F38" i="59"/>
  <c r="F37" i="59"/>
  <c r="F26" i="59"/>
  <c r="F22" i="59"/>
  <c r="F53" i="59"/>
  <c r="F69" i="59"/>
  <c r="F66" i="59"/>
  <c r="F55" i="59"/>
  <c r="F54" i="59"/>
  <c r="F47" i="59"/>
  <c r="F39" i="59"/>
  <c r="F27" i="59"/>
  <c r="F23" i="59"/>
  <c r="F43" i="59"/>
  <c r="F42" i="59"/>
  <c r="F18" i="59"/>
  <c r="F16" i="59"/>
  <c r="F14" i="59"/>
  <c r="F45" i="59"/>
  <c r="F44" i="59"/>
  <c r="F25" i="59"/>
  <c r="F21" i="59"/>
  <c r="F52" i="59"/>
  <c r="F51" i="59"/>
  <c r="F36" i="59"/>
  <c r="F35" i="59"/>
  <c r="Z18" i="59"/>
  <c r="F20" i="59"/>
  <c r="F30" i="59"/>
  <c r="F34" i="59"/>
  <c r="N42" i="59"/>
  <c r="V52" i="59"/>
  <c r="N56" i="59"/>
  <c r="F58" i="59"/>
  <c r="Z18" i="60"/>
  <c r="N32" i="60"/>
  <c r="J29" i="61"/>
  <c r="J40" i="64"/>
  <c r="Z60" i="64"/>
  <c r="J80" i="64"/>
  <c r="N89" i="64"/>
  <c r="J99" i="64"/>
  <c r="F21" i="64"/>
  <c r="F25" i="64"/>
  <c r="F52" i="64"/>
  <c r="F53" i="64"/>
  <c r="F69" i="64"/>
  <c r="R88" i="64"/>
  <c r="R98" i="69"/>
  <c r="R74" i="69"/>
  <c r="R70" i="69"/>
  <c r="R90" i="69"/>
  <c r="R89" i="69"/>
  <c r="R61" i="69"/>
  <c r="R57" i="69"/>
  <c r="R53" i="69"/>
  <c r="R49" i="69"/>
  <c r="R81" i="69"/>
  <c r="R80" i="69"/>
  <c r="R45" i="69"/>
  <c r="X12" i="69"/>
  <c r="Z12" i="69" s="1"/>
  <c r="R100" i="69"/>
  <c r="R99" i="69"/>
  <c r="R92" i="69"/>
  <c r="R91" i="69"/>
  <c r="R75" i="69"/>
  <c r="R71" i="69"/>
  <c r="R83" i="69"/>
  <c r="R82" i="69"/>
  <c r="R62" i="69"/>
  <c r="R58" i="69"/>
  <c r="R54" i="69"/>
  <c r="R50" i="69"/>
  <c r="R46" i="69"/>
  <c r="R102" i="69"/>
  <c r="R101" i="69"/>
  <c r="R94" i="69"/>
  <c r="R93" i="69"/>
  <c r="R85" i="69"/>
  <c r="R84" i="69"/>
  <c r="R77" i="69"/>
  <c r="R76" i="69"/>
  <c r="R72" i="69"/>
  <c r="R103" i="69"/>
  <c r="R95" i="69"/>
  <c r="R68" i="69"/>
  <c r="R63" i="69"/>
  <c r="R59" i="69"/>
  <c r="R55" i="69"/>
  <c r="R51" i="69"/>
  <c r="R47" i="69"/>
  <c r="R105" i="69"/>
  <c r="R86" i="69"/>
  <c r="R78" i="69"/>
  <c r="R67" i="69"/>
  <c r="R65" i="69"/>
  <c r="R73" i="69"/>
  <c r="R69" i="69"/>
  <c r="P65" i="69"/>
  <c r="R97" i="69"/>
  <c r="R96" i="69"/>
  <c r="R60" i="69"/>
  <c r="R56" i="69"/>
  <c r="R52" i="69"/>
  <c r="R48" i="69"/>
  <c r="R109" i="69"/>
  <c r="R88" i="69"/>
  <c r="R87" i="69"/>
  <c r="R79" i="69"/>
  <c r="F100" i="71"/>
  <c r="F84" i="71"/>
  <c r="F83" i="71"/>
  <c r="F102" i="71"/>
  <c r="F101" i="71"/>
  <c r="F94" i="71"/>
  <c r="F77" i="71"/>
  <c r="F76" i="71"/>
  <c r="F96" i="71"/>
  <c r="F95" i="71"/>
  <c r="F98" i="71"/>
  <c r="F97" i="71"/>
  <c r="F105" i="71"/>
  <c r="F104" i="71"/>
  <c r="F89" i="71"/>
  <c r="F88" i="71"/>
  <c r="F73" i="71"/>
  <c r="F112" i="71"/>
  <c r="F107" i="71"/>
  <c r="F106" i="71"/>
  <c r="F99" i="71"/>
  <c r="F91" i="71"/>
  <c r="F90" i="71"/>
  <c r="F116" i="71"/>
  <c r="F71" i="71"/>
  <c r="F70" i="71"/>
  <c r="D57" i="71"/>
  <c r="F78" i="71"/>
  <c r="F66" i="71"/>
  <c r="F62" i="71"/>
  <c r="F110" i="71"/>
  <c r="F81" i="71"/>
  <c r="F75" i="71"/>
  <c r="F53" i="71"/>
  <c r="F49" i="71"/>
  <c r="F45" i="71"/>
  <c r="F41" i="71"/>
  <c r="F40" i="71"/>
  <c r="F103" i="71"/>
  <c r="F72" i="71"/>
  <c r="L12" i="71"/>
  <c r="F87" i="71"/>
  <c r="F79" i="71"/>
  <c r="F67" i="71"/>
  <c r="F63" i="71"/>
  <c r="F111" i="71"/>
  <c r="F92" i="71"/>
  <c r="F82" i="71"/>
  <c r="F54" i="71"/>
  <c r="F50" i="71"/>
  <c r="F46" i="71"/>
  <c r="F42" i="71"/>
  <c r="F68" i="71"/>
  <c r="F64" i="71"/>
  <c r="F93" i="71"/>
  <c r="F85" i="71"/>
  <c r="F55" i="71"/>
  <c r="F51" i="71"/>
  <c r="F47" i="71"/>
  <c r="F43" i="71"/>
  <c r="F80" i="71"/>
  <c r="F74" i="71"/>
  <c r="F69" i="71"/>
  <c r="F65" i="71"/>
  <c r="F61" i="71"/>
  <c r="F60" i="71"/>
  <c r="F86" i="71"/>
  <c r="F59" i="71"/>
  <c r="F57" i="71"/>
  <c r="F52" i="71"/>
  <c r="F48" i="71"/>
  <c r="F44" i="71"/>
  <c r="J31" i="59"/>
  <c r="R32" i="59"/>
  <c r="J37" i="59"/>
  <c r="T16" i="60"/>
  <c r="R19" i="60"/>
  <c r="F22" i="60"/>
  <c r="F26" i="60"/>
  <c r="R38" i="60"/>
  <c r="R39" i="60"/>
  <c r="J45" i="60"/>
  <c r="V51" i="60"/>
  <c r="V53" i="60"/>
  <c r="V56" i="60"/>
  <c r="Z14" i="61"/>
  <c r="D16" i="64"/>
  <c r="R22" i="64"/>
  <c r="R26" i="64"/>
  <c r="F30" i="64"/>
  <c r="F34" i="64"/>
  <c r="V37" i="64"/>
  <c r="R46" i="64"/>
  <c r="V57" i="64"/>
  <c r="V65" i="64"/>
  <c r="V73" i="64"/>
  <c r="V77" i="64"/>
  <c r="X80" i="64"/>
  <c r="Z80" i="64" s="1"/>
  <c r="R86" i="64"/>
  <c r="R89" i="64"/>
  <c r="V35" i="68"/>
  <c r="V61" i="68"/>
  <c r="V58" i="68"/>
  <c r="V56" i="68"/>
  <c r="V34" i="68"/>
  <c r="V30" i="68"/>
  <c r="V45" i="68"/>
  <c r="V37" i="68"/>
  <c r="V25" i="68"/>
  <c r="V36" i="68"/>
  <c r="V47" i="68"/>
  <c r="V39" i="68"/>
  <c r="V31" i="68"/>
  <c r="V46" i="68"/>
  <c r="V38" i="68"/>
  <c r="V26" i="68"/>
  <c r="V22" i="68"/>
  <c r="V49" i="68"/>
  <c r="V41" i="68"/>
  <c r="V48" i="68"/>
  <c r="V40" i="68"/>
  <c r="V32" i="68"/>
  <c r="Z12" i="68"/>
  <c r="V43" i="68"/>
  <c r="V27" i="68"/>
  <c r="V23" i="68"/>
  <c r="V19" i="68"/>
  <c r="V54" i="68"/>
  <c r="V52" i="68"/>
  <c r="V50" i="68"/>
  <c r="V33" i="68"/>
  <c r="V29" i="68"/>
  <c r="T16" i="68"/>
  <c r="N41" i="68"/>
  <c r="Z15" i="69"/>
  <c r="J101" i="71"/>
  <c r="J85" i="71"/>
  <c r="J75" i="71"/>
  <c r="J102" i="71"/>
  <c r="J95" i="71"/>
  <c r="J96" i="71"/>
  <c r="J78" i="71"/>
  <c r="J103" i="71"/>
  <c r="J97" i="71"/>
  <c r="J87" i="71"/>
  <c r="J79" i="71"/>
  <c r="J105" i="71"/>
  <c r="J89" i="71"/>
  <c r="J112" i="71"/>
  <c r="J106" i="71"/>
  <c r="J90" i="71"/>
  <c r="J80" i="71"/>
  <c r="J116" i="71"/>
  <c r="J110" i="71"/>
  <c r="J92" i="71"/>
  <c r="J82" i="71"/>
  <c r="J98" i="71"/>
  <c r="J81" i="71"/>
  <c r="J66" i="71"/>
  <c r="J62" i="71"/>
  <c r="J40" i="71"/>
  <c r="J91" i="71"/>
  <c r="J53" i="71"/>
  <c r="J49" i="71"/>
  <c r="J45" i="71"/>
  <c r="J41" i="71"/>
  <c r="J107" i="71"/>
  <c r="J94" i="71"/>
  <c r="J72" i="71"/>
  <c r="N12" i="71"/>
  <c r="J111" i="71"/>
  <c r="J84" i="71"/>
  <c r="J67" i="71"/>
  <c r="J63" i="71"/>
  <c r="J76" i="71"/>
  <c r="J54" i="71"/>
  <c r="J50" i="71"/>
  <c r="J46" i="71"/>
  <c r="J42" i="71"/>
  <c r="J99" i="71"/>
  <c r="J73" i="71"/>
  <c r="J68" i="71"/>
  <c r="J64" i="71"/>
  <c r="J109" i="71"/>
  <c r="J104" i="71"/>
  <c r="J93" i="71"/>
  <c r="J88" i="71"/>
  <c r="J55" i="71"/>
  <c r="J51" i="71"/>
  <c r="J47" i="71"/>
  <c r="J43" i="71"/>
  <c r="J60" i="71"/>
  <c r="J83" i="71"/>
  <c r="J77" i="71"/>
  <c r="J74" i="71"/>
  <c r="J69" i="71"/>
  <c r="J65" i="71"/>
  <c r="J61" i="71"/>
  <c r="J59" i="71"/>
  <c r="J86" i="71"/>
  <c r="J70" i="71"/>
  <c r="H57" i="71"/>
  <c r="J52" i="71"/>
  <c r="J48" i="71"/>
  <c r="J44" i="71"/>
  <c r="J100" i="71"/>
  <c r="J71" i="71"/>
  <c r="N70" i="71"/>
  <c r="J36" i="59"/>
  <c r="J52" i="59"/>
  <c r="R53" i="59"/>
  <c r="R54" i="59"/>
  <c r="J60" i="59"/>
  <c r="J62" i="59"/>
  <c r="R66" i="59"/>
  <c r="R69" i="59"/>
  <c r="V14" i="60"/>
  <c r="V16" i="60"/>
  <c r="V18" i="60"/>
  <c r="J22" i="60"/>
  <c r="R23" i="60"/>
  <c r="J26" i="60"/>
  <c r="R27" i="60"/>
  <c r="R28" i="60"/>
  <c r="V30" i="60"/>
  <c r="F34" i="60"/>
  <c r="F35" i="60"/>
  <c r="V38" i="60"/>
  <c r="F42" i="60"/>
  <c r="F43" i="60"/>
  <c r="J44" i="60"/>
  <c r="R22" i="61"/>
  <c r="R26" i="61"/>
  <c r="R38" i="61"/>
  <c r="R39" i="61"/>
  <c r="V41" i="61"/>
  <c r="R49" i="61"/>
  <c r="R51" i="61"/>
  <c r="F14" i="64"/>
  <c r="F16" i="64"/>
  <c r="F18" i="64"/>
  <c r="V22" i="64"/>
  <c r="V26" i="64"/>
  <c r="R31" i="64"/>
  <c r="R35" i="64"/>
  <c r="R36" i="64"/>
  <c r="V38" i="64"/>
  <c r="F42" i="64"/>
  <c r="F43" i="64"/>
  <c r="V46" i="64"/>
  <c r="F50" i="64"/>
  <c r="F51" i="64"/>
  <c r="R55" i="64"/>
  <c r="R56" i="64"/>
  <c r="V58" i="64"/>
  <c r="F62" i="64"/>
  <c r="F63" i="64"/>
  <c r="V66" i="64"/>
  <c r="R71" i="64"/>
  <c r="R72" i="64"/>
  <c r="F75" i="64"/>
  <c r="V78" i="64"/>
  <c r="F82" i="64"/>
  <c r="F83" i="64"/>
  <c r="V86" i="64"/>
  <c r="V88" i="64"/>
  <c r="R90" i="64"/>
  <c r="R92" i="64"/>
  <c r="L19" i="68"/>
  <c r="N19" i="68" s="1"/>
  <c r="L37" i="68"/>
  <c r="N37" i="68" s="1"/>
  <c r="L39" i="68"/>
  <c r="N39" i="68" s="1"/>
  <c r="Z43" i="68"/>
  <c r="Z19" i="69"/>
  <c r="Z67" i="69"/>
  <c r="J66" i="70"/>
  <c r="J44" i="70"/>
  <c r="J30" i="70"/>
  <c r="J26" i="70"/>
  <c r="J16" i="70"/>
  <c r="J53" i="70"/>
  <c r="J45" i="70"/>
  <c r="J17" i="70"/>
  <c r="J70" i="70"/>
  <c r="J60" i="70"/>
  <c r="J54" i="70"/>
  <c r="J46" i="70"/>
  <c r="J36" i="70"/>
  <c r="N12" i="70"/>
  <c r="J55" i="70"/>
  <c r="J47" i="70"/>
  <c r="J31" i="70"/>
  <c r="J27" i="70"/>
  <c r="J56" i="70"/>
  <c r="J48" i="70"/>
  <c r="J32" i="70"/>
  <c r="J18" i="70"/>
  <c r="J61" i="70"/>
  <c r="J57" i="70"/>
  <c r="J49" i="70"/>
  <c r="J37" i="70"/>
  <c r="J33" i="70"/>
  <c r="J23" i="70"/>
  <c r="J38" i="70"/>
  <c r="J28" i="70"/>
  <c r="J24" i="70"/>
  <c r="J22" i="70"/>
  <c r="J39" i="70"/>
  <c r="H20" i="70"/>
  <c r="J62" i="70"/>
  <c r="J58" i="70"/>
  <c r="J50" i="70"/>
  <c r="J40" i="70"/>
  <c r="J34" i="70"/>
  <c r="J63" i="70"/>
  <c r="J51" i="70"/>
  <c r="J41" i="70"/>
  <c r="J29" i="70"/>
  <c r="J25" i="70"/>
  <c r="J64" i="70"/>
  <c r="J52" i="70"/>
  <c r="J42" i="70"/>
  <c r="J59" i="70"/>
  <c r="J43" i="70"/>
  <c r="J35" i="70"/>
  <c r="Z60" i="71"/>
  <c r="J30" i="59"/>
  <c r="R31" i="59"/>
  <c r="J34" i="59"/>
  <c r="J44" i="59"/>
  <c r="J50" i="59"/>
  <c r="J58" i="59"/>
  <c r="F21" i="60"/>
  <c r="F25" i="60"/>
  <c r="V28" i="60"/>
  <c r="F32" i="60"/>
  <c r="F33" i="60"/>
  <c r="J34" i="60"/>
  <c r="V36" i="60"/>
  <c r="F41" i="60"/>
  <c r="J42" i="60"/>
  <c r="R45" i="60"/>
  <c r="V31" i="61"/>
  <c r="R36" i="61"/>
  <c r="R37" i="61"/>
  <c r="V39" i="61"/>
  <c r="V47" i="61"/>
  <c r="V49" i="61"/>
  <c r="V51" i="61"/>
  <c r="R21" i="64"/>
  <c r="R25" i="64"/>
  <c r="F28" i="64"/>
  <c r="F29" i="64"/>
  <c r="F33" i="64"/>
  <c r="V36" i="64"/>
  <c r="F40" i="64"/>
  <c r="F41" i="64"/>
  <c r="V44" i="64"/>
  <c r="F48" i="64"/>
  <c r="F49" i="64"/>
  <c r="R53" i="64"/>
  <c r="R54" i="64"/>
  <c r="V56" i="64"/>
  <c r="F60" i="64"/>
  <c r="F61" i="64"/>
  <c r="V64" i="64"/>
  <c r="R69" i="64"/>
  <c r="R70" i="64"/>
  <c r="V72" i="64"/>
  <c r="V76" i="64"/>
  <c r="F80" i="64"/>
  <c r="F81" i="64"/>
  <c r="V84" i="64"/>
  <c r="X89" i="64"/>
  <c r="Z89" i="64" s="1"/>
  <c r="V90" i="64"/>
  <c r="V92" i="64"/>
  <c r="F96" i="64"/>
  <c r="F99" i="64"/>
  <c r="X19" i="68"/>
  <c r="V21" i="68"/>
  <c r="Z41" i="68"/>
  <c r="J105" i="69"/>
  <c r="J73" i="69"/>
  <c r="J69" i="69"/>
  <c r="J67" i="69"/>
  <c r="J96" i="69"/>
  <c r="H65" i="69"/>
  <c r="J60" i="69"/>
  <c r="J56" i="69"/>
  <c r="J52" i="69"/>
  <c r="J48" i="69"/>
  <c r="J109" i="69"/>
  <c r="J97" i="69"/>
  <c r="J87" i="69"/>
  <c r="J79" i="69"/>
  <c r="J98" i="69"/>
  <c r="J88" i="69"/>
  <c r="J74" i="69"/>
  <c r="J70" i="69"/>
  <c r="J89" i="69"/>
  <c r="J61" i="69"/>
  <c r="J57" i="69"/>
  <c r="J53" i="69"/>
  <c r="J49" i="69"/>
  <c r="J90" i="69"/>
  <c r="J80" i="69"/>
  <c r="J99" i="69"/>
  <c r="J91" i="69"/>
  <c r="J81" i="69"/>
  <c r="J75" i="69"/>
  <c r="J71" i="69"/>
  <c r="J45" i="69"/>
  <c r="J100" i="69"/>
  <c r="J92" i="69"/>
  <c r="J82" i="69"/>
  <c r="J62" i="69"/>
  <c r="J58" i="69"/>
  <c r="J54" i="69"/>
  <c r="J50" i="69"/>
  <c r="J46" i="69"/>
  <c r="J101" i="69"/>
  <c r="J93" i="69"/>
  <c r="J83" i="69"/>
  <c r="J102" i="69"/>
  <c r="J94" i="69"/>
  <c r="J84" i="69"/>
  <c r="J76" i="69"/>
  <c r="J72" i="69"/>
  <c r="J103" i="69"/>
  <c r="J95" i="69"/>
  <c r="J85" i="69"/>
  <c r="J77" i="69"/>
  <c r="J63" i="69"/>
  <c r="J59" i="69"/>
  <c r="J55" i="69"/>
  <c r="J51" i="69"/>
  <c r="J47" i="69"/>
  <c r="J86" i="69"/>
  <c r="J78" i="69"/>
  <c r="Z23" i="69"/>
  <c r="Z16" i="70"/>
  <c r="F74" i="64"/>
  <c r="Z19" i="68"/>
  <c r="Z25" i="69"/>
  <c r="V38" i="70"/>
  <c r="V22" i="70"/>
  <c r="V18" i="70"/>
  <c r="V61" i="70"/>
  <c r="V57" i="70"/>
  <c r="V49" i="70"/>
  <c r="V37" i="70"/>
  <c r="V33" i="70"/>
  <c r="T20" i="70"/>
  <c r="V40" i="70"/>
  <c r="V28" i="70"/>
  <c r="V24" i="70"/>
  <c r="V63" i="70"/>
  <c r="V51" i="70"/>
  <c r="V39" i="70"/>
  <c r="V62" i="70"/>
  <c r="V58" i="70"/>
  <c r="V50" i="70"/>
  <c r="V42" i="70"/>
  <c r="V34" i="70"/>
  <c r="V41" i="70"/>
  <c r="V29" i="70"/>
  <c r="V25" i="70"/>
  <c r="V66" i="70"/>
  <c r="V64" i="70"/>
  <c r="V52" i="70"/>
  <c r="V44" i="70"/>
  <c r="V16" i="70"/>
  <c r="V59" i="70"/>
  <c r="V43" i="70"/>
  <c r="V35" i="70"/>
  <c r="V54" i="70"/>
  <c r="V46" i="70"/>
  <c r="V30" i="70"/>
  <c r="V26" i="70"/>
  <c r="V53" i="70"/>
  <c r="V45" i="70"/>
  <c r="V17" i="70"/>
  <c r="V70" i="70"/>
  <c r="V60" i="70"/>
  <c r="V56" i="70"/>
  <c r="V48" i="70"/>
  <c r="V36" i="70"/>
  <c r="V32" i="70"/>
  <c r="V55" i="70"/>
  <c r="V47" i="70"/>
  <c r="V31" i="70"/>
  <c r="V27" i="70"/>
  <c r="V23" i="70"/>
  <c r="X12" i="70"/>
  <c r="Z12" i="70" s="1"/>
  <c r="J40" i="59"/>
  <c r="R43" i="59"/>
  <c r="R44" i="59"/>
  <c r="J48" i="59"/>
  <c r="J56" i="59"/>
  <c r="J14" i="60"/>
  <c r="J16" i="60"/>
  <c r="J18" i="60"/>
  <c r="J20" i="60"/>
  <c r="R21" i="60"/>
  <c r="J24" i="60"/>
  <c r="R25" i="60"/>
  <c r="F28" i="60"/>
  <c r="F29" i="60"/>
  <c r="J30" i="60"/>
  <c r="R33" i="60"/>
  <c r="R34" i="60"/>
  <c r="J40" i="60"/>
  <c r="R41" i="60"/>
  <c r="R42" i="60"/>
  <c r="V44" i="60"/>
  <c r="F51" i="60"/>
  <c r="P16" i="61"/>
  <c r="R20" i="61"/>
  <c r="R24" i="61"/>
  <c r="V35" i="61"/>
  <c r="V43" i="61"/>
  <c r="R14" i="64"/>
  <c r="R16" i="64"/>
  <c r="R18" i="64"/>
  <c r="R29" i="64"/>
  <c r="R33" i="64"/>
  <c r="F36" i="64"/>
  <c r="F37" i="64"/>
  <c r="R41" i="64"/>
  <c r="R42" i="64"/>
  <c r="R49" i="64"/>
  <c r="R50" i="64"/>
  <c r="V52" i="64"/>
  <c r="F56" i="64"/>
  <c r="F57" i="64"/>
  <c r="R61" i="64"/>
  <c r="R62" i="64"/>
  <c r="F65" i="64"/>
  <c r="V68" i="64"/>
  <c r="F72" i="64"/>
  <c r="F73" i="64"/>
  <c r="F77" i="64"/>
  <c r="R81" i="64"/>
  <c r="R82" i="64"/>
  <c r="F90" i="64"/>
  <c r="F92" i="64"/>
  <c r="Z68" i="69"/>
  <c r="N90" i="69"/>
  <c r="F59" i="70"/>
  <c r="F43" i="70"/>
  <c r="F42" i="70"/>
  <c r="F35" i="70"/>
  <c r="F30" i="70"/>
  <c r="F26" i="70"/>
  <c r="F66" i="70"/>
  <c r="F53" i="70"/>
  <c r="F45" i="70"/>
  <c r="F44" i="70"/>
  <c r="F17" i="70"/>
  <c r="F16" i="70"/>
  <c r="F70" i="70"/>
  <c r="F60" i="70"/>
  <c r="F36" i="70"/>
  <c r="L12" i="70"/>
  <c r="F55" i="70"/>
  <c r="F54" i="70"/>
  <c r="F47" i="70"/>
  <c r="F46" i="70"/>
  <c r="F31" i="70"/>
  <c r="F27" i="70"/>
  <c r="F18" i="70"/>
  <c r="F61" i="70"/>
  <c r="F57" i="70"/>
  <c r="F56" i="70"/>
  <c r="F49" i="70"/>
  <c r="F48" i="70"/>
  <c r="F37" i="70"/>
  <c r="F33" i="70"/>
  <c r="F32" i="70"/>
  <c r="F28" i="70"/>
  <c r="F24" i="70"/>
  <c r="F23" i="70"/>
  <c r="F39" i="70"/>
  <c r="F38" i="70"/>
  <c r="F22" i="70"/>
  <c r="F62" i="70"/>
  <c r="F58" i="70"/>
  <c r="F50" i="70"/>
  <c r="F34" i="70"/>
  <c r="D20" i="70"/>
  <c r="F41" i="70"/>
  <c r="F40" i="70"/>
  <c r="F29" i="70"/>
  <c r="F25" i="70"/>
  <c r="F64" i="70"/>
  <c r="F63" i="70"/>
  <c r="F52" i="70"/>
  <c r="F51" i="70"/>
  <c r="N63" i="70"/>
  <c r="R97" i="71"/>
  <c r="R96" i="71"/>
  <c r="R104" i="71"/>
  <c r="R103" i="71"/>
  <c r="R98" i="71"/>
  <c r="R112" i="71"/>
  <c r="R106" i="71"/>
  <c r="R105" i="71"/>
  <c r="R90" i="71"/>
  <c r="R89" i="71"/>
  <c r="R111" i="71"/>
  <c r="R81" i="71"/>
  <c r="R80" i="71"/>
  <c r="R110" i="71"/>
  <c r="R116" i="71"/>
  <c r="R109" i="71"/>
  <c r="R83" i="71"/>
  <c r="R82" i="71"/>
  <c r="R93" i="71"/>
  <c r="R76" i="71"/>
  <c r="R101" i="71"/>
  <c r="R67" i="71"/>
  <c r="R63" i="71"/>
  <c r="R92" i="71"/>
  <c r="R87" i="71"/>
  <c r="R84" i="71"/>
  <c r="R79" i="71"/>
  <c r="R54" i="71"/>
  <c r="R50" i="71"/>
  <c r="R46" i="71"/>
  <c r="R42" i="71"/>
  <c r="R99" i="71"/>
  <c r="R85" i="71"/>
  <c r="R73" i="71"/>
  <c r="R68" i="71"/>
  <c r="R64" i="71"/>
  <c r="R95" i="71"/>
  <c r="R60" i="71"/>
  <c r="R55" i="71"/>
  <c r="R51" i="71"/>
  <c r="R47" i="71"/>
  <c r="R43" i="71"/>
  <c r="R88" i="71"/>
  <c r="R59" i="71"/>
  <c r="R102" i="71"/>
  <c r="R70" i="71"/>
  <c r="R69" i="71"/>
  <c r="R65" i="71"/>
  <c r="R61" i="71"/>
  <c r="P57" i="71"/>
  <c r="R57" i="71" s="1"/>
  <c r="R86" i="71"/>
  <c r="R77" i="71"/>
  <c r="R74" i="71"/>
  <c r="R52" i="71"/>
  <c r="R48" i="71"/>
  <c r="R44" i="71"/>
  <c r="R78" i="71"/>
  <c r="R71" i="71"/>
  <c r="R40" i="71"/>
  <c r="R100" i="71"/>
  <c r="R66" i="71"/>
  <c r="R62" i="71"/>
  <c r="R91" i="71"/>
  <c r="R53" i="71"/>
  <c r="R49" i="71"/>
  <c r="R45" i="71"/>
  <c r="R41" i="71"/>
  <c r="R107" i="71"/>
  <c r="R94" i="71"/>
  <c r="R75" i="71"/>
  <c r="R72" i="71"/>
  <c r="X12" i="71"/>
  <c r="Z15" i="71"/>
  <c r="F37" i="60"/>
  <c r="F38" i="60"/>
  <c r="F47" i="60"/>
  <c r="F49" i="60"/>
  <c r="R19" i="64"/>
  <c r="F22" i="64"/>
  <c r="F26" i="64"/>
  <c r="V29" i="64"/>
  <c r="V33" i="64"/>
  <c r="V41" i="64"/>
  <c r="F45" i="64"/>
  <c r="F46" i="64"/>
  <c r="V49" i="64"/>
  <c r="V61" i="64"/>
  <c r="R74" i="64"/>
  <c r="V81" i="64"/>
  <c r="F85" i="64"/>
  <c r="F86" i="64"/>
  <c r="F48" i="68"/>
  <c r="F47" i="68"/>
  <c r="F40" i="68"/>
  <c r="F39" i="68"/>
  <c r="F32" i="68"/>
  <c r="L12" i="68"/>
  <c r="F27" i="68"/>
  <c r="F23" i="68"/>
  <c r="F50" i="68"/>
  <c r="F49" i="68"/>
  <c r="F42" i="68"/>
  <c r="F41" i="68"/>
  <c r="F44" i="68"/>
  <c r="F43" i="68"/>
  <c r="F28" i="68"/>
  <c r="F24" i="68"/>
  <c r="F20" i="68"/>
  <c r="F19" i="68"/>
  <c r="F54" i="68"/>
  <c r="F52" i="68"/>
  <c r="F18" i="68"/>
  <c r="F16" i="68"/>
  <c r="F14" i="68"/>
  <c r="F56" i="68"/>
  <c r="F34" i="68"/>
  <c r="F30" i="68"/>
  <c r="F29" i="68"/>
  <c r="F45" i="68"/>
  <c r="F25" i="68"/>
  <c r="F21" i="68"/>
  <c r="F36" i="68"/>
  <c r="F35" i="68"/>
  <c r="F61" i="68"/>
  <c r="F58" i="68"/>
  <c r="F46" i="68"/>
  <c r="F38" i="68"/>
  <c r="F37" i="68"/>
  <c r="F26" i="68"/>
  <c r="F22" i="68"/>
  <c r="V20" i="68"/>
  <c r="L47" i="68"/>
  <c r="N47" i="68" s="1"/>
  <c r="D12" i="69"/>
  <c r="L13" i="69"/>
  <c r="V103" i="71"/>
  <c r="V87" i="71"/>
  <c r="V79" i="71"/>
  <c r="V112" i="71"/>
  <c r="V106" i="71"/>
  <c r="V111" i="71"/>
  <c r="V105" i="71"/>
  <c r="V89" i="71"/>
  <c r="V110" i="71"/>
  <c r="V92" i="71"/>
  <c r="V80" i="71"/>
  <c r="V109" i="71"/>
  <c r="V107" i="71"/>
  <c r="V99" i="71"/>
  <c r="V91" i="71"/>
  <c r="V83" i="71"/>
  <c r="V116" i="71"/>
  <c r="V101" i="71"/>
  <c r="V93" i="71"/>
  <c r="V85" i="71"/>
  <c r="V100" i="71"/>
  <c r="V84" i="71"/>
  <c r="V76" i="71"/>
  <c r="V102" i="71"/>
  <c r="V94" i="71"/>
  <c r="V86" i="71"/>
  <c r="V78" i="71"/>
  <c r="V54" i="71"/>
  <c r="V50" i="71"/>
  <c r="V46" i="71"/>
  <c r="V42" i="71"/>
  <c r="V95" i="71"/>
  <c r="V82" i="71"/>
  <c r="V73" i="71"/>
  <c r="V68" i="71"/>
  <c r="V64" i="71"/>
  <c r="V60" i="71"/>
  <c r="V97" i="71"/>
  <c r="V88" i="71"/>
  <c r="V59" i="71"/>
  <c r="V57" i="71"/>
  <c r="V55" i="71"/>
  <c r="V51" i="71"/>
  <c r="V47" i="71"/>
  <c r="V43" i="71"/>
  <c r="V104" i="71"/>
  <c r="V90" i="71"/>
  <c r="V70" i="71"/>
  <c r="T57" i="71"/>
  <c r="V69" i="71"/>
  <c r="V65" i="71"/>
  <c r="V61" i="71"/>
  <c r="V77" i="71"/>
  <c r="V74" i="71"/>
  <c r="V52" i="71"/>
  <c r="V48" i="71"/>
  <c r="V44" i="71"/>
  <c r="V40" i="71"/>
  <c r="V71" i="71"/>
  <c r="V81" i="71"/>
  <c r="V66" i="71"/>
  <c r="V62" i="71"/>
  <c r="V53" i="71"/>
  <c r="V49" i="71"/>
  <c r="V45" i="71"/>
  <c r="V41" i="71"/>
  <c r="V98" i="71"/>
  <c r="V96" i="71"/>
  <c r="V75" i="71"/>
  <c r="V72" i="71"/>
  <c r="Z12" i="71"/>
  <c r="V67" i="71"/>
  <c r="V63" i="71"/>
  <c r="R14" i="59"/>
  <c r="R16" i="59"/>
  <c r="R18" i="59"/>
  <c r="J32" i="59"/>
  <c r="R33" i="59"/>
  <c r="R41" i="59"/>
  <c r="R42" i="59"/>
  <c r="R49" i="59"/>
  <c r="J54" i="59"/>
  <c r="R57" i="59"/>
  <c r="J66" i="59"/>
  <c r="J69" i="59"/>
  <c r="F23" i="60"/>
  <c r="F27" i="60"/>
  <c r="J28" i="60"/>
  <c r="R31" i="60"/>
  <c r="R32" i="60"/>
  <c r="J38" i="60"/>
  <c r="V42" i="60"/>
  <c r="R19" i="61"/>
  <c r="V33" i="61"/>
  <c r="R42" i="61"/>
  <c r="R55" i="61"/>
  <c r="R58" i="61"/>
  <c r="V14" i="64"/>
  <c r="V16" i="64"/>
  <c r="V18" i="64"/>
  <c r="R23" i="64"/>
  <c r="R27" i="64"/>
  <c r="R28" i="64"/>
  <c r="F31" i="64"/>
  <c r="F35" i="64"/>
  <c r="R39" i="64"/>
  <c r="R40" i="64"/>
  <c r="V42" i="64"/>
  <c r="R47" i="64"/>
  <c r="R48" i="64"/>
  <c r="V50" i="64"/>
  <c r="F54" i="64"/>
  <c r="F55" i="64"/>
  <c r="R59" i="64"/>
  <c r="R60" i="64"/>
  <c r="V62" i="64"/>
  <c r="R67" i="64"/>
  <c r="F70" i="64"/>
  <c r="F71" i="64"/>
  <c r="V74" i="64"/>
  <c r="R79" i="64"/>
  <c r="R80" i="64"/>
  <c r="V82" i="64"/>
  <c r="R96" i="64"/>
  <c r="R99" i="64"/>
  <c r="Z18" i="68"/>
  <c r="L12" i="60"/>
  <c r="P16" i="60"/>
  <c r="R20" i="60"/>
  <c r="J23" i="60"/>
  <c r="R24" i="60"/>
  <c r="J27" i="60"/>
  <c r="J37" i="60"/>
  <c r="R40" i="60"/>
  <c r="J47" i="60"/>
  <c r="R53" i="60"/>
  <c r="V14" i="61"/>
  <c r="V16" i="61"/>
  <c r="V18" i="61"/>
  <c r="R23" i="61"/>
  <c r="R27" i="61"/>
  <c r="R28" i="61"/>
  <c r="X12" i="64"/>
  <c r="R32" i="64"/>
  <c r="V39" i="64"/>
  <c r="F44" i="64"/>
  <c r="V47" i="64"/>
  <c r="V59" i="64"/>
  <c r="F64" i="64"/>
  <c r="V67" i="64"/>
  <c r="F76" i="64"/>
  <c r="D58" i="68"/>
  <c r="Z29" i="68"/>
  <c r="Z49" i="68"/>
  <c r="N67" i="69"/>
  <c r="N46" i="70"/>
  <c r="N18" i="73"/>
  <c r="L18" i="73"/>
  <c r="Z17" i="74"/>
  <c r="X17" i="74"/>
  <c r="L20" i="75"/>
  <c r="N20" i="75" s="1"/>
  <c r="X75" i="75"/>
  <c r="Z75" i="75" s="1"/>
  <c r="R19" i="68"/>
  <c r="J39" i="68"/>
  <c r="R42" i="68"/>
  <c r="R43" i="68"/>
  <c r="J47" i="68"/>
  <c r="R50" i="68"/>
  <c r="R17" i="70"/>
  <c r="R45" i="70"/>
  <c r="R46" i="70"/>
  <c r="R53" i="70"/>
  <c r="R54" i="70"/>
  <c r="F68" i="73"/>
  <c r="F64" i="73"/>
  <c r="F47" i="73"/>
  <c r="F46" i="73"/>
  <c r="F39" i="73"/>
  <c r="F70" i="73"/>
  <c r="F69" i="73"/>
  <c r="F58" i="73"/>
  <c r="F34" i="73"/>
  <c r="F30" i="73"/>
  <c r="F65" i="73"/>
  <c r="F49" i="73"/>
  <c r="F48" i="73"/>
  <c r="F21" i="73"/>
  <c r="F20" i="73"/>
  <c r="F72" i="73"/>
  <c r="F71" i="73"/>
  <c r="F40" i="73"/>
  <c r="F59" i="73"/>
  <c r="F51" i="73"/>
  <c r="F50" i="73"/>
  <c r="F35" i="73"/>
  <c r="F31" i="73"/>
  <c r="F66" i="73"/>
  <c r="F22" i="73"/>
  <c r="F74" i="73"/>
  <c r="F61" i="73"/>
  <c r="F60" i="73"/>
  <c r="F53" i="73"/>
  <c r="F52" i="73"/>
  <c r="F41" i="73"/>
  <c r="F37" i="73"/>
  <c r="F36" i="73"/>
  <c r="F67" i="73"/>
  <c r="F63" i="73"/>
  <c r="F62" i="73"/>
  <c r="F55" i="73"/>
  <c r="F54" i="73"/>
  <c r="F43" i="73"/>
  <c r="F42" i="73"/>
  <c r="F26" i="73"/>
  <c r="F38" i="73"/>
  <c r="D24" i="73"/>
  <c r="L42" i="73"/>
  <c r="F44" i="73"/>
  <c r="N52" i="73"/>
  <c r="R65" i="73"/>
  <c r="Z71" i="73"/>
  <c r="N35" i="74"/>
  <c r="L54" i="74"/>
  <c r="N31" i="75"/>
  <c r="Z34" i="75"/>
  <c r="N52" i="75"/>
  <c r="L77" i="69"/>
  <c r="N77" i="69" s="1"/>
  <c r="L85" i="69"/>
  <c r="N85" i="69" s="1"/>
  <c r="L14" i="70"/>
  <c r="N14" i="70" s="1"/>
  <c r="R26" i="70"/>
  <c r="R30" i="70"/>
  <c r="X32" i="70"/>
  <c r="Z32" i="70" s="1"/>
  <c r="L42" i="70"/>
  <c r="N42" i="70" s="1"/>
  <c r="X48" i="70"/>
  <c r="Z48" i="70" s="1"/>
  <c r="X56" i="70"/>
  <c r="Z56" i="70" s="1"/>
  <c r="L14" i="71"/>
  <c r="N14" i="71" s="1"/>
  <c r="Z81" i="71"/>
  <c r="L90" i="71"/>
  <c r="N90" i="71" s="1"/>
  <c r="L106" i="71"/>
  <c r="N106" i="71" s="1"/>
  <c r="L112" i="71"/>
  <c r="L14" i="73"/>
  <c r="N14" i="73" s="1"/>
  <c r="N42" i="73"/>
  <c r="N44" i="73"/>
  <c r="R69" i="73"/>
  <c r="Z21" i="74"/>
  <c r="X21" i="74"/>
  <c r="X30" i="74"/>
  <c r="Z30" i="74" s="1"/>
  <c r="N54" i="74"/>
  <c r="N16" i="75"/>
  <c r="L16" i="75"/>
  <c r="Z20" i="75"/>
  <c r="X12" i="68"/>
  <c r="J31" i="68"/>
  <c r="R32" i="68"/>
  <c r="J37" i="68"/>
  <c r="R40" i="68"/>
  <c r="R41" i="68"/>
  <c r="R48" i="68"/>
  <c r="R49" i="68"/>
  <c r="X14" i="69"/>
  <c r="Z14" i="69" s="1"/>
  <c r="X18" i="69"/>
  <c r="Z18" i="69" s="1"/>
  <c r="X22" i="69"/>
  <c r="Z22" i="69" s="1"/>
  <c r="X26" i="69"/>
  <c r="Z26" i="69" s="1"/>
  <c r="X30" i="69"/>
  <c r="Z30" i="69" s="1"/>
  <c r="X34" i="69"/>
  <c r="Z34" i="69" s="1"/>
  <c r="X38" i="69"/>
  <c r="Z38" i="69" s="1"/>
  <c r="X42" i="69"/>
  <c r="Z42" i="69" s="1"/>
  <c r="X88" i="69"/>
  <c r="Z88" i="69" s="1"/>
  <c r="R16" i="70"/>
  <c r="R35" i="70"/>
  <c r="R43" i="70"/>
  <c r="R44" i="70"/>
  <c r="R59" i="70"/>
  <c r="R66" i="70"/>
  <c r="X15" i="71"/>
  <c r="X19" i="71"/>
  <c r="Z19" i="71" s="1"/>
  <c r="X23" i="71"/>
  <c r="Z23" i="71" s="1"/>
  <c r="X27" i="71"/>
  <c r="Z27" i="71" s="1"/>
  <c r="N112" i="71"/>
  <c r="N81" i="75"/>
  <c r="L81" i="75"/>
  <c r="Z65" i="77"/>
  <c r="X65" i="77"/>
  <c r="J36" i="68"/>
  <c r="J58" i="68"/>
  <c r="J61" i="68"/>
  <c r="R52" i="70"/>
  <c r="R64" i="70"/>
  <c r="Z78" i="71"/>
  <c r="N95" i="71"/>
  <c r="L97" i="71"/>
  <c r="N97" i="71" s="1"/>
  <c r="F32" i="73"/>
  <c r="Z48" i="73"/>
  <c r="R50" i="73"/>
  <c r="F78" i="73"/>
  <c r="L12" i="74"/>
  <c r="N12" i="74" s="1"/>
  <c r="X25" i="74"/>
  <c r="Z25" i="74" s="1"/>
  <c r="F64" i="74"/>
  <c r="X68" i="74"/>
  <c r="Z16" i="75"/>
  <c r="V74" i="75"/>
  <c r="N88" i="75"/>
  <c r="J21" i="68"/>
  <c r="R22" i="68"/>
  <c r="J25" i="68"/>
  <c r="R26" i="68"/>
  <c r="J35" i="68"/>
  <c r="R38" i="68"/>
  <c r="R39" i="68"/>
  <c r="J45" i="68"/>
  <c r="R46" i="68"/>
  <c r="R47" i="68"/>
  <c r="R25" i="70"/>
  <c r="R29" i="70"/>
  <c r="R41" i="70"/>
  <c r="R42" i="70"/>
  <c r="L76" i="71"/>
  <c r="N76" i="71" s="1"/>
  <c r="D109" i="71"/>
  <c r="L109" i="71" s="1"/>
  <c r="N109" i="71" s="1"/>
  <c r="L111" i="71"/>
  <c r="Z50" i="73"/>
  <c r="L62" i="73"/>
  <c r="Z14" i="74"/>
  <c r="X14" i="74"/>
  <c r="Z68" i="74"/>
  <c r="N95" i="75"/>
  <c r="N100" i="75"/>
  <c r="X30" i="76"/>
  <c r="Z30" i="76" s="1"/>
  <c r="J30" i="68"/>
  <c r="R31" i="68"/>
  <c r="J34" i="68"/>
  <c r="J56" i="68"/>
  <c r="X13" i="69"/>
  <c r="X17" i="69"/>
  <c r="Z17" i="69" s="1"/>
  <c r="X21" i="69"/>
  <c r="Z21" i="69" s="1"/>
  <c r="X25" i="69"/>
  <c r="X29" i="69"/>
  <c r="Z29" i="69" s="1"/>
  <c r="X33" i="69"/>
  <c r="Z33" i="69" s="1"/>
  <c r="X37" i="69"/>
  <c r="Z37" i="69" s="1"/>
  <c r="X41" i="69"/>
  <c r="Z41" i="69" s="1"/>
  <c r="X14" i="70"/>
  <c r="Z14" i="70" s="1"/>
  <c r="R34" i="70"/>
  <c r="R50" i="70"/>
  <c r="R51" i="70"/>
  <c r="R58" i="70"/>
  <c r="R62" i="70"/>
  <c r="R63" i="70"/>
  <c r="X14" i="71"/>
  <c r="Z14" i="71" s="1"/>
  <c r="X18" i="71"/>
  <c r="Z18" i="71" s="1"/>
  <c r="X22" i="71"/>
  <c r="Z22" i="71" s="1"/>
  <c r="X26" i="71"/>
  <c r="Z26" i="71" s="1"/>
  <c r="Z109" i="71"/>
  <c r="N62" i="73"/>
  <c r="F60" i="74"/>
  <c r="F56" i="74"/>
  <c r="F75" i="74"/>
  <c r="F67" i="74"/>
  <c r="F66" i="74"/>
  <c r="F47" i="74"/>
  <c r="F43" i="74"/>
  <c r="F39" i="74"/>
  <c r="F77" i="74"/>
  <c r="F76" i="74"/>
  <c r="F69" i="74"/>
  <c r="F68" i="74"/>
  <c r="F61" i="74"/>
  <c r="F57" i="74"/>
  <c r="F48" i="74"/>
  <c r="F44" i="74"/>
  <c r="F40" i="74"/>
  <c r="F36" i="74"/>
  <c r="F35" i="74"/>
  <c r="F63" i="74"/>
  <c r="F62" i="74"/>
  <c r="F79" i="74"/>
  <c r="F70" i="74"/>
  <c r="F58" i="74"/>
  <c r="F83" i="74"/>
  <c r="F49" i="74"/>
  <c r="F45" i="74"/>
  <c r="F41" i="74"/>
  <c r="F37" i="74"/>
  <c r="F59" i="74"/>
  <c r="F55" i="74"/>
  <c r="F54" i="74"/>
  <c r="F74" i="74"/>
  <c r="F73" i="74"/>
  <c r="F53" i="74"/>
  <c r="F46" i="74"/>
  <c r="F42" i="74"/>
  <c r="F38" i="74"/>
  <c r="F65" i="74"/>
  <c r="D51" i="74"/>
  <c r="H12" i="75"/>
  <c r="N32" i="75"/>
  <c r="L32" i="75"/>
  <c r="H16" i="68"/>
  <c r="J29" i="68"/>
  <c r="R36" i="68"/>
  <c r="R37" i="68"/>
  <c r="R39" i="70"/>
  <c r="R40" i="70"/>
  <c r="Z88" i="71"/>
  <c r="N92" i="71"/>
  <c r="L17" i="73"/>
  <c r="N17" i="73" s="1"/>
  <c r="Z20" i="73"/>
  <c r="L26" i="73"/>
  <c r="N26" i="73" s="1"/>
  <c r="R49" i="73"/>
  <c r="X18" i="74"/>
  <c r="Z18" i="74" s="1"/>
  <c r="X29" i="74"/>
  <c r="Z29" i="74" s="1"/>
  <c r="N53" i="74"/>
  <c r="N19" i="75"/>
  <c r="Z21" i="75"/>
  <c r="V62" i="75"/>
  <c r="N68" i="75"/>
  <c r="N79" i="75"/>
  <c r="Z86" i="75"/>
  <c r="N93" i="75"/>
  <c r="N15" i="76"/>
  <c r="J44" i="68"/>
  <c r="R45" i="68"/>
  <c r="J52" i="68"/>
  <c r="J54" i="68"/>
  <c r="R58" i="68"/>
  <c r="R61" i="68"/>
  <c r="P20" i="70"/>
  <c r="R24" i="70"/>
  <c r="R28" i="70"/>
  <c r="Z66" i="74"/>
  <c r="N28" i="75"/>
  <c r="L28" i="75"/>
  <c r="X97" i="75"/>
  <c r="Z97" i="75" s="1"/>
  <c r="Z66" i="76"/>
  <c r="J33" i="68"/>
  <c r="R34" i="68"/>
  <c r="R35" i="68"/>
  <c r="J43" i="68"/>
  <c r="R56" i="68"/>
  <c r="X16" i="69"/>
  <c r="Z16" i="69" s="1"/>
  <c r="R49" i="70"/>
  <c r="R57" i="70"/>
  <c r="R61" i="70"/>
  <c r="H12" i="73"/>
  <c r="L13" i="73"/>
  <c r="N13" i="73" s="1"/>
  <c r="R79" i="74"/>
  <c r="R48" i="74"/>
  <c r="R44" i="74"/>
  <c r="R40" i="74"/>
  <c r="R36" i="74"/>
  <c r="R63" i="74"/>
  <c r="R71" i="74"/>
  <c r="R70" i="74"/>
  <c r="R58" i="74"/>
  <c r="R83" i="74"/>
  <c r="R54" i="74"/>
  <c r="R49" i="74"/>
  <c r="R45" i="74"/>
  <c r="R41" i="74"/>
  <c r="R37" i="74"/>
  <c r="R73" i="74"/>
  <c r="R72" i="74"/>
  <c r="R64" i="74"/>
  <c r="R53" i="74"/>
  <c r="X12" i="74"/>
  <c r="R59" i="74"/>
  <c r="R55" i="74"/>
  <c r="P51" i="74"/>
  <c r="R51" i="74" s="1"/>
  <c r="R74" i="74"/>
  <c r="R46" i="74"/>
  <c r="R42" i="74"/>
  <c r="R38" i="74"/>
  <c r="R66" i="74"/>
  <c r="R65" i="74"/>
  <c r="R76" i="74"/>
  <c r="R75" i="74"/>
  <c r="R68" i="74"/>
  <c r="R67" i="74"/>
  <c r="R47" i="74"/>
  <c r="R43" i="74"/>
  <c r="R39" i="74"/>
  <c r="R35" i="74"/>
  <c r="R77" i="74"/>
  <c r="R69" i="74"/>
  <c r="R62" i="74"/>
  <c r="R61" i="74"/>
  <c r="R57" i="74"/>
  <c r="X22" i="74"/>
  <c r="Z22" i="74" s="1"/>
  <c r="V59" i="76"/>
  <c r="V55" i="76"/>
  <c r="V43" i="76"/>
  <c r="V62" i="76"/>
  <c r="V54" i="76"/>
  <c r="V38" i="76"/>
  <c r="V34" i="76"/>
  <c r="V61" i="76"/>
  <c r="V45" i="76"/>
  <c r="V66" i="76"/>
  <c r="V56" i="76"/>
  <c r="V44" i="76"/>
  <c r="V40" i="76"/>
  <c r="V63" i="76"/>
  <c r="V47" i="76"/>
  <c r="V39" i="76"/>
  <c r="V46" i="76"/>
  <c r="V30" i="76"/>
  <c r="V26" i="76"/>
  <c r="V70" i="76"/>
  <c r="V48" i="76"/>
  <c r="V36" i="76"/>
  <c r="V32" i="76"/>
  <c r="V51" i="76"/>
  <c r="V58" i="76"/>
  <c r="V50" i="76"/>
  <c r="V42" i="76"/>
  <c r="V53" i="76"/>
  <c r="V37" i="76"/>
  <c r="V60" i="76"/>
  <c r="V41" i="76"/>
  <c r="V57" i="76"/>
  <c r="T28" i="76"/>
  <c r="V28" i="76" s="1"/>
  <c r="V52" i="76"/>
  <c r="V33" i="76"/>
  <c r="V31" i="76"/>
  <c r="V49" i="76"/>
  <c r="V35" i="76"/>
  <c r="R53" i="76"/>
  <c r="R52" i="76"/>
  <c r="R60" i="76"/>
  <c r="R59" i="76"/>
  <c r="R43" i="76"/>
  <c r="R55" i="76"/>
  <c r="R54" i="76"/>
  <c r="R38" i="76"/>
  <c r="R34" i="76"/>
  <c r="R62" i="76"/>
  <c r="R61" i="76"/>
  <c r="R56" i="76"/>
  <c r="R45" i="76"/>
  <c r="R44" i="76"/>
  <c r="R66" i="76"/>
  <c r="R63" i="76"/>
  <c r="R40" i="76"/>
  <c r="R39" i="76"/>
  <c r="R35" i="76"/>
  <c r="R57" i="76"/>
  <c r="R41" i="76"/>
  <c r="R30" i="76"/>
  <c r="R26" i="76"/>
  <c r="R70" i="76"/>
  <c r="R49" i="76"/>
  <c r="R48" i="76"/>
  <c r="R36" i="76"/>
  <c r="R58" i="76"/>
  <c r="R51" i="76"/>
  <c r="R50" i="76"/>
  <c r="R42" i="76"/>
  <c r="R47" i="76"/>
  <c r="R37" i="76"/>
  <c r="R32" i="76"/>
  <c r="P28" i="76"/>
  <c r="R28" i="76" s="1"/>
  <c r="X12" i="76"/>
  <c r="Z12" i="76" s="1"/>
  <c r="R46" i="76"/>
  <c r="R33" i="76"/>
  <c r="R31" i="76"/>
  <c r="X37" i="68"/>
  <c r="Z37" i="68" s="1"/>
  <c r="J42" i="68"/>
  <c r="L43" i="68"/>
  <c r="N43" i="68" s="1"/>
  <c r="J50" i="68"/>
  <c r="Z13" i="70"/>
  <c r="R18" i="70"/>
  <c r="R23" i="70"/>
  <c r="Z13" i="71"/>
  <c r="R72" i="73"/>
  <c r="R40" i="73"/>
  <c r="X12" i="73"/>
  <c r="Z12" i="73" s="1"/>
  <c r="R74" i="73"/>
  <c r="R60" i="73"/>
  <c r="R59" i="73"/>
  <c r="R52" i="73"/>
  <c r="R51" i="73"/>
  <c r="R36" i="73"/>
  <c r="R35" i="73"/>
  <c r="R31" i="73"/>
  <c r="R66" i="73"/>
  <c r="R27" i="73"/>
  <c r="R22" i="73"/>
  <c r="R62" i="73"/>
  <c r="R61" i="73"/>
  <c r="R54" i="73"/>
  <c r="R53" i="73"/>
  <c r="R42" i="73"/>
  <c r="R41" i="73"/>
  <c r="R37" i="73"/>
  <c r="R26" i="73"/>
  <c r="R78" i="73"/>
  <c r="R32" i="73"/>
  <c r="R28" i="73"/>
  <c r="P24" i="73"/>
  <c r="R67" i="73"/>
  <c r="R63" i="73"/>
  <c r="R56" i="73"/>
  <c r="R55" i="73"/>
  <c r="R44" i="73"/>
  <c r="R43" i="73"/>
  <c r="R38" i="73"/>
  <c r="R57" i="73"/>
  <c r="R46" i="73"/>
  <c r="R45" i="73"/>
  <c r="R33" i="73"/>
  <c r="R29" i="73"/>
  <c r="R48" i="73"/>
  <c r="R47" i="73"/>
  <c r="R39" i="73"/>
  <c r="R20" i="73"/>
  <c r="R71" i="73"/>
  <c r="R70" i="73"/>
  <c r="R58" i="73"/>
  <c r="R34" i="73"/>
  <c r="R30" i="73"/>
  <c r="R21" i="73"/>
  <c r="F56" i="73"/>
  <c r="T12" i="74"/>
  <c r="X13" i="74"/>
  <c r="Z13" i="74" s="1"/>
  <c r="Z24" i="74"/>
  <c r="R60" i="74"/>
  <c r="F72" i="74"/>
  <c r="P12" i="75"/>
  <c r="X13" i="75"/>
  <c r="L24" i="75"/>
  <c r="N24" i="75" s="1"/>
  <c r="Z28" i="75"/>
  <c r="P16" i="68"/>
  <c r="R20" i="68"/>
  <c r="J23" i="68"/>
  <c r="R24" i="68"/>
  <c r="J27" i="68"/>
  <c r="R28" i="68"/>
  <c r="R29" i="68"/>
  <c r="J41" i="68"/>
  <c r="R27" i="70"/>
  <c r="R31" i="70"/>
  <c r="R32" i="70"/>
  <c r="R47" i="70"/>
  <c r="R48" i="70"/>
  <c r="R55" i="70"/>
  <c r="R56" i="70"/>
  <c r="L110" i="71"/>
  <c r="N110" i="71" s="1"/>
  <c r="N54" i="73"/>
  <c r="N56" i="73"/>
  <c r="N69" i="73"/>
  <c r="Z26" i="74"/>
  <c r="X26" i="74"/>
  <c r="Z33" i="74"/>
  <c r="X33" i="74"/>
  <c r="Z76" i="74"/>
  <c r="V95" i="75"/>
  <c r="V98" i="75"/>
  <c r="V78" i="75"/>
  <c r="V70" i="75"/>
  <c r="V58" i="75"/>
  <c r="V54" i="75"/>
  <c r="V89" i="75"/>
  <c r="V81" i="75"/>
  <c r="V69" i="75"/>
  <c r="V45" i="75"/>
  <c r="V41" i="75"/>
  <c r="V37" i="75"/>
  <c r="V100" i="75"/>
  <c r="V80" i="75"/>
  <c r="V64" i="75"/>
  <c r="V101" i="75"/>
  <c r="V94" i="75"/>
  <c r="V83" i="75"/>
  <c r="V71" i="75"/>
  <c r="V59" i="75"/>
  <c r="V55" i="75"/>
  <c r="V90" i="75"/>
  <c r="V82" i="75"/>
  <c r="V46" i="75"/>
  <c r="V42" i="75"/>
  <c r="V38" i="75"/>
  <c r="V34" i="75"/>
  <c r="V73" i="75"/>
  <c r="V65" i="75"/>
  <c r="V84" i="75"/>
  <c r="V72" i="75"/>
  <c r="V60" i="75"/>
  <c r="V56" i="75"/>
  <c r="V97" i="75"/>
  <c r="V96" i="75"/>
  <c r="V91" i="75"/>
  <c r="V75" i="75"/>
  <c r="V47" i="75"/>
  <c r="V43" i="75"/>
  <c r="V39" i="75"/>
  <c r="V35" i="75"/>
  <c r="V85" i="75"/>
  <c r="V77" i="75"/>
  <c r="V61" i="75"/>
  <c r="V57" i="75"/>
  <c r="V53" i="75"/>
  <c r="V105" i="75"/>
  <c r="V92" i="75"/>
  <c r="V88" i="75"/>
  <c r="V76" i="75"/>
  <c r="V68" i="75"/>
  <c r="V52" i="75"/>
  <c r="V48" i="75"/>
  <c r="V44" i="75"/>
  <c r="V40" i="75"/>
  <c r="V36" i="75"/>
  <c r="V93" i="75"/>
  <c r="V87" i="75"/>
  <c r="V79" i="75"/>
  <c r="V67" i="75"/>
  <c r="V63" i="75"/>
  <c r="T50" i="75"/>
  <c r="V50" i="75" s="1"/>
  <c r="Z77" i="75"/>
  <c r="F72" i="75"/>
  <c r="F83" i="75"/>
  <c r="F84" i="75"/>
  <c r="F93" i="77"/>
  <c r="F88" i="77"/>
  <c r="F87" i="77"/>
  <c r="F68" i="77"/>
  <c r="L12" i="77"/>
  <c r="N12" i="77" s="1"/>
  <c r="F97" i="77"/>
  <c r="F92" i="77"/>
  <c r="F79" i="77"/>
  <c r="F78" i="77"/>
  <c r="F63" i="77"/>
  <c r="F59" i="77"/>
  <c r="F91" i="77"/>
  <c r="F50" i="77"/>
  <c r="F46" i="77"/>
  <c r="F42" i="77"/>
  <c r="F38" i="77"/>
  <c r="F37" i="77"/>
  <c r="F90" i="77"/>
  <c r="F81" i="77"/>
  <c r="F80" i="77"/>
  <c r="F69" i="77"/>
  <c r="F64" i="77"/>
  <c r="F60" i="77"/>
  <c r="F56" i="77"/>
  <c r="F55" i="77"/>
  <c r="F83" i="77"/>
  <c r="F82" i="77"/>
  <c r="F71" i="77"/>
  <c r="F70" i="77"/>
  <c r="F54" i="77"/>
  <c r="F47" i="77"/>
  <c r="F43" i="77"/>
  <c r="F39" i="77"/>
  <c r="F66" i="77"/>
  <c r="F65" i="77"/>
  <c r="D52" i="77"/>
  <c r="F52" i="77" s="1"/>
  <c r="F85" i="77"/>
  <c r="F84" i="77"/>
  <c r="F73" i="77"/>
  <c r="F72" i="77"/>
  <c r="F61" i="77"/>
  <c r="F57" i="77"/>
  <c r="F48" i="77"/>
  <c r="F44" i="77"/>
  <c r="F40" i="77"/>
  <c r="F75" i="77"/>
  <c r="F74" i="77"/>
  <c r="F67" i="77"/>
  <c r="F86" i="77"/>
  <c r="F62" i="77"/>
  <c r="F58" i="77"/>
  <c r="F41" i="77"/>
  <c r="F76" i="77"/>
  <c r="V21" i="73"/>
  <c r="V49" i="73"/>
  <c r="V65" i="73"/>
  <c r="J65" i="74"/>
  <c r="L13" i="75"/>
  <c r="N13" i="75" s="1"/>
  <c r="L17" i="75"/>
  <c r="N17" i="75" s="1"/>
  <c r="L21" i="75"/>
  <c r="N21" i="75" s="1"/>
  <c r="L25" i="75"/>
  <c r="N25" i="75" s="1"/>
  <c r="L29" i="75"/>
  <c r="F65" i="75"/>
  <c r="D12" i="76"/>
  <c r="X13" i="76"/>
  <c r="Z13" i="76" s="1"/>
  <c r="L21" i="76"/>
  <c r="N21" i="76" s="1"/>
  <c r="Z31" i="77"/>
  <c r="X31" i="77"/>
  <c r="N54" i="77"/>
  <c r="R49" i="79"/>
  <c r="V30" i="73"/>
  <c r="V34" i="73"/>
  <c r="V50" i="73"/>
  <c r="V58" i="73"/>
  <c r="V70" i="73"/>
  <c r="J38" i="74"/>
  <c r="J42" i="74"/>
  <c r="J46" i="74"/>
  <c r="H51" i="74"/>
  <c r="J74" i="74"/>
  <c r="F94" i="75"/>
  <c r="F93" i="75"/>
  <c r="F101" i="75"/>
  <c r="F38" i="75"/>
  <c r="F42" i="75"/>
  <c r="F46" i="75"/>
  <c r="F81" i="75"/>
  <c r="F82" i="75"/>
  <c r="F90" i="75"/>
  <c r="H12" i="76"/>
  <c r="N18" i="76"/>
  <c r="X66" i="76"/>
  <c r="P65" i="76"/>
  <c r="R65" i="76" s="1"/>
  <c r="F49" i="77"/>
  <c r="J68" i="77"/>
  <c r="J78" i="77"/>
  <c r="N87" i="77"/>
  <c r="L87" i="77"/>
  <c r="V20" i="73"/>
  <c r="V48" i="73"/>
  <c r="V64" i="73"/>
  <c r="V68" i="73"/>
  <c r="J54" i="74"/>
  <c r="J64" i="74"/>
  <c r="J72" i="74"/>
  <c r="D50" i="75"/>
  <c r="F64" i="75"/>
  <c r="F79" i="75"/>
  <c r="F80" i="75"/>
  <c r="L101" i="75"/>
  <c r="Z40" i="76"/>
  <c r="Z14" i="77"/>
  <c r="Z18" i="77"/>
  <c r="Z22" i="77"/>
  <c r="Z76" i="77"/>
  <c r="V29" i="73"/>
  <c r="V33" i="73"/>
  <c r="V45" i="73"/>
  <c r="V57" i="73"/>
  <c r="V69" i="73"/>
  <c r="J37" i="74"/>
  <c r="J41" i="74"/>
  <c r="J45" i="74"/>
  <c r="J49" i="74"/>
  <c r="J71" i="74"/>
  <c r="J83" i="74"/>
  <c r="F37" i="75"/>
  <c r="F41" i="75"/>
  <c r="F45" i="75"/>
  <c r="F50" i="75"/>
  <c r="F52" i="75"/>
  <c r="F68" i="75"/>
  <c r="F69" i="75"/>
  <c r="F88" i="75"/>
  <c r="F89" i="75"/>
  <c r="N101" i="75"/>
  <c r="X15" i="76"/>
  <c r="Z15" i="76" s="1"/>
  <c r="N20" i="76"/>
  <c r="H90" i="77"/>
  <c r="L93" i="77"/>
  <c r="N93" i="77" s="1"/>
  <c r="V38" i="73"/>
  <c r="V46" i="73"/>
  <c r="J58" i="74"/>
  <c r="J70" i="74"/>
  <c r="Z13" i="75"/>
  <c r="F53" i="75"/>
  <c r="F54" i="75"/>
  <c r="F58" i="75"/>
  <c r="F77" i="75"/>
  <c r="F78" i="75"/>
  <c r="N14" i="76"/>
  <c r="Z26" i="77"/>
  <c r="F45" i="77"/>
  <c r="F77" i="77"/>
  <c r="Z40" i="79"/>
  <c r="X40" i="79"/>
  <c r="R48" i="79"/>
  <c r="L16" i="73"/>
  <c r="N16" i="73" s="1"/>
  <c r="V43" i="73"/>
  <c r="V55" i="73"/>
  <c r="V63" i="73"/>
  <c r="V67" i="73"/>
  <c r="X16" i="74"/>
  <c r="Z16" i="74" s="1"/>
  <c r="X20" i="74"/>
  <c r="Z20" i="74" s="1"/>
  <c r="X24" i="74"/>
  <c r="X28" i="74"/>
  <c r="Z28" i="74" s="1"/>
  <c r="X32" i="74"/>
  <c r="Z32" i="74" s="1"/>
  <c r="J63" i="74"/>
  <c r="J79" i="74"/>
  <c r="F62" i="75"/>
  <c r="F63" i="75"/>
  <c r="F67" i="75"/>
  <c r="F86" i="75"/>
  <c r="F87" i="75"/>
  <c r="F98" i="75"/>
  <c r="P100" i="75"/>
  <c r="X100" i="75" s="1"/>
  <c r="Z100" i="75" s="1"/>
  <c r="L17" i="76"/>
  <c r="N17" i="76" s="1"/>
  <c r="N65" i="76"/>
  <c r="J97" i="77"/>
  <c r="J91" i="77"/>
  <c r="J79" i="77"/>
  <c r="J63" i="77"/>
  <c r="J59" i="77"/>
  <c r="J37" i="77"/>
  <c r="J80" i="77"/>
  <c r="J50" i="77"/>
  <c r="J46" i="77"/>
  <c r="J42" i="77"/>
  <c r="J38" i="77"/>
  <c r="J81" i="77"/>
  <c r="J69" i="77"/>
  <c r="J55" i="77"/>
  <c r="J82" i="77"/>
  <c r="J70" i="77"/>
  <c r="J64" i="77"/>
  <c r="J60" i="77"/>
  <c r="J56" i="77"/>
  <c r="J54" i="77"/>
  <c r="J52" i="77"/>
  <c r="J83" i="77"/>
  <c r="J71" i="77"/>
  <c r="J65" i="77"/>
  <c r="H52" i="77"/>
  <c r="J47" i="77"/>
  <c r="J43" i="77"/>
  <c r="J39" i="77"/>
  <c r="J84" i="77"/>
  <c r="J72" i="77"/>
  <c r="J66" i="77"/>
  <c r="J85" i="77"/>
  <c r="J73" i="77"/>
  <c r="J61" i="77"/>
  <c r="J57" i="77"/>
  <c r="J74" i="77"/>
  <c r="J48" i="77"/>
  <c r="J44" i="77"/>
  <c r="J40" i="77"/>
  <c r="J75" i="77"/>
  <c r="J67" i="77"/>
  <c r="J86" i="77"/>
  <c r="J76" i="77"/>
  <c r="J62" i="77"/>
  <c r="J58" i="77"/>
  <c r="J93" i="77"/>
  <c r="J87" i="77"/>
  <c r="J77" i="77"/>
  <c r="J49" i="77"/>
  <c r="J45" i="77"/>
  <c r="J41" i="77"/>
  <c r="N17" i="77"/>
  <c r="N21" i="77"/>
  <c r="X13" i="73"/>
  <c r="Z13" i="73" s="1"/>
  <c r="V28" i="73"/>
  <c r="V32" i="73"/>
  <c r="V44" i="73"/>
  <c r="V56" i="73"/>
  <c r="V78" i="73"/>
  <c r="J36" i="74"/>
  <c r="J40" i="74"/>
  <c r="J44" i="74"/>
  <c r="J48" i="74"/>
  <c r="J62" i="74"/>
  <c r="F36" i="75"/>
  <c r="F40" i="75"/>
  <c r="F44" i="75"/>
  <c r="F48" i="75"/>
  <c r="F75" i="75"/>
  <c r="F76" i="75"/>
  <c r="F92" i="75"/>
  <c r="N51" i="76"/>
  <c r="L60" i="76"/>
  <c r="N60" i="76" s="1"/>
  <c r="N25" i="77"/>
  <c r="N55" i="77"/>
  <c r="J88" i="77"/>
  <c r="L18" i="79"/>
  <c r="N18" i="79" s="1"/>
  <c r="T24" i="73"/>
  <c r="V37" i="73"/>
  <c r="V41" i="73"/>
  <c r="V53" i="73"/>
  <c r="V61" i="73"/>
  <c r="J35" i="74"/>
  <c r="J57" i="74"/>
  <c r="J61" i="74"/>
  <c r="J69" i="74"/>
  <c r="J77" i="74"/>
  <c r="F57" i="75"/>
  <c r="F61" i="75"/>
  <c r="F85" i="75"/>
  <c r="F97" i="75"/>
  <c r="F105" i="75"/>
  <c r="X17" i="76"/>
  <c r="Z17" i="76" s="1"/>
  <c r="L47" i="76"/>
  <c r="N47" i="76" s="1"/>
  <c r="X15" i="77"/>
  <c r="Z15" i="77" s="1"/>
  <c r="T12" i="77"/>
  <c r="X19" i="77"/>
  <c r="Z19" i="77" s="1"/>
  <c r="H12" i="79"/>
  <c r="L13" i="79"/>
  <c r="N13" i="79" s="1"/>
  <c r="L15" i="73"/>
  <c r="N15" i="73" s="1"/>
  <c r="V22" i="73"/>
  <c r="V24" i="73"/>
  <c r="V26" i="73"/>
  <c r="V42" i="73"/>
  <c r="V54" i="73"/>
  <c r="V62" i="73"/>
  <c r="V66" i="73"/>
  <c r="J68" i="74"/>
  <c r="J76" i="74"/>
  <c r="F66" i="75"/>
  <c r="F73" i="75"/>
  <c r="F74" i="75"/>
  <c r="N16" i="76"/>
  <c r="X53" i="76"/>
  <c r="Z53" i="76" s="1"/>
  <c r="X23" i="77"/>
  <c r="Z23" i="77" s="1"/>
  <c r="J92" i="77"/>
  <c r="R59" i="79"/>
  <c r="R57" i="79"/>
  <c r="R40" i="79"/>
  <c r="R39" i="79"/>
  <c r="R53" i="79"/>
  <c r="R34" i="79"/>
  <c r="R30" i="79"/>
  <c r="R54" i="79"/>
  <c r="R50" i="79"/>
  <c r="R42" i="79"/>
  <c r="R41" i="79"/>
  <c r="R21" i="79"/>
  <c r="R58" i="79"/>
  <c r="R51" i="79"/>
  <c r="X12" i="79"/>
  <c r="R44" i="79"/>
  <c r="R43" i="79"/>
  <c r="R36" i="79"/>
  <c r="R35" i="79"/>
  <c r="R31" i="79"/>
  <c r="R22" i="79"/>
  <c r="R60" i="79"/>
  <c r="R45" i="79"/>
  <c r="R37" i="79"/>
  <c r="R18" i="79"/>
  <c r="R55" i="79"/>
  <c r="R52" i="79"/>
  <c r="R32" i="79"/>
  <c r="R28" i="79"/>
  <c r="R23" i="79"/>
  <c r="R19" i="79"/>
  <c r="R65" i="79"/>
  <c r="R61" i="79"/>
  <c r="R47" i="79"/>
  <c r="R46" i="79"/>
  <c r="R38" i="79"/>
  <c r="R27" i="79"/>
  <c r="R25" i="79"/>
  <c r="R33" i="79"/>
  <c r="R29" i="79"/>
  <c r="P25" i="79"/>
  <c r="V27" i="73"/>
  <c r="V31" i="73"/>
  <c r="V35" i="73"/>
  <c r="V51" i="73"/>
  <c r="J39" i="74"/>
  <c r="J43" i="74"/>
  <c r="J47" i="74"/>
  <c r="J67" i="74"/>
  <c r="F34" i="75"/>
  <c r="F35" i="75"/>
  <c r="F39" i="75"/>
  <c r="F43" i="75"/>
  <c r="F47" i="75"/>
  <c r="F91" i="75"/>
  <c r="F96" i="75"/>
  <c r="N19" i="76"/>
  <c r="X27" i="77"/>
  <c r="Z27" i="77" s="1"/>
  <c r="N49" i="79"/>
  <c r="P12" i="77"/>
  <c r="V20" i="79"/>
  <c r="V40" i="79"/>
  <c r="V48" i="79"/>
  <c r="Z49" i="79"/>
  <c r="X61" i="79"/>
  <c r="F57" i="80"/>
  <c r="F29" i="80"/>
  <c r="F25" i="80"/>
  <c r="F35" i="80"/>
  <c r="F58" i="80"/>
  <c r="F46" i="80"/>
  <c r="F45" i="80"/>
  <c r="F30" i="80"/>
  <c r="F26" i="80"/>
  <c r="F66" i="80"/>
  <c r="F53" i="80"/>
  <c r="F17" i="80"/>
  <c r="F16" i="80"/>
  <c r="F59" i="80"/>
  <c r="F47" i="80"/>
  <c r="F27" i="80"/>
  <c r="F54" i="80"/>
  <c r="F38" i="80"/>
  <c r="F37" i="80"/>
  <c r="F18" i="80"/>
  <c r="F60" i="80"/>
  <c r="F56" i="80"/>
  <c r="F55" i="80"/>
  <c r="F48" i="80"/>
  <c r="F40" i="80"/>
  <c r="F39" i="80"/>
  <c r="F28" i="80"/>
  <c r="F24" i="80"/>
  <c r="F23" i="80"/>
  <c r="F22" i="80"/>
  <c r="F62" i="80"/>
  <c r="F61" i="80"/>
  <c r="F50" i="80"/>
  <c r="F49" i="80"/>
  <c r="F42" i="80"/>
  <c r="F41" i="80"/>
  <c r="F34" i="80"/>
  <c r="Z14" i="80"/>
  <c r="F64" i="80"/>
  <c r="N50" i="81"/>
  <c r="N45" i="84"/>
  <c r="N50" i="84"/>
  <c r="N21" i="85"/>
  <c r="D12" i="79"/>
  <c r="V29" i="79"/>
  <c r="V33" i="79"/>
  <c r="V49" i="79"/>
  <c r="H12" i="80"/>
  <c r="N13" i="80"/>
  <c r="N22" i="80"/>
  <c r="Z31" i="80"/>
  <c r="L55" i="80"/>
  <c r="N55" i="80" s="1"/>
  <c r="N16" i="81"/>
  <c r="Z32" i="81"/>
  <c r="N44" i="81"/>
  <c r="Z68" i="81"/>
  <c r="J25" i="83"/>
  <c r="J23" i="83"/>
  <c r="J21" i="83"/>
  <c r="H21" i="83"/>
  <c r="J27" i="83"/>
  <c r="J31" i="83"/>
  <c r="J17" i="83"/>
  <c r="J18" i="83"/>
  <c r="J19" i="83"/>
  <c r="J24" i="83"/>
  <c r="R61" i="84"/>
  <c r="R54" i="84"/>
  <c r="R53" i="84"/>
  <c r="R17" i="84"/>
  <c r="R73" i="84"/>
  <c r="R72" i="84"/>
  <c r="R68" i="84"/>
  <c r="R45" i="84"/>
  <c r="R44" i="84"/>
  <c r="R36" i="84"/>
  <c r="X12" i="84"/>
  <c r="R56" i="84"/>
  <c r="R55" i="84"/>
  <c r="R32" i="84"/>
  <c r="R31" i="84"/>
  <c r="R27" i="84"/>
  <c r="R75" i="84"/>
  <c r="R74" i="84"/>
  <c r="R62" i="84"/>
  <c r="R46" i="84"/>
  <c r="R23" i="84"/>
  <c r="R18" i="84"/>
  <c r="R69" i="84"/>
  <c r="R57" i="84"/>
  <c r="R37" i="84"/>
  <c r="R33" i="84"/>
  <c r="R22" i="84"/>
  <c r="R76" i="84"/>
  <c r="R28" i="84"/>
  <c r="R24" i="84"/>
  <c r="P20" i="84"/>
  <c r="R78" i="84"/>
  <c r="R64" i="84"/>
  <c r="R63" i="84"/>
  <c r="R48" i="84"/>
  <c r="R47" i="84"/>
  <c r="R70" i="84"/>
  <c r="R58" i="84"/>
  <c r="R39" i="84"/>
  <c r="R38" i="84"/>
  <c r="R34" i="84"/>
  <c r="R82" i="84"/>
  <c r="R41" i="84"/>
  <c r="R40" i="84"/>
  <c r="R71" i="84"/>
  <c r="R67" i="84"/>
  <c r="R60" i="84"/>
  <c r="R59" i="84"/>
  <c r="R52" i="84"/>
  <c r="R51" i="84"/>
  <c r="R35" i="84"/>
  <c r="R16" i="84"/>
  <c r="R43" i="84"/>
  <c r="R42" i="84"/>
  <c r="R30" i="84"/>
  <c r="R26" i="84"/>
  <c r="V16" i="84"/>
  <c r="N54" i="84"/>
  <c r="N73" i="84"/>
  <c r="F111" i="85"/>
  <c r="F110" i="85"/>
  <c r="F103" i="85"/>
  <c r="F87" i="85"/>
  <c r="F86" i="85"/>
  <c r="F75" i="85"/>
  <c r="F74" i="85"/>
  <c r="F67" i="85"/>
  <c r="F62" i="85"/>
  <c r="F58" i="85"/>
  <c r="F113" i="85"/>
  <c r="F104" i="85"/>
  <c r="F68" i="85"/>
  <c r="F117" i="85"/>
  <c r="F91" i="85"/>
  <c r="F90" i="85"/>
  <c r="F79" i="85"/>
  <c r="F78" i="85"/>
  <c r="F63" i="85"/>
  <c r="F59" i="85"/>
  <c r="F98" i="85"/>
  <c r="F105" i="85"/>
  <c r="F93" i="85"/>
  <c r="F92" i="85"/>
  <c r="F81" i="85"/>
  <c r="F80" i="85"/>
  <c r="F69" i="85"/>
  <c r="F100" i="85"/>
  <c r="F99" i="85"/>
  <c r="F64" i="85"/>
  <c r="F60" i="85"/>
  <c r="F102" i="85"/>
  <c r="F101" i="85"/>
  <c r="F94" i="85"/>
  <c r="F66" i="85"/>
  <c r="F65" i="85"/>
  <c r="F109" i="85"/>
  <c r="F108" i="85"/>
  <c r="F85" i="85"/>
  <c r="F84" i="85"/>
  <c r="F73" i="85"/>
  <c r="F72" i="85"/>
  <c r="F61" i="85"/>
  <c r="F57" i="85"/>
  <c r="F56" i="85"/>
  <c r="F96" i="85"/>
  <c r="F95" i="85"/>
  <c r="F50" i="85"/>
  <c r="F41" i="85"/>
  <c r="F37" i="85"/>
  <c r="F106" i="85"/>
  <c r="F45" i="85"/>
  <c r="L12" i="85"/>
  <c r="F97" i="85"/>
  <c r="F77" i="85"/>
  <c r="F55" i="85"/>
  <c r="F48" i="85"/>
  <c r="F71" i="85"/>
  <c r="F42" i="85"/>
  <c r="F38" i="85"/>
  <c r="F51" i="85"/>
  <c r="F88" i="85"/>
  <c r="F82" i="85"/>
  <c r="F46" i="85"/>
  <c r="F107" i="85"/>
  <c r="F49" i="85"/>
  <c r="F43" i="85"/>
  <c r="F39" i="85"/>
  <c r="F47" i="85"/>
  <c r="F44" i="85"/>
  <c r="F40" i="85"/>
  <c r="F36" i="85"/>
  <c r="F35" i="85"/>
  <c r="F89" i="85"/>
  <c r="F83" i="85"/>
  <c r="F70" i="85"/>
  <c r="D53" i="85"/>
  <c r="J36" i="85"/>
  <c r="T90" i="77"/>
  <c r="T25" i="79"/>
  <c r="V38" i="79"/>
  <c r="V46" i="79"/>
  <c r="N16" i="80"/>
  <c r="F70" i="80"/>
  <c r="F75" i="81"/>
  <c r="F53" i="81"/>
  <c r="F52" i="81"/>
  <c r="F41" i="81"/>
  <c r="F40" i="81"/>
  <c r="F29" i="81"/>
  <c r="F25" i="81"/>
  <c r="F64" i="81"/>
  <c r="F60" i="81"/>
  <c r="F59" i="81"/>
  <c r="F43" i="81"/>
  <c r="F42" i="81"/>
  <c r="F35" i="81"/>
  <c r="F54" i="81"/>
  <c r="F30" i="81"/>
  <c r="F26" i="81"/>
  <c r="F65" i="81"/>
  <c r="F61" i="81"/>
  <c r="F45" i="81"/>
  <c r="F44" i="81"/>
  <c r="F17" i="81"/>
  <c r="F16" i="81"/>
  <c r="F56" i="81"/>
  <c r="F55" i="81"/>
  <c r="F36" i="81"/>
  <c r="F67" i="81"/>
  <c r="F66" i="81"/>
  <c r="F47" i="81"/>
  <c r="F46" i="81"/>
  <c r="F31" i="81"/>
  <c r="F27" i="81"/>
  <c r="F62" i="81"/>
  <c r="F18" i="81"/>
  <c r="F28" i="81"/>
  <c r="F24" i="81"/>
  <c r="F23" i="81"/>
  <c r="F63" i="81"/>
  <c r="F51" i="81"/>
  <c r="F50" i="81"/>
  <c r="F39" i="81"/>
  <c r="F38" i="81"/>
  <c r="F22" i="81"/>
  <c r="F71" i="81"/>
  <c r="F58" i="81"/>
  <c r="F34" i="81"/>
  <c r="D20" i="81"/>
  <c r="P73" i="81"/>
  <c r="V72" i="84"/>
  <c r="V68" i="84"/>
  <c r="V56" i="84"/>
  <c r="V44" i="84"/>
  <c r="V36" i="84"/>
  <c r="V32" i="84"/>
  <c r="Z12" i="84"/>
  <c r="V75" i="84"/>
  <c r="V55" i="84"/>
  <c r="V31" i="84"/>
  <c r="V27" i="84"/>
  <c r="V23" i="84"/>
  <c r="V74" i="84"/>
  <c r="V62" i="84"/>
  <c r="V46" i="84"/>
  <c r="V22" i="84"/>
  <c r="V18" i="84"/>
  <c r="V69" i="84"/>
  <c r="V57" i="84"/>
  <c r="V37" i="84"/>
  <c r="V33" i="84"/>
  <c r="T20" i="84"/>
  <c r="V20" i="84" s="1"/>
  <c r="V78" i="84"/>
  <c r="V76" i="84"/>
  <c r="V64" i="84"/>
  <c r="V48" i="84"/>
  <c r="V28" i="84"/>
  <c r="V24" i="84"/>
  <c r="V63" i="84"/>
  <c r="V47" i="84"/>
  <c r="V39" i="84"/>
  <c r="V70" i="84"/>
  <c r="V66" i="84"/>
  <c r="V58" i="84"/>
  <c r="V50" i="84"/>
  <c r="V38" i="84"/>
  <c r="V34" i="84"/>
  <c r="V65" i="84"/>
  <c r="V49" i="84"/>
  <c r="V41" i="84"/>
  <c r="V29" i="84"/>
  <c r="V25" i="84"/>
  <c r="V71" i="84"/>
  <c r="V67" i="84"/>
  <c r="V59" i="84"/>
  <c r="V51" i="84"/>
  <c r="V43" i="84"/>
  <c r="V35" i="84"/>
  <c r="V54" i="84"/>
  <c r="V42" i="84"/>
  <c r="V30" i="84"/>
  <c r="V26" i="84"/>
  <c r="V73" i="84"/>
  <c r="V61" i="84"/>
  <c r="V53" i="84"/>
  <c r="V45" i="84"/>
  <c r="V17" i="84"/>
  <c r="J88" i="85"/>
  <c r="J76" i="85"/>
  <c r="J62" i="85"/>
  <c r="J58" i="85"/>
  <c r="J113" i="85"/>
  <c r="J97" i="85"/>
  <c r="J89" i="85"/>
  <c r="J77" i="85"/>
  <c r="J49" i="85"/>
  <c r="J117" i="85"/>
  <c r="J91" i="85"/>
  <c r="J79" i="85"/>
  <c r="J63" i="85"/>
  <c r="J59" i="85"/>
  <c r="J98" i="85"/>
  <c r="J92" i="85"/>
  <c r="J80" i="85"/>
  <c r="J105" i="85"/>
  <c r="J99" i="85"/>
  <c r="J93" i="85"/>
  <c r="J81" i="85"/>
  <c r="J69" i="85"/>
  <c r="J106" i="85"/>
  <c r="J100" i="85"/>
  <c r="J82" i="85"/>
  <c r="J70" i="85"/>
  <c r="J64" i="85"/>
  <c r="J60" i="85"/>
  <c r="J107" i="85"/>
  <c r="J101" i="85"/>
  <c r="J83" i="85"/>
  <c r="J71" i="85"/>
  <c r="J65" i="85"/>
  <c r="J51" i="85"/>
  <c r="J47" i="85"/>
  <c r="J109" i="85"/>
  <c r="J95" i="85"/>
  <c r="J85" i="85"/>
  <c r="J73" i="85"/>
  <c r="J61" i="85"/>
  <c r="J57" i="85"/>
  <c r="J55" i="85"/>
  <c r="J110" i="85"/>
  <c r="J96" i="85"/>
  <c r="J86" i="85"/>
  <c r="J74" i="85"/>
  <c r="J111" i="85"/>
  <c r="J103" i="85"/>
  <c r="J87" i="85"/>
  <c r="J75" i="85"/>
  <c r="J67" i="85"/>
  <c r="J108" i="85"/>
  <c r="J45" i="85"/>
  <c r="N12" i="85"/>
  <c r="J102" i="85"/>
  <c r="J48" i="85"/>
  <c r="J104" i="85"/>
  <c r="J42" i="85"/>
  <c r="J38" i="85"/>
  <c r="J90" i="85"/>
  <c r="J84" i="85"/>
  <c r="J56" i="85"/>
  <c r="J46" i="85"/>
  <c r="J43" i="85"/>
  <c r="J39" i="85"/>
  <c r="J94" i="85"/>
  <c r="J78" i="85"/>
  <c r="J35" i="85"/>
  <c r="H53" i="85"/>
  <c r="J53" i="85" s="1"/>
  <c r="J66" i="85"/>
  <c r="J68" i="85"/>
  <c r="J50" i="85"/>
  <c r="J41" i="85"/>
  <c r="J37" i="85"/>
  <c r="F76" i="85"/>
  <c r="V19" i="79"/>
  <c r="V23" i="79"/>
  <c r="V25" i="79"/>
  <c r="V27" i="79"/>
  <c r="V47" i="79"/>
  <c r="H57" i="79"/>
  <c r="L59" i="79"/>
  <c r="N59" i="79" s="1"/>
  <c r="V61" i="79"/>
  <c r="X45" i="80"/>
  <c r="Z45" i="80" s="1"/>
  <c r="N49" i="80"/>
  <c r="F51" i="80"/>
  <c r="J64" i="81"/>
  <c r="J60" i="81"/>
  <c r="J42" i="81"/>
  <c r="J43" i="81"/>
  <c r="J35" i="81"/>
  <c r="J54" i="81"/>
  <c r="J44" i="81"/>
  <c r="J30" i="81"/>
  <c r="J26" i="81"/>
  <c r="J16" i="81"/>
  <c r="J65" i="81"/>
  <c r="J61" i="81"/>
  <c r="J55" i="81"/>
  <c r="J45" i="81"/>
  <c r="J17" i="81"/>
  <c r="J66" i="81"/>
  <c r="J56" i="81"/>
  <c r="J46" i="81"/>
  <c r="J36" i="81"/>
  <c r="N12" i="81"/>
  <c r="J67" i="81"/>
  <c r="J47" i="81"/>
  <c r="J31" i="81"/>
  <c r="J27" i="81"/>
  <c r="J68" i="81"/>
  <c r="J62" i="81"/>
  <c r="J48" i="81"/>
  <c r="J32" i="81"/>
  <c r="J18" i="81"/>
  <c r="J69" i="81"/>
  <c r="J57" i="81"/>
  <c r="J49" i="81"/>
  <c r="J37" i="81"/>
  <c r="J33" i="81"/>
  <c r="J23" i="81"/>
  <c r="J71" i="81"/>
  <c r="J63" i="81"/>
  <c r="J51" i="81"/>
  <c r="J39" i="81"/>
  <c r="H20" i="81"/>
  <c r="J58" i="81"/>
  <c r="J52" i="81"/>
  <c r="J40" i="81"/>
  <c r="J34" i="81"/>
  <c r="J75" i="81"/>
  <c r="J59" i="81"/>
  <c r="J53" i="81"/>
  <c r="J41" i="81"/>
  <c r="J29" i="81"/>
  <c r="J25" i="81"/>
  <c r="Z16" i="81"/>
  <c r="J24" i="81"/>
  <c r="F33" i="81"/>
  <c r="Z44" i="81"/>
  <c r="Z48" i="81"/>
  <c r="F69" i="81"/>
  <c r="N15" i="83"/>
  <c r="F32" i="84"/>
  <c r="Z56" i="84"/>
  <c r="T12" i="80"/>
  <c r="X13" i="80"/>
  <c r="Z22" i="80"/>
  <c r="R31" i="83"/>
  <c r="R17" i="83"/>
  <c r="X12" i="83"/>
  <c r="Z12" i="83" s="1"/>
  <c r="R18" i="83"/>
  <c r="R24" i="83"/>
  <c r="R19" i="83"/>
  <c r="R25" i="83"/>
  <c r="P21" i="83"/>
  <c r="R27" i="83"/>
  <c r="V82" i="84"/>
  <c r="J72" i="85"/>
  <c r="T65" i="76"/>
  <c r="X35" i="77"/>
  <c r="V37" i="79"/>
  <c r="Z60" i="79"/>
  <c r="Z13" i="80"/>
  <c r="J22" i="81"/>
  <c r="J38" i="81"/>
  <c r="F49" i="81"/>
  <c r="R53" i="81"/>
  <c r="R75" i="81"/>
  <c r="F37" i="84"/>
  <c r="F57" i="84"/>
  <c r="L72" i="77"/>
  <c r="N72" i="77" s="1"/>
  <c r="X78" i="77"/>
  <c r="Z78" i="77" s="1"/>
  <c r="L84" i="77"/>
  <c r="N84" i="77" s="1"/>
  <c r="X92" i="77"/>
  <c r="V65" i="79"/>
  <c r="V55" i="79"/>
  <c r="V52" i="79"/>
  <c r="V18" i="79"/>
  <c r="V22" i="79"/>
  <c r="D57" i="79"/>
  <c r="L57" i="79" s="1"/>
  <c r="V59" i="79"/>
  <c r="V60" i="79"/>
  <c r="Z16" i="80"/>
  <c r="F44" i="80"/>
  <c r="T12" i="81"/>
  <c r="X13" i="81"/>
  <c r="Z13" i="81" s="1"/>
  <c r="R24" i="81"/>
  <c r="X14" i="84"/>
  <c r="R25" i="84"/>
  <c r="R66" i="84"/>
  <c r="F69" i="84"/>
  <c r="L22" i="85"/>
  <c r="N22" i="85" s="1"/>
  <c r="X16" i="79"/>
  <c r="Z16" i="79" s="1"/>
  <c r="V31" i="79"/>
  <c r="V35" i="79"/>
  <c r="V43" i="79"/>
  <c r="X59" i="79"/>
  <c r="Z59" i="79" s="1"/>
  <c r="D20" i="80"/>
  <c r="Z22" i="81"/>
  <c r="Z14" i="84"/>
  <c r="L23" i="84"/>
  <c r="N23" i="84" s="1"/>
  <c r="X41" i="84"/>
  <c r="Z41" i="84" s="1"/>
  <c r="R49" i="84"/>
  <c r="L18" i="85"/>
  <c r="N18" i="85" s="1"/>
  <c r="L26" i="85"/>
  <c r="L30" i="85"/>
  <c r="J40" i="85"/>
  <c r="N13" i="77"/>
  <c r="Z12" i="79"/>
  <c r="V36" i="79"/>
  <c r="V44" i="79"/>
  <c r="L12" i="80"/>
  <c r="N14" i="85"/>
  <c r="L14" i="85"/>
  <c r="V21" i="79"/>
  <c r="X36" i="79"/>
  <c r="Z36" i="79" s="1"/>
  <c r="V41" i="79"/>
  <c r="X44" i="79"/>
  <c r="Z44" i="79" s="1"/>
  <c r="V50" i="79"/>
  <c r="V51" i="79"/>
  <c r="Z54" i="79"/>
  <c r="V58" i="79"/>
  <c r="P12" i="80"/>
  <c r="F31" i="80"/>
  <c r="L23" i="81"/>
  <c r="N23" i="81" s="1"/>
  <c r="F32" i="81"/>
  <c r="F37" i="81"/>
  <c r="F68" i="81"/>
  <c r="F25" i="83"/>
  <c r="F24" i="83"/>
  <c r="F23" i="83"/>
  <c r="F21" i="83"/>
  <c r="D21" i="83"/>
  <c r="F27" i="83"/>
  <c r="F31" i="83"/>
  <c r="L12" i="83"/>
  <c r="N12" i="83" s="1"/>
  <c r="F19" i="83"/>
  <c r="Z18" i="85"/>
  <c r="L35" i="85"/>
  <c r="N35" i="85" s="1"/>
  <c r="V30" i="79"/>
  <c r="V34" i="79"/>
  <c r="V42" i="79"/>
  <c r="X51" i="79"/>
  <c r="Z51" i="79" s="1"/>
  <c r="V53" i="79"/>
  <c r="V54" i="79"/>
  <c r="T57" i="79"/>
  <c r="N41" i="80"/>
  <c r="F43" i="80"/>
  <c r="R66" i="81"/>
  <c r="R65" i="81"/>
  <c r="R61" i="81"/>
  <c r="R46" i="81"/>
  <c r="R45" i="81"/>
  <c r="R17" i="81"/>
  <c r="R56" i="81"/>
  <c r="R36" i="81"/>
  <c r="X12" i="81"/>
  <c r="R68" i="81"/>
  <c r="R67" i="81"/>
  <c r="R48" i="81"/>
  <c r="R47" i="81"/>
  <c r="R32" i="81"/>
  <c r="R31" i="81"/>
  <c r="R27" i="81"/>
  <c r="R62" i="81"/>
  <c r="R23" i="81"/>
  <c r="R18" i="81"/>
  <c r="R69" i="81"/>
  <c r="R57" i="81"/>
  <c r="R50" i="81"/>
  <c r="R49" i="81"/>
  <c r="R38" i="81"/>
  <c r="R37" i="81"/>
  <c r="R33" i="81"/>
  <c r="R22" i="81"/>
  <c r="R20" i="81"/>
  <c r="R71" i="81"/>
  <c r="R28" i="81"/>
  <c r="R63" i="81"/>
  <c r="R52" i="81"/>
  <c r="R51" i="81"/>
  <c r="R40" i="81"/>
  <c r="R39" i="81"/>
  <c r="R59" i="81"/>
  <c r="R58" i="81"/>
  <c r="R34" i="81"/>
  <c r="R64" i="81"/>
  <c r="R60" i="81"/>
  <c r="R44" i="81"/>
  <c r="R43" i="81"/>
  <c r="R35" i="81"/>
  <c r="R16" i="81"/>
  <c r="R55" i="81"/>
  <c r="R54" i="81"/>
  <c r="R30" i="81"/>
  <c r="R26" i="81"/>
  <c r="R21" i="83"/>
  <c r="F78" i="84"/>
  <c r="F65" i="84"/>
  <c r="F64" i="84"/>
  <c r="F49" i="84"/>
  <c r="F48" i="84"/>
  <c r="F29" i="84"/>
  <c r="F25" i="84"/>
  <c r="F82" i="84"/>
  <c r="F40" i="84"/>
  <c r="F39" i="84"/>
  <c r="F71" i="84"/>
  <c r="F67" i="84"/>
  <c r="F66" i="84"/>
  <c r="F59" i="84"/>
  <c r="F51" i="84"/>
  <c r="F50" i="84"/>
  <c r="F35" i="84"/>
  <c r="F42" i="84"/>
  <c r="F41" i="84"/>
  <c r="F30" i="84"/>
  <c r="F26" i="84"/>
  <c r="F61" i="84"/>
  <c r="F60" i="84"/>
  <c r="F53" i="84"/>
  <c r="F52" i="84"/>
  <c r="F17" i="84"/>
  <c r="F16" i="84"/>
  <c r="F72" i="84"/>
  <c r="F68" i="84"/>
  <c r="F44" i="84"/>
  <c r="F43" i="84"/>
  <c r="F36" i="84"/>
  <c r="L12" i="84"/>
  <c r="N12" i="84" s="1"/>
  <c r="F55" i="84"/>
  <c r="F54" i="84"/>
  <c r="F31" i="84"/>
  <c r="F27" i="84"/>
  <c r="F74" i="84"/>
  <c r="F73" i="84"/>
  <c r="F62" i="84"/>
  <c r="F46" i="84"/>
  <c r="F45" i="84"/>
  <c r="F18" i="84"/>
  <c r="F76" i="84"/>
  <c r="F75" i="84"/>
  <c r="F28" i="84"/>
  <c r="F24" i="84"/>
  <c r="F23" i="84"/>
  <c r="F63" i="84"/>
  <c r="F47" i="84"/>
  <c r="F22" i="84"/>
  <c r="F70" i="84"/>
  <c r="F58" i="84"/>
  <c r="F38" i="84"/>
  <c r="F34" i="84"/>
  <c r="D20" i="84"/>
  <c r="F20" i="84" s="1"/>
  <c r="L75" i="84"/>
  <c r="N75" i="84" s="1"/>
  <c r="V30" i="86"/>
  <c r="V15" i="86"/>
  <c r="V21" i="86"/>
  <c r="V20" i="86"/>
  <c r="V18" i="86"/>
  <c r="V16" i="86"/>
  <c r="V22" i="86"/>
  <c r="V26" i="86"/>
  <c r="V24" i="86"/>
  <c r="T18" i="86"/>
  <c r="V23" i="86"/>
  <c r="N14" i="83"/>
  <c r="X15" i="83"/>
  <c r="Z15" i="83" s="1"/>
  <c r="J25" i="84"/>
  <c r="J29" i="84"/>
  <c r="J39" i="84"/>
  <c r="J49" i="84"/>
  <c r="X56" i="84"/>
  <c r="J65" i="84"/>
  <c r="P12" i="85"/>
  <c r="N22" i="88"/>
  <c r="J37" i="88"/>
  <c r="J34" i="84"/>
  <c r="J38" i="84"/>
  <c r="J48" i="84"/>
  <c r="J58" i="84"/>
  <c r="J64" i="84"/>
  <c r="J70" i="84"/>
  <c r="J78" i="84"/>
  <c r="T12" i="85"/>
  <c r="H12" i="86"/>
  <c r="N13" i="86"/>
  <c r="L13" i="86"/>
  <c r="X13" i="88"/>
  <c r="Z13" i="88" s="1"/>
  <c r="T12" i="88"/>
  <c r="H20" i="84"/>
  <c r="J47" i="84"/>
  <c r="J63" i="84"/>
  <c r="Z55" i="85"/>
  <c r="N72" i="85"/>
  <c r="Z22" i="88"/>
  <c r="J31" i="88"/>
  <c r="N52" i="88"/>
  <c r="J61" i="88"/>
  <c r="N63" i="88"/>
  <c r="N13" i="81"/>
  <c r="X14" i="81"/>
  <c r="Z14" i="81" s="1"/>
  <c r="T21" i="83"/>
  <c r="J23" i="84"/>
  <c r="J33" i="84"/>
  <c r="J37" i="84"/>
  <c r="J57" i="84"/>
  <c r="J69" i="84"/>
  <c r="J75" i="84"/>
  <c r="Z52" i="88"/>
  <c r="V19" i="83"/>
  <c r="V21" i="83"/>
  <c r="V23" i="83"/>
  <c r="J18" i="84"/>
  <c r="J32" i="84"/>
  <c r="J46" i="84"/>
  <c r="J56" i="84"/>
  <c r="J62" i="84"/>
  <c r="J74" i="84"/>
  <c r="L101" i="85"/>
  <c r="L20" i="86"/>
  <c r="Z63" i="88"/>
  <c r="L42" i="89"/>
  <c r="F42" i="89"/>
  <c r="J55" i="84"/>
  <c r="J73" i="84"/>
  <c r="N101" i="85"/>
  <c r="N20" i="86"/>
  <c r="X13" i="84"/>
  <c r="J36" i="84"/>
  <c r="J44" i="84"/>
  <c r="J54" i="84"/>
  <c r="J68" i="84"/>
  <c r="J72" i="84"/>
  <c r="L13" i="85"/>
  <c r="L17" i="85"/>
  <c r="N17" i="85" s="1"/>
  <c r="Z76" i="85"/>
  <c r="N82" i="85"/>
  <c r="D70" i="89"/>
  <c r="X40" i="81"/>
  <c r="Z40" i="81" s="1"/>
  <c r="L46" i="81"/>
  <c r="X52" i="81"/>
  <c r="Z52" i="81" s="1"/>
  <c r="L66" i="81"/>
  <c r="N66" i="81" s="1"/>
  <c r="V18" i="83"/>
  <c r="Z13" i="84"/>
  <c r="J17" i="84"/>
  <c r="J43" i="84"/>
  <c r="J53" i="84"/>
  <c r="J61" i="84"/>
  <c r="N13" i="85"/>
  <c r="N99" i="85"/>
  <c r="Z101" i="85"/>
  <c r="Z20" i="86"/>
  <c r="X20" i="86"/>
  <c r="L26" i="86"/>
  <c r="F26" i="86"/>
  <c r="N46" i="88"/>
  <c r="J16" i="84"/>
  <c r="J26" i="84"/>
  <c r="J30" i="84"/>
  <c r="J42" i="84"/>
  <c r="J52" i="84"/>
  <c r="J60" i="84"/>
  <c r="Z56" i="85"/>
  <c r="N65" i="85"/>
  <c r="N16" i="88"/>
  <c r="D20" i="88"/>
  <c r="J67" i="84"/>
  <c r="J71" i="84"/>
  <c r="N55" i="85"/>
  <c r="X65" i="85"/>
  <c r="Z99" i="85"/>
  <c r="R24" i="86"/>
  <c r="X12" i="86"/>
  <c r="Z12" i="86" s="1"/>
  <c r="R26" i="86"/>
  <c r="R30" i="86"/>
  <c r="R15" i="86"/>
  <c r="R20" i="86"/>
  <c r="R23" i="86"/>
  <c r="R22" i="86"/>
  <c r="P18" i="86"/>
  <c r="F72" i="88"/>
  <c r="F78" i="88"/>
  <c r="F77" i="88"/>
  <c r="F80" i="88"/>
  <c r="F62" i="88"/>
  <c r="F30" i="88"/>
  <c r="F26" i="88"/>
  <c r="F76" i="88"/>
  <c r="F69" i="88"/>
  <c r="F45" i="88"/>
  <c r="F17" i="88"/>
  <c r="F16" i="88"/>
  <c r="F73" i="88"/>
  <c r="F64" i="88"/>
  <c r="F63" i="88"/>
  <c r="F56" i="88"/>
  <c r="F47" i="88"/>
  <c r="F46" i="88"/>
  <c r="F31" i="88"/>
  <c r="F27" i="88"/>
  <c r="F70" i="88"/>
  <c r="F66" i="88"/>
  <c r="F65" i="88"/>
  <c r="F58" i="88"/>
  <c r="F57" i="88"/>
  <c r="F38" i="88"/>
  <c r="F37" i="88"/>
  <c r="F18" i="88"/>
  <c r="F49" i="88"/>
  <c r="F48" i="88"/>
  <c r="F33" i="88"/>
  <c r="F32" i="88"/>
  <c r="F74" i="88"/>
  <c r="F60" i="88"/>
  <c r="F59" i="88"/>
  <c r="F40" i="88"/>
  <c r="F39" i="88"/>
  <c r="F28" i="88"/>
  <c r="F24" i="88"/>
  <c r="F23" i="88"/>
  <c r="F71" i="88"/>
  <c r="F67" i="88"/>
  <c r="F51" i="88"/>
  <c r="F50" i="88"/>
  <c r="F22" i="88"/>
  <c r="F20" i="88"/>
  <c r="F61" i="88"/>
  <c r="F53" i="88"/>
  <c r="F52" i="88"/>
  <c r="F29" i="88"/>
  <c r="F25" i="88"/>
  <c r="F75" i="88"/>
  <c r="F68" i="88"/>
  <c r="F44" i="88"/>
  <c r="F43" i="88"/>
  <c r="F84" i="88"/>
  <c r="F55" i="88"/>
  <c r="F54" i="88"/>
  <c r="F35" i="88"/>
  <c r="X16" i="88"/>
  <c r="R16" i="88"/>
  <c r="P20" i="88"/>
  <c r="Z46" i="88"/>
  <c r="V17" i="83"/>
  <c r="V31" i="83"/>
  <c r="J40" i="84"/>
  <c r="J50" i="84"/>
  <c r="J66" i="84"/>
  <c r="Z65" i="85"/>
  <c r="J73" i="88"/>
  <c r="J74" i="88"/>
  <c r="J76" i="88"/>
  <c r="J78" i="88"/>
  <c r="J84" i="88"/>
  <c r="J72" i="88"/>
  <c r="J69" i="88"/>
  <c r="J63" i="88"/>
  <c r="J45" i="88"/>
  <c r="J17" i="88"/>
  <c r="J64" i="88"/>
  <c r="J56" i="88"/>
  <c r="J46" i="88"/>
  <c r="J36" i="88"/>
  <c r="N12" i="88"/>
  <c r="J65" i="88"/>
  <c r="J57" i="88"/>
  <c r="J47" i="88"/>
  <c r="J70" i="88"/>
  <c r="J66" i="88"/>
  <c r="J58" i="88"/>
  <c r="J48" i="88"/>
  <c r="J38" i="88"/>
  <c r="J32" i="88"/>
  <c r="J18" i="88"/>
  <c r="J59" i="88"/>
  <c r="J49" i="88"/>
  <c r="J39" i="88"/>
  <c r="J33" i="88"/>
  <c r="J23" i="88"/>
  <c r="J60" i="88"/>
  <c r="J50" i="88"/>
  <c r="J40" i="88"/>
  <c r="J28" i="88"/>
  <c r="J24" i="88"/>
  <c r="J22" i="88"/>
  <c r="J71" i="88"/>
  <c r="J67" i="88"/>
  <c r="J51" i="88"/>
  <c r="J41" i="88"/>
  <c r="H20" i="88"/>
  <c r="J80" i="88"/>
  <c r="J77" i="88"/>
  <c r="J52" i="88"/>
  <c r="J42" i="88"/>
  <c r="J34" i="88"/>
  <c r="J68" i="88"/>
  <c r="J54" i="88"/>
  <c r="J44" i="88"/>
  <c r="J55" i="88"/>
  <c r="J35" i="88"/>
  <c r="J62" i="88"/>
  <c r="J30" i="88"/>
  <c r="J26" i="88"/>
  <c r="J16" i="88"/>
  <c r="Z16" i="88"/>
  <c r="L76" i="85"/>
  <c r="N76" i="85" s="1"/>
  <c r="X82" i="85"/>
  <c r="Z82" i="85" s="1"/>
  <c r="R27" i="88"/>
  <c r="R31" i="88"/>
  <c r="R32" i="88"/>
  <c r="R47" i="88"/>
  <c r="R48" i="88"/>
  <c r="R78" i="88"/>
  <c r="X12" i="88"/>
  <c r="R36" i="88"/>
  <c r="R37" i="88"/>
  <c r="R56" i="88"/>
  <c r="R57" i="88"/>
  <c r="R64" i="88"/>
  <c r="R65" i="88"/>
  <c r="R73" i="88"/>
  <c r="R63" i="89"/>
  <c r="R62" i="89"/>
  <c r="R58" i="89"/>
  <c r="R34" i="89"/>
  <c r="R42" i="89"/>
  <c r="R41" i="89"/>
  <c r="R29" i="89"/>
  <c r="R25" i="89"/>
  <c r="R65" i="89"/>
  <c r="R64" i="89"/>
  <c r="R52" i="89"/>
  <c r="R59" i="89"/>
  <c r="R44" i="89"/>
  <c r="R43" i="89"/>
  <c r="R35" i="89"/>
  <c r="R16" i="89"/>
  <c r="R66" i="89"/>
  <c r="R30" i="89"/>
  <c r="R26" i="89"/>
  <c r="R68" i="89"/>
  <c r="R54" i="89"/>
  <c r="R53" i="89"/>
  <c r="R46" i="89"/>
  <c r="R45" i="89"/>
  <c r="R17" i="89"/>
  <c r="R60" i="89"/>
  <c r="R36" i="89"/>
  <c r="X12" i="89"/>
  <c r="R61" i="89"/>
  <c r="R57" i="89"/>
  <c r="R50" i="89"/>
  <c r="R49" i="89"/>
  <c r="R38" i="89"/>
  <c r="R37" i="89"/>
  <c r="R33" i="89"/>
  <c r="R22" i="89"/>
  <c r="R28" i="89"/>
  <c r="R24" i="89"/>
  <c r="P20" i="89"/>
  <c r="R20" i="89" s="1"/>
  <c r="R51" i="89"/>
  <c r="R40" i="89"/>
  <c r="R39" i="89"/>
  <c r="N32" i="89"/>
  <c r="L44" i="89"/>
  <c r="R72" i="89"/>
  <c r="T89" i="92"/>
  <c r="R17" i="88"/>
  <c r="R45" i="88"/>
  <c r="R46" i="88"/>
  <c r="R69" i="88"/>
  <c r="L80" i="88"/>
  <c r="V65" i="89"/>
  <c r="V41" i="89"/>
  <c r="V29" i="89"/>
  <c r="V25" i="89"/>
  <c r="V64" i="89"/>
  <c r="V52" i="89"/>
  <c r="V44" i="89"/>
  <c r="V16" i="89"/>
  <c r="V59" i="89"/>
  <c r="V43" i="89"/>
  <c r="V35" i="89"/>
  <c r="V68" i="89"/>
  <c r="V66" i="89"/>
  <c r="V54" i="89"/>
  <c r="V46" i="89"/>
  <c r="V30" i="89"/>
  <c r="V26" i="89"/>
  <c r="V53" i="89"/>
  <c r="V45" i="89"/>
  <c r="V17" i="89"/>
  <c r="V60" i="89"/>
  <c r="V56" i="89"/>
  <c r="V48" i="89"/>
  <c r="V36" i="89"/>
  <c r="V32" i="89"/>
  <c r="Z12" i="89"/>
  <c r="V55" i="89"/>
  <c r="V47" i="89"/>
  <c r="V31" i="89"/>
  <c r="V27" i="89"/>
  <c r="V23" i="89"/>
  <c r="V40" i="89"/>
  <c r="V28" i="89"/>
  <c r="V24" i="89"/>
  <c r="V63" i="89"/>
  <c r="V51" i="89"/>
  <c r="V39" i="89"/>
  <c r="V62" i="89"/>
  <c r="V58" i="89"/>
  <c r="V42" i="89"/>
  <c r="V34" i="89"/>
  <c r="V37" i="89"/>
  <c r="N44" i="89"/>
  <c r="V72" i="89"/>
  <c r="R35" i="88"/>
  <c r="R55" i="88"/>
  <c r="N19" i="92"/>
  <c r="R44" i="88"/>
  <c r="R68" i="88"/>
  <c r="R75" i="88"/>
  <c r="N13" i="89"/>
  <c r="R23" i="89"/>
  <c r="N42" i="89"/>
  <c r="Z44" i="89"/>
  <c r="Z50" i="89"/>
  <c r="N52" i="92"/>
  <c r="X88" i="85"/>
  <c r="Z88" i="85" s="1"/>
  <c r="L13" i="88"/>
  <c r="R25" i="88"/>
  <c r="R29" i="88"/>
  <c r="R53" i="88"/>
  <c r="R54" i="88"/>
  <c r="R61" i="88"/>
  <c r="Z75" i="88"/>
  <c r="T20" i="89"/>
  <c r="Z23" i="89"/>
  <c r="N38" i="89"/>
  <c r="R48" i="89"/>
  <c r="V50" i="89"/>
  <c r="Z16" i="92"/>
  <c r="L12" i="86"/>
  <c r="D18" i="86"/>
  <c r="F23" i="86"/>
  <c r="F24" i="86"/>
  <c r="N13" i="88"/>
  <c r="R34" i="88"/>
  <c r="R42" i="88"/>
  <c r="R43" i="88"/>
  <c r="V20" i="89"/>
  <c r="R55" i="89"/>
  <c r="V57" i="89"/>
  <c r="X48" i="92"/>
  <c r="Z48" i="92" s="1"/>
  <c r="F18" i="86"/>
  <c r="F20" i="86"/>
  <c r="R51" i="88"/>
  <c r="R52" i="88"/>
  <c r="R67" i="88"/>
  <c r="R71" i="88"/>
  <c r="R74" i="88"/>
  <c r="V33" i="89"/>
  <c r="X38" i="89"/>
  <c r="Z38" i="89" s="1"/>
  <c r="L42" i="92"/>
  <c r="N42" i="92" s="1"/>
  <c r="R60" i="88"/>
  <c r="V38" i="89"/>
  <c r="R20" i="88"/>
  <c r="R22" i="88"/>
  <c r="R33" i="88"/>
  <c r="R49" i="88"/>
  <c r="Z46" i="92"/>
  <c r="X82" i="92"/>
  <c r="Z82" i="92" s="1"/>
  <c r="P81" i="92"/>
  <c r="X81" i="92" s="1"/>
  <c r="F15" i="86"/>
  <c r="R77" i="88"/>
  <c r="R76" i="88"/>
  <c r="R80" i="88"/>
  <c r="R84" i="88"/>
  <c r="R18" i="88"/>
  <c r="R23" i="88"/>
  <c r="R38" i="88"/>
  <c r="R39" i="88"/>
  <c r="R58" i="88"/>
  <c r="R59" i="88"/>
  <c r="R66" i="88"/>
  <c r="R70" i="88"/>
  <c r="Z22" i="89"/>
  <c r="R47" i="89"/>
  <c r="V49" i="89"/>
  <c r="V61" i="89"/>
  <c r="H12" i="89"/>
  <c r="F27" i="89"/>
  <c r="F31" i="89"/>
  <c r="F46" i="89"/>
  <c r="F47" i="89"/>
  <c r="F54" i="89"/>
  <c r="F55" i="89"/>
  <c r="F68" i="89"/>
  <c r="F70" i="89"/>
  <c r="N12" i="92"/>
  <c r="R14" i="92"/>
  <c r="R16" i="92"/>
  <c r="R18" i="92"/>
  <c r="V24" i="92"/>
  <c r="V28" i="92"/>
  <c r="J32" i="92"/>
  <c r="R33" i="92"/>
  <c r="F36" i="92"/>
  <c r="F37" i="92"/>
  <c r="J38" i="92"/>
  <c r="V40" i="92"/>
  <c r="F44" i="92"/>
  <c r="F45" i="92"/>
  <c r="J46" i="92"/>
  <c r="R49" i="92"/>
  <c r="R50" i="92"/>
  <c r="V52" i="92"/>
  <c r="V58" i="92"/>
  <c r="V22" i="94"/>
  <c r="F36" i="89"/>
  <c r="F60" i="89"/>
  <c r="R58" i="92"/>
  <c r="R59" i="92"/>
  <c r="R78" i="92"/>
  <c r="R77" i="92"/>
  <c r="R70" i="92"/>
  <c r="R69" i="92"/>
  <c r="R65" i="92"/>
  <c r="R85" i="92"/>
  <c r="R83" i="92"/>
  <c r="R60" i="92"/>
  <c r="R82" i="92"/>
  <c r="R79" i="92"/>
  <c r="R72" i="92"/>
  <c r="R71" i="92"/>
  <c r="R87" i="92"/>
  <c r="R74" i="92"/>
  <c r="R73" i="92"/>
  <c r="R62" i="92"/>
  <c r="R61" i="92"/>
  <c r="R57" i="92"/>
  <c r="R92" i="92"/>
  <c r="R89" i="92"/>
  <c r="R75" i="92"/>
  <c r="R67" i="92"/>
  <c r="R63" i="92"/>
  <c r="R19" i="92"/>
  <c r="F22" i="92"/>
  <c r="F26" i="92"/>
  <c r="V33" i="92"/>
  <c r="J37" i="92"/>
  <c r="J45" i="92"/>
  <c r="V49" i="92"/>
  <c r="F54" i="92"/>
  <c r="Z56" i="92"/>
  <c r="N74" i="92"/>
  <c r="R76" i="92"/>
  <c r="D81" i="92"/>
  <c r="L81" i="92" s="1"/>
  <c r="L82" i="92"/>
  <c r="N82" i="92" s="1"/>
  <c r="T74" i="93"/>
  <c r="F16" i="89"/>
  <c r="F17" i="89"/>
  <c r="F44" i="89"/>
  <c r="F45" i="89"/>
  <c r="F53" i="89"/>
  <c r="V76" i="92"/>
  <c r="V68" i="92"/>
  <c r="V64" i="92"/>
  <c r="V78" i="92"/>
  <c r="V70" i="92"/>
  <c r="V85" i="92"/>
  <c r="V83" i="92"/>
  <c r="V77" i="92"/>
  <c r="V69" i="92"/>
  <c r="V65" i="92"/>
  <c r="V82" i="92"/>
  <c r="V72" i="92"/>
  <c r="V60" i="92"/>
  <c r="V81" i="92"/>
  <c r="V79" i="92"/>
  <c r="V71" i="92"/>
  <c r="V74" i="92"/>
  <c r="V66" i="92"/>
  <c r="V62" i="92"/>
  <c r="V75" i="92"/>
  <c r="V14" i="92"/>
  <c r="V16" i="92"/>
  <c r="V18" i="92"/>
  <c r="J22" i="92"/>
  <c r="R23" i="92"/>
  <c r="J26" i="92"/>
  <c r="R27" i="92"/>
  <c r="F31" i="92"/>
  <c r="F35" i="92"/>
  <c r="J36" i="92"/>
  <c r="R39" i="92"/>
  <c r="F42" i="92"/>
  <c r="F43" i="92"/>
  <c r="J44" i="92"/>
  <c r="R47" i="92"/>
  <c r="R48" i="92"/>
  <c r="V50" i="92"/>
  <c r="J54" i="92"/>
  <c r="R55" i="92"/>
  <c r="V56" i="92"/>
  <c r="R68" i="92"/>
  <c r="X74" i="92"/>
  <c r="Z74" i="92" s="1"/>
  <c r="Z78" i="92"/>
  <c r="Z31" i="93"/>
  <c r="N48" i="93"/>
  <c r="F50" i="94"/>
  <c r="F51" i="94"/>
  <c r="F58" i="94"/>
  <c r="F53" i="94"/>
  <c r="F52" i="94"/>
  <c r="F45" i="94"/>
  <c r="F60" i="94"/>
  <c r="F59" i="94"/>
  <c r="F67" i="94"/>
  <c r="F62" i="94"/>
  <c r="F49" i="94"/>
  <c r="F48" i="94"/>
  <c r="F56" i="94"/>
  <c r="F31" i="94"/>
  <c r="F27" i="94"/>
  <c r="F18" i="94"/>
  <c r="F46" i="94"/>
  <c r="F37" i="94"/>
  <c r="F33" i="94"/>
  <c r="F32" i="94"/>
  <c r="F28" i="94"/>
  <c r="F24" i="94"/>
  <c r="F23" i="94"/>
  <c r="F47" i="94"/>
  <c r="F39" i="94"/>
  <c r="F38" i="94"/>
  <c r="F22" i="94"/>
  <c r="F55" i="94"/>
  <c r="F34" i="94"/>
  <c r="D20" i="94"/>
  <c r="F63" i="94"/>
  <c r="F41" i="94"/>
  <c r="F40" i="94"/>
  <c r="F29" i="94"/>
  <c r="F25" i="94"/>
  <c r="F57" i="94"/>
  <c r="F30" i="94"/>
  <c r="F26" i="94"/>
  <c r="F44" i="94"/>
  <c r="F17" i="94"/>
  <c r="F16" i="94"/>
  <c r="F54" i="94"/>
  <c r="F36" i="94"/>
  <c r="L12" i="94"/>
  <c r="F42" i="94"/>
  <c r="L16" i="89"/>
  <c r="N16" i="89" s="1"/>
  <c r="F52" i="89"/>
  <c r="F63" i="89"/>
  <c r="F64" i="89"/>
  <c r="D16" i="92"/>
  <c r="J21" i="92"/>
  <c r="R22" i="92"/>
  <c r="J25" i="92"/>
  <c r="R26" i="92"/>
  <c r="J41" i="92"/>
  <c r="V45" i="92"/>
  <c r="J53" i="92"/>
  <c r="R54" i="92"/>
  <c r="J75" i="92"/>
  <c r="J77" i="92"/>
  <c r="V87" i="92"/>
  <c r="Z21" i="93"/>
  <c r="Z14" i="94"/>
  <c r="F25" i="89"/>
  <c r="F29" i="89"/>
  <c r="F40" i="89"/>
  <c r="F41" i="89"/>
  <c r="V26" i="92"/>
  <c r="J30" i="92"/>
  <c r="R31" i="92"/>
  <c r="J34" i="92"/>
  <c r="R35" i="92"/>
  <c r="R36" i="92"/>
  <c r="V38" i="92"/>
  <c r="R43" i="92"/>
  <c r="R44" i="92"/>
  <c r="V46" i="92"/>
  <c r="F50" i="92"/>
  <c r="F51" i="92"/>
  <c r="J52" i="92"/>
  <c r="V54" i="92"/>
  <c r="V59" i="92"/>
  <c r="R64" i="92"/>
  <c r="J67" i="92"/>
  <c r="J69" i="92"/>
  <c r="N40" i="93"/>
  <c r="Z55" i="93"/>
  <c r="V63" i="94"/>
  <c r="V53" i="94"/>
  <c r="V45" i="94"/>
  <c r="V55" i="94"/>
  <c r="V47" i="94"/>
  <c r="V67" i="94"/>
  <c r="V49" i="94"/>
  <c r="V56" i="94"/>
  <c r="V52" i="94"/>
  <c r="V59" i="94"/>
  <c r="V51" i="94"/>
  <c r="V58" i="94"/>
  <c r="V54" i="94"/>
  <c r="V42" i="94"/>
  <c r="V34" i="94"/>
  <c r="V41" i="94"/>
  <c r="V29" i="94"/>
  <c r="V25" i="94"/>
  <c r="V60" i="94"/>
  <c r="V44" i="94"/>
  <c r="V16" i="94"/>
  <c r="V43" i="94"/>
  <c r="V35" i="94"/>
  <c r="V30" i="94"/>
  <c r="V26" i="94"/>
  <c r="V57" i="94"/>
  <c r="V48" i="94"/>
  <c r="V17" i="94"/>
  <c r="V36" i="94"/>
  <c r="V32" i="94"/>
  <c r="V50" i="94"/>
  <c r="V46" i="94"/>
  <c r="V31" i="94"/>
  <c r="V27" i="94"/>
  <c r="V23" i="94"/>
  <c r="V37" i="94"/>
  <c r="V33" i="94"/>
  <c r="T20" i="94"/>
  <c r="V40" i="94"/>
  <c r="V28" i="94"/>
  <c r="V24" i="94"/>
  <c r="V39" i="94"/>
  <c r="X23" i="94"/>
  <c r="Z23" i="94" s="1"/>
  <c r="F34" i="89"/>
  <c r="F58" i="89"/>
  <c r="F62" i="89"/>
  <c r="H16" i="92"/>
  <c r="F19" i="92"/>
  <c r="F20" i="92"/>
  <c r="F24" i="92"/>
  <c r="F28" i="92"/>
  <c r="J29" i="92"/>
  <c r="V31" i="92"/>
  <c r="V35" i="92"/>
  <c r="F40" i="92"/>
  <c r="V43" i="92"/>
  <c r="J51" i="92"/>
  <c r="V57" i="92"/>
  <c r="N62" i="92"/>
  <c r="Z46" i="93"/>
  <c r="L59" i="93"/>
  <c r="V20" i="94"/>
  <c r="V38" i="94"/>
  <c r="F20" i="89"/>
  <c r="F22" i="89"/>
  <c r="F38" i="89"/>
  <c r="F39" i="89"/>
  <c r="F50" i="89"/>
  <c r="F51" i="89"/>
  <c r="J14" i="92"/>
  <c r="J16" i="92"/>
  <c r="J18" i="92"/>
  <c r="J20" i="92"/>
  <c r="R21" i="92"/>
  <c r="J24" i="92"/>
  <c r="R25" i="92"/>
  <c r="J28" i="92"/>
  <c r="F33" i="92"/>
  <c r="V36" i="92"/>
  <c r="J40" i="92"/>
  <c r="R41" i="92"/>
  <c r="R42" i="92"/>
  <c r="V44" i="92"/>
  <c r="F48" i="92"/>
  <c r="F49" i="92"/>
  <c r="J50" i="92"/>
  <c r="R53" i="92"/>
  <c r="N56" i="92"/>
  <c r="V67" i="92"/>
  <c r="V73" i="92"/>
  <c r="V89" i="92"/>
  <c r="N59" i="93"/>
  <c r="F23" i="89"/>
  <c r="F24" i="89"/>
  <c r="F28" i="89"/>
  <c r="F85" i="92"/>
  <c r="F83" i="92"/>
  <c r="F66" i="92"/>
  <c r="F87" i="92"/>
  <c r="F82" i="92"/>
  <c r="F73" i="92"/>
  <c r="F72" i="92"/>
  <c r="F61" i="92"/>
  <c r="F57" i="92"/>
  <c r="F56" i="92"/>
  <c r="F75" i="92"/>
  <c r="F74" i="92"/>
  <c r="F67" i="92"/>
  <c r="F63" i="92"/>
  <c r="F62" i="92"/>
  <c r="F92" i="92"/>
  <c r="F89" i="92"/>
  <c r="F76" i="92"/>
  <c r="F68" i="92"/>
  <c r="F64" i="92"/>
  <c r="F77" i="92"/>
  <c r="F69" i="92"/>
  <c r="F65" i="92"/>
  <c r="F79" i="92"/>
  <c r="F78" i="92"/>
  <c r="F71" i="92"/>
  <c r="F70" i="92"/>
  <c r="J19" i="92"/>
  <c r="V25" i="92"/>
  <c r="R30" i="92"/>
  <c r="J33" i="92"/>
  <c r="R34" i="92"/>
  <c r="V41" i="92"/>
  <c r="J49" i="92"/>
  <c r="V53" i="92"/>
  <c r="J56" i="92"/>
  <c r="F60" i="92"/>
  <c r="Z62" i="92"/>
  <c r="N81" i="92"/>
  <c r="V92" i="92"/>
  <c r="J57" i="94"/>
  <c r="J51" i="94"/>
  <c r="J58" i="94"/>
  <c r="J52" i="94"/>
  <c r="J59" i="94"/>
  <c r="J53" i="94"/>
  <c r="J60" i="94"/>
  <c r="J54" i="94"/>
  <c r="J46" i="94"/>
  <c r="J63" i="94"/>
  <c r="J55" i="94"/>
  <c r="J47" i="94"/>
  <c r="J56" i="94"/>
  <c r="J50" i="94"/>
  <c r="J32" i="94"/>
  <c r="J18" i="94"/>
  <c r="J37" i="94"/>
  <c r="J33" i="94"/>
  <c r="J23" i="94"/>
  <c r="J38" i="94"/>
  <c r="J28" i="94"/>
  <c r="J24" i="94"/>
  <c r="J22" i="94"/>
  <c r="J49" i="94"/>
  <c r="J39" i="94"/>
  <c r="H20" i="94"/>
  <c r="J40" i="94"/>
  <c r="J34" i="94"/>
  <c r="J41" i="94"/>
  <c r="J29" i="94"/>
  <c r="J25" i="94"/>
  <c r="J42" i="94"/>
  <c r="J43" i="94"/>
  <c r="J35" i="94"/>
  <c r="J17" i="94"/>
  <c r="J62" i="94"/>
  <c r="J45" i="94"/>
  <c r="J36" i="94"/>
  <c r="N12" i="94"/>
  <c r="J67" i="94"/>
  <c r="J31" i="94"/>
  <c r="J27" i="94"/>
  <c r="N22" i="94"/>
  <c r="F43" i="94"/>
  <c r="J32" i="96"/>
  <c r="F32" i="89"/>
  <c r="F33" i="89"/>
  <c r="F37" i="89"/>
  <c r="F48" i="89"/>
  <c r="F49" i="89"/>
  <c r="F56" i="89"/>
  <c r="F57" i="89"/>
  <c r="F61" i="89"/>
  <c r="J87" i="92"/>
  <c r="J81" i="92"/>
  <c r="J73" i="92"/>
  <c r="J61" i="92"/>
  <c r="J57" i="92"/>
  <c r="J74" i="92"/>
  <c r="J62" i="92"/>
  <c r="J92" i="92"/>
  <c r="J89" i="92"/>
  <c r="J58" i="92"/>
  <c r="J76" i="92"/>
  <c r="J68" i="92"/>
  <c r="J64" i="92"/>
  <c r="J59" i="92"/>
  <c r="J78" i="92"/>
  <c r="J70" i="92"/>
  <c r="J60" i="92"/>
  <c r="J85" i="92"/>
  <c r="J83" i="92"/>
  <c r="J79" i="92"/>
  <c r="J71" i="92"/>
  <c r="J82" i="92"/>
  <c r="J72" i="92"/>
  <c r="J66" i="92"/>
  <c r="V34" i="92"/>
  <c r="F38" i="92"/>
  <c r="F39" i="92"/>
  <c r="V42" i="92"/>
  <c r="F46" i="92"/>
  <c r="F47" i="92"/>
  <c r="J48" i="92"/>
  <c r="R51" i="92"/>
  <c r="R52" i="92"/>
  <c r="F55" i="92"/>
  <c r="F58" i="92"/>
  <c r="R81" i="92"/>
  <c r="F18" i="89"/>
  <c r="L12" i="92"/>
  <c r="P16" i="92"/>
  <c r="R20" i="92"/>
  <c r="J23" i="92"/>
  <c r="R24" i="92"/>
  <c r="J27" i="92"/>
  <c r="R28" i="92"/>
  <c r="R29" i="92"/>
  <c r="F32" i="92"/>
  <c r="J39" i="92"/>
  <c r="R40" i="92"/>
  <c r="J47" i="92"/>
  <c r="V51" i="92"/>
  <c r="J55" i="92"/>
  <c r="J63" i="92"/>
  <c r="N78" i="92"/>
  <c r="Z81" i="92"/>
  <c r="H12" i="93"/>
  <c r="N14" i="93"/>
  <c r="P12" i="93"/>
  <c r="F26" i="93"/>
  <c r="F30" i="93"/>
  <c r="V33" i="93"/>
  <c r="V37" i="93"/>
  <c r="X40" i="93"/>
  <c r="Z40" i="93" s="1"/>
  <c r="V49" i="93"/>
  <c r="F53" i="93"/>
  <c r="F54" i="93"/>
  <c r="V57" i="93"/>
  <c r="V69" i="93"/>
  <c r="F76" i="93"/>
  <c r="P20" i="94"/>
  <c r="R20" i="94" s="1"/>
  <c r="N23" i="94"/>
  <c r="R24" i="94"/>
  <c r="R28" i="94"/>
  <c r="V57" i="95"/>
  <c r="X70" i="95"/>
  <c r="F35" i="93"/>
  <c r="V38" i="93"/>
  <c r="F42" i="93"/>
  <c r="F43" i="93"/>
  <c r="V50" i="93"/>
  <c r="V62" i="93"/>
  <c r="V66" i="93"/>
  <c r="F72" i="93"/>
  <c r="R22" i="94"/>
  <c r="R33" i="94"/>
  <c r="R37" i="94"/>
  <c r="R65" i="95"/>
  <c r="R61" i="95"/>
  <c r="R29" i="95"/>
  <c r="R25" i="95"/>
  <c r="R52" i="95"/>
  <c r="R41" i="95"/>
  <c r="R40" i="95"/>
  <c r="R77" i="95"/>
  <c r="R35" i="95"/>
  <c r="R16" i="95"/>
  <c r="R66" i="95"/>
  <c r="R62" i="95"/>
  <c r="R43" i="95"/>
  <c r="R42" i="95"/>
  <c r="R30" i="95"/>
  <c r="R26" i="95"/>
  <c r="R54" i="95"/>
  <c r="R53" i="95"/>
  <c r="R17" i="95"/>
  <c r="R45" i="95"/>
  <c r="R44" i="95"/>
  <c r="R36" i="95"/>
  <c r="X12" i="95"/>
  <c r="R68" i="95"/>
  <c r="R67" i="95"/>
  <c r="R63" i="95"/>
  <c r="R56" i="95"/>
  <c r="R55" i="95"/>
  <c r="R32" i="95"/>
  <c r="R31" i="95"/>
  <c r="R27" i="95"/>
  <c r="R64" i="95"/>
  <c r="R49" i="95"/>
  <c r="R48" i="95"/>
  <c r="R28" i="95"/>
  <c r="R24" i="95"/>
  <c r="P20" i="95"/>
  <c r="R71" i="95"/>
  <c r="R60" i="95"/>
  <c r="R59" i="95"/>
  <c r="R73" i="95"/>
  <c r="R51" i="95"/>
  <c r="R50" i="95"/>
  <c r="R39" i="95"/>
  <c r="R38" i="95"/>
  <c r="R34" i="95"/>
  <c r="X22" i="95"/>
  <c r="Z22" i="95" s="1"/>
  <c r="X49" i="95"/>
  <c r="R70" i="95"/>
  <c r="F64" i="96"/>
  <c r="F48" i="96"/>
  <c r="F47" i="96"/>
  <c r="F84" i="96"/>
  <c r="F75" i="96"/>
  <c r="F71" i="96"/>
  <c r="F59" i="96"/>
  <c r="F88" i="96"/>
  <c r="F50" i="96"/>
  <c r="F49" i="96"/>
  <c r="F65" i="96"/>
  <c r="F76" i="96"/>
  <c r="F72" i="96"/>
  <c r="F60" i="96"/>
  <c r="F52" i="96"/>
  <c r="F51" i="96"/>
  <c r="F78" i="96"/>
  <c r="F77" i="96"/>
  <c r="F66" i="96"/>
  <c r="F62" i="96"/>
  <c r="F61" i="96"/>
  <c r="F54" i="96"/>
  <c r="F53" i="96"/>
  <c r="F63" i="96"/>
  <c r="F82" i="96"/>
  <c r="F81" i="96"/>
  <c r="F74" i="96"/>
  <c r="F70" i="96"/>
  <c r="F69" i="96"/>
  <c r="F58" i="96"/>
  <c r="F57" i="96"/>
  <c r="F46" i="96"/>
  <c r="F34" i="96"/>
  <c r="D20" i="96"/>
  <c r="F20" i="96" s="1"/>
  <c r="F41" i="96"/>
  <c r="F40" i="96"/>
  <c r="F29" i="96"/>
  <c r="F25" i="96"/>
  <c r="F67" i="96"/>
  <c r="F56" i="96"/>
  <c r="F43" i="96"/>
  <c r="F42" i="96"/>
  <c r="F35" i="96"/>
  <c r="F80" i="96"/>
  <c r="F73" i="96"/>
  <c r="F30" i="96"/>
  <c r="F26" i="96"/>
  <c r="F17" i="96"/>
  <c r="F16" i="96"/>
  <c r="F36" i="96"/>
  <c r="L12" i="96"/>
  <c r="F37" i="96"/>
  <c r="F33" i="96"/>
  <c r="F32" i="96"/>
  <c r="F79" i="96"/>
  <c r="F45" i="96"/>
  <c r="F28" i="96"/>
  <c r="F24" i="96"/>
  <c r="F23" i="96"/>
  <c r="F39" i="96"/>
  <c r="F38" i="96"/>
  <c r="F22" i="96"/>
  <c r="V23" i="93"/>
  <c r="V27" i="93"/>
  <c r="V47" i="93"/>
  <c r="F52" i="93"/>
  <c r="F59" i="93"/>
  <c r="F60" i="93"/>
  <c r="F64" i="93"/>
  <c r="V67" i="93"/>
  <c r="R59" i="94"/>
  <c r="R58" i="94"/>
  <c r="R63" i="94"/>
  <c r="R60" i="94"/>
  <c r="R62" i="94"/>
  <c r="R55" i="94"/>
  <c r="R48" i="94"/>
  <c r="R67" i="94"/>
  <c r="R49" i="94"/>
  <c r="R56" i="94"/>
  <c r="R57" i="94"/>
  <c r="R52" i="94"/>
  <c r="R51" i="94"/>
  <c r="R18" i="94"/>
  <c r="R23" i="94"/>
  <c r="R46" i="94"/>
  <c r="N48" i="94"/>
  <c r="R37" i="95"/>
  <c r="Z49" i="95"/>
  <c r="Z70" i="95"/>
  <c r="J75" i="96"/>
  <c r="J71" i="96"/>
  <c r="J59" i="96"/>
  <c r="J49" i="96"/>
  <c r="J88" i="96"/>
  <c r="J50" i="96"/>
  <c r="J65" i="96"/>
  <c r="J51" i="96"/>
  <c r="J76" i="96"/>
  <c r="J72" i="96"/>
  <c r="J60" i="96"/>
  <c r="J52" i="96"/>
  <c r="J77" i="96"/>
  <c r="J61" i="96"/>
  <c r="J53" i="96"/>
  <c r="J78" i="96"/>
  <c r="J66" i="96"/>
  <c r="J62" i="96"/>
  <c r="J54" i="96"/>
  <c r="J79" i="96"/>
  <c r="J73" i="96"/>
  <c r="J67" i="96"/>
  <c r="J55" i="96"/>
  <c r="J45" i="96"/>
  <c r="J82" i="96"/>
  <c r="J74" i="96"/>
  <c r="J70" i="96"/>
  <c r="J58" i="96"/>
  <c r="J46" i="96"/>
  <c r="J47" i="96"/>
  <c r="J84" i="96"/>
  <c r="J64" i="96"/>
  <c r="J63" i="96"/>
  <c r="J41" i="96"/>
  <c r="J29" i="96"/>
  <c r="J25" i="96"/>
  <c r="J56" i="96"/>
  <c r="J42" i="96"/>
  <c r="J43" i="96"/>
  <c r="J35" i="96"/>
  <c r="J80" i="96"/>
  <c r="J30" i="96"/>
  <c r="J26" i="96"/>
  <c r="J16" i="96"/>
  <c r="J17" i="96"/>
  <c r="J57" i="96"/>
  <c r="J44" i="96"/>
  <c r="J36" i="96"/>
  <c r="N12" i="96"/>
  <c r="J48" i="96"/>
  <c r="J31" i="96"/>
  <c r="J27" i="96"/>
  <c r="J38" i="96"/>
  <c r="J28" i="96"/>
  <c r="J24" i="96"/>
  <c r="J22" i="96"/>
  <c r="J39" i="96"/>
  <c r="H20" i="96"/>
  <c r="J69" i="96"/>
  <c r="J40" i="96"/>
  <c r="J34" i="96"/>
  <c r="L32" i="96"/>
  <c r="N32" i="96" s="1"/>
  <c r="V17" i="93"/>
  <c r="V19" i="93"/>
  <c r="V21" i="93"/>
  <c r="F34" i="93"/>
  <c r="V45" i="93"/>
  <c r="F58" i="93"/>
  <c r="V61" i="93"/>
  <c r="V65" i="93"/>
  <c r="F69" i="93"/>
  <c r="F70" i="93"/>
  <c r="L72" i="93"/>
  <c r="X12" i="94"/>
  <c r="Z12" i="94" s="1"/>
  <c r="L16" i="94"/>
  <c r="N16" i="94" s="1"/>
  <c r="R36" i="94"/>
  <c r="R45" i="94"/>
  <c r="J70" i="95"/>
  <c r="J64" i="95"/>
  <c r="J58" i="95"/>
  <c r="J48" i="95"/>
  <c r="J28" i="95"/>
  <c r="J24" i="95"/>
  <c r="J22" i="95"/>
  <c r="J71" i="95"/>
  <c r="J59" i="95"/>
  <c r="J49" i="95"/>
  <c r="H20" i="95"/>
  <c r="J60" i="95"/>
  <c r="J50" i="95"/>
  <c r="J38" i="95"/>
  <c r="J34" i="95"/>
  <c r="J73" i="95"/>
  <c r="J65" i="95"/>
  <c r="J61" i="95"/>
  <c r="J51" i="95"/>
  <c r="J39" i="95"/>
  <c r="J29" i="95"/>
  <c r="J25" i="95"/>
  <c r="J52" i="95"/>
  <c r="J40" i="95"/>
  <c r="J77" i="95"/>
  <c r="J41" i="95"/>
  <c r="J35" i="95"/>
  <c r="J66" i="95"/>
  <c r="J62" i="95"/>
  <c r="J42" i="95"/>
  <c r="J30" i="95"/>
  <c r="J26" i="95"/>
  <c r="J16" i="95"/>
  <c r="J67" i="95"/>
  <c r="J63" i="95"/>
  <c r="J55" i="95"/>
  <c r="J45" i="95"/>
  <c r="J31" i="95"/>
  <c r="J27" i="95"/>
  <c r="L12" i="95"/>
  <c r="N12" i="95" s="1"/>
  <c r="J68" i="95"/>
  <c r="J56" i="95"/>
  <c r="J46" i="95"/>
  <c r="J32" i="95"/>
  <c r="J18" i="95"/>
  <c r="J69" i="95"/>
  <c r="J57" i="95"/>
  <c r="J47" i="95"/>
  <c r="J37" i="95"/>
  <c r="J33" i="95"/>
  <c r="J23" i="95"/>
  <c r="Z32" i="95"/>
  <c r="V22" i="93"/>
  <c r="V26" i="93"/>
  <c r="V30" i="93"/>
  <c r="F38" i="93"/>
  <c r="F39" i="93"/>
  <c r="V46" i="93"/>
  <c r="F50" i="93"/>
  <c r="F51" i="93"/>
  <c r="V54" i="93"/>
  <c r="F63" i="93"/>
  <c r="V76" i="93"/>
  <c r="R17" i="94"/>
  <c r="Z48" i="94"/>
  <c r="N16" i="95"/>
  <c r="J44" i="95"/>
  <c r="J54" i="95"/>
  <c r="J37" i="96"/>
  <c r="Z40" i="96"/>
  <c r="F24" i="93"/>
  <c r="F28" i="93"/>
  <c r="V31" i="93"/>
  <c r="V35" i="93"/>
  <c r="V43" i="93"/>
  <c r="V55" i="93"/>
  <c r="F67" i="93"/>
  <c r="F68" i="93"/>
  <c r="L14" i="94"/>
  <c r="N14" i="94" s="1"/>
  <c r="R26" i="94"/>
  <c r="R30" i="94"/>
  <c r="N63" i="94"/>
  <c r="V52" i="95"/>
  <c r="V40" i="95"/>
  <c r="V16" i="95"/>
  <c r="V77" i="95"/>
  <c r="V43" i="95"/>
  <c r="V35" i="95"/>
  <c r="V66" i="95"/>
  <c r="V62" i="95"/>
  <c r="V54" i="95"/>
  <c r="V42" i="95"/>
  <c r="V30" i="95"/>
  <c r="V26" i="95"/>
  <c r="V53" i="95"/>
  <c r="V45" i="95"/>
  <c r="V17" i="95"/>
  <c r="V68" i="95"/>
  <c r="V56" i="95"/>
  <c r="V44" i="95"/>
  <c r="V36" i="95"/>
  <c r="V32" i="95"/>
  <c r="Z12" i="95"/>
  <c r="V67" i="95"/>
  <c r="V63" i="95"/>
  <c r="V55" i="95"/>
  <c r="V47" i="95"/>
  <c r="V31" i="95"/>
  <c r="V27" i="95"/>
  <c r="V23" i="95"/>
  <c r="V70" i="95"/>
  <c r="V58" i="95"/>
  <c r="V46" i="95"/>
  <c r="V22" i="95"/>
  <c r="V18" i="95"/>
  <c r="V73" i="95"/>
  <c r="V71" i="95"/>
  <c r="V59" i="95"/>
  <c r="V51" i="95"/>
  <c r="V39" i="95"/>
  <c r="V50" i="95"/>
  <c r="V38" i="95"/>
  <c r="V34" i="95"/>
  <c r="V65" i="95"/>
  <c r="V61" i="95"/>
  <c r="V41" i="95"/>
  <c r="V29" i="95"/>
  <c r="V25" i="95"/>
  <c r="R18" i="95"/>
  <c r="F18" i="96"/>
  <c r="Z22" i="96"/>
  <c r="N53" i="96"/>
  <c r="F68" i="96"/>
  <c r="V16" i="93"/>
  <c r="D19" i="93"/>
  <c r="F33" i="93"/>
  <c r="F37" i="93"/>
  <c r="V44" i="93"/>
  <c r="F48" i="93"/>
  <c r="F49" i="93"/>
  <c r="V52" i="93"/>
  <c r="F57" i="93"/>
  <c r="V60" i="93"/>
  <c r="V64" i="93"/>
  <c r="R16" i="94"/>
  <c r="R35" i="94"/>
  <c r="R43" i="94"/>
  <c r="R44" i="94"/>
  <c r="Z16" i="95"/>
  <c r="R33" i="95"/>
  <c r="J36" i="95"/>
  <c r="R46" i="95"/>
  <c r="P12" i="96"/>
  <c r="X13" i="96"/>
  <c r="Z13" i="96" s="1"/>
  <c r="N16" i="96"/>
  <c r="J18" i="96"/>
  <c r="J68" i="96"/>
  <c r="J31" i="99"/>
  <c r="J21" i="99"/>
  <c r="J22" i="99"/>
  <c r="J23" i="99"/>
  <c r="J25" i="99"/>
  <c r="J27" i="99"/>
  <c r="N12" i="99"/>
  <c r="J19" i="99"/>
  <c r="J29" i="99"/>
  <c r="J20" i="99"/>
  <c r="J18" i="99"/>
  <c r="J16" i="99"/>
  <c r="J14" i="99"/>
  <c r="H16" i="99"/>
  <c r="F19" i="93"/>
  <c r="F21" i="93"/>
  <c r="V25" i="93"/>
  <c r="V29" i="93"/>
  <c r="V41" i="93"/>
  <c r="V53" i="93"/>
  <c r="F62" i="93"/>
  <c r="F66" i="93"/>
  <c r="R53" i="94"/>
  <c r="T62" i="94"/>
  <c r="X62" i="94" s="1"/>
  <c r="D79" i="95"/>
  <c r="V28" i="95"/>
  <c r="V33" i="95"/>
  <c r="V48" i="95"/>
  <c r="R58" i="95"/>
  <c r="V79" i="96"/>
  <c r="V67" i="96"/>
  <c r="V55" i="96"/>
  <c r="V78" i="96"/>
  <c r="V66" i="96"/>
  <c r="V62" i="96"/>
  <c r="V54" i="96"/>
  <c r="V81" i="96"/>
  <c r="V73" i="96"/>
  <c r="V69" i="96"/>
  <c r="V57" i="96"/>
  <c r="V45" i="96"/>
  <c r="V80" i="96"/>
  <c r="V68" i="96"/>
  <c r="V56" i="96"/>
  <c r="V63" i="96"/>
  <c r="V47" i="96"/>
  <c r="V84" i="96"/>
  <c r="V82" i="96"/>
  <c r="V74" i="96"/>
  <c r="V70" i="96"/>
  <c r="V58" i="96"/>
  <c r="V49" i="96"/>
  <c r="V88" i="96"/>
  <c r="V50" i="96"/>
  <c r="V77" i="96"/>
  <c r="V65" i="96"/>
  <c r="V61" i="96"/>
  <c r="V53" i="96"/>
  <c r="V76" i="96"/>
  <c r="V72" i="96"/>
  <c r="V60" i="96"/>
  <c r="V71" i="96"/>
  <c r="V52" i="96"/>
  <c r="V17" i="96"/>
  <c r="V44" i="96"/>
  <c r="V36" i="96"/>
  <c r="V32" i="96"/>
  <c r="V48" i="96"/>
  <c r="V31" i="96"/>
  <c r="V27" i="96"/>
  <c r="V23" i="96"/>
  <c r="V38" i="96"/>
  <c r="V22" i="96"/>
  <c r="V18" i="96"/>
  <c r="V64" i="96"/>
  <c r="V46" i="96"/>
  <c r="V37" i="96"/>
  <c r="V33" i="96"/>
  <c r="T20" i="96"/>
  <c r="V59" i="96"/>
  <c r="V51" i="96"/>
  <c r="V40" i="96"/>
  <c r="V28" i="96"/>
  <c r="V24" i="96"/>
  <c r="V75" i="96"/>
  <c r="V39" i="96"/>
  <c r="V16" i="96"/>
  <c r="V35" i="96"/>
  <c r="V43" i="96"/>
  <c r="V30" i="96"/>
  <c r="V26" i="96"/>
  <c r="J33" i="96"/>
  <c r="V41" i="96"/>
  <c r="L12" i="99"/>
  <c r="F22" i="93"/>
  <c r="F23" i="93"/>
  <c r="F27" i="93"/>
  <c r="V34" i="93"/>
  <c r="V42" i="93"/>
  <c r="F46" i="93"/>
  <c r="F47" i="93"/>
  <c r="V58" i="93"/>
  <c r="V70" i="93"/>
  <c r="V72" i="93"/>
  <c r="V74" i="93"/>
  <c r="R25" i="94"/>
  <c r="R29" i="94"/>
  <c r="R41" i="94"/>
  <c r="R42" i="94"/>
  <c r="J53" i="95"/>
  <c r="X58" i="95"/>
  <c r="Z58" i="95" s="1"/>
  <c r="F31" i="96"/>
  <c r="F44" i="96"/>
  <c r="L12" i="93"/>
  <c r="F31" i="93"/>
  <c r="F32" i="93"/>
  <c r="F36" i="93"/>
  <c r="V39" i="93"/>
  <c r="V51" i="93"/>
  <c r="F55" i="93"/>
  <c r="F56" i="93"/>
  <c r="V59" i="93"/>
  <c r="V63" i="93"/>
  <c r="N13" i="94"/>
  <c r="R34" i="94"/>
  <c r="R47" i="94"/>
  <c r="J17" i="95"/>
  <c r="T20" i="95"/>
  <c r="V20" i="95" s="1"/>
  <c r="J23" i="96"/>
  <c r="F16" i="93"/>
  <c r="F17" i="93"/>
  <c r="V24" i="93"/>
  <c r="V28" i="93"/>
  <c r="V40" i="93"/>
  <c r="F44" i="93"/>
  <c r="F45" i="93"/>
  <c r="F61" i="93"/>
  <c r="R39" i="94"/>
  <c r="R40" i="94"/>
  <c r="L62" i="94"/>
  <c r="N62" i="94" s="1"/>
  <c r="L43" i="95"/>
  <c r="N43" i="95" s="1"/>
  <c r="R57" i="95"/>
  <c r="J81" i="96"/>
  <c r="X63" i="94"/>
  <c r="Z63" i="94" s="1"/>
  <c r="N13" i="95"/>
  <c r="F18" i="95"/>
  <c r="L20" i="95"/>
  <c r="F45" i="95"/>
  <c r="F46" i="95"/>
  <c r="F43" i="98"/>
  <c r="X73" i="98"/>
  <c r="Z73" i="98" s="1"/>
  <c r="F27" i="95"/>
  <c r="F31" i="95"/>
  <c r="F54" i="95"/>
  <c r="F55" i="95"/>
  <c r="F63" i="95"/>
  <c r="F67" i="95"/>
  <c r="N22" i="98"/>
  <c r="J45" i="98"/>
  <c r="Z78" i="98"/>
  <c r="X40" i="100"/>
  <c r="Z54" i="102"/>
  <c r="F36" i="95"/>
  <c r="F43" i="95"/>
  <c r="F44" i="95"/>
  <c r="F79" i="95"/>
  <c r="N49" i="96"/>
  <c r="L55" i="96"/>
  <c r="N55" i="96" s="1"/>
  <c r="F17" i="98"/>
  <c r="N41" i="98"/>
  <c r="P27" i="99"/>
  <c r="Z40" i="100"/>
  <c r="F35" i="95"/>
  <c r="F77" i="95"/>
  <c r="N44" i="96"/>
  <c r="Z51" i="96"/>
  <c r="X53" i="96"/>
  <c r="Z53" i="96" s="1"/>
  <c r="N57" i="96"/>
  <c r="Z39" i="98"/>
  <c r="F44" i="98"/>
  <c r="F52" i="98"/>
  <c r="L59" i="98"/>
  <c r="F83" i="98"/>
  <c r="F39" i="95"/>
  <c r="F40" i="95"/>
  <c r="F51" i="95"/>
  <c r="F52" i="95"/>
  <c r="F73" i="95"/>
  <c r="F75" i="95"/>
  <c r="X49" i="96"/>
  <c r="Z49" i="96" s="1"/>
  <c r="Z55" i="96"/>
  <c r="N52" i="98"/>
  <c r="F25" i="95"/>
  <c r="F29" i="95"/>
  <c r="F60" i="95"/>
  <c r="F61" i="95"/>
  <c r="F65" i="95"/>
  <c r="F72" i="98"/>
  <c r="F68" i="98"/>
  <c r="F56" i="98"/>
  <c r="F55" i="98"/>
  <c r="F28" i="98"/>
  <c r="F24" i="98"/>
  <c r="F23" i="98"/>
  <c r="F47" i="98"/>
  <c r="F22" i="98"/>
  <c r="F74" i="98"/>
  <c r="F73" i="98"/>
  <c r="F62" i="98"/>
  <c r="F38" i="98"/>
  <c r="F34" i="98"/>
  <c r="D20" i="98"/>
  <c r="F20" i="98" s="1"/>
  <c r="F69" i="98"/>
  <c r="F57" i="98"/>
  <c r="F49" i="98"/>
  <c r="F48" i="98"/>
  <c r="F29" i="98"/>
  <c r="F25" i="98"/>
  <c r="F76" i="98"/>
  <c r="F75" i="98"/>
  <c r="F64" i="98"/>
  <c r="F63" i="98"/>
  <c r="F40" i="98"/>
  <c r="F39" i="98"/>
  <c r="F51" i="98"/>
  <c r="F50" i="98"/>
  <c r="F35" i="98"/>
  <c r="F79" i="98"/>
  <c r="F70" i="98"/>
  <c r="F66" i="98"/>
  <c r="F65" i="98"/>
  <c r="F58" i="98"/>
  <c r="F42" i="98"/>
  <c r="F41" i="98"/>
  <c r="F30" i="98"/>
  <c r="F26" i="98"/>
  <c r="F71" i="98"/>
  <c r="F67" i="98"/>
  <c r="F31" i="98"/>
  <c r="F27" i="98"/>
  <c r="F54" i="98"/>
  <c r="F46" i="98"/>
  <c r="F45" i="98"/>
  <c r="F18" i="98"/>
  <c r="F61" i="98"/>
  <c r="F37" i="98"/>
  <c r="F33" i="98"/>
  <c r="F32" i="98"/>
  <c r="Z48" i="98"/>
  <c r="X48" i="98"/>
  <c r="N59" i="98"/>
  <c r="F78" i="98"/>
  <c r="L16" i="99"/>
  <c r="D27" i="99"/>
  <c r="F34" i="95"/>
  <c r="F38" i="95"/>
  <c r="F49" i="95"/>
  <c r="F50" i="95"/>
  <c r="J73" i="98"/>
  <c r="J47" i="98"/>
  <c r="H20" i="98"/>
  <c r="J74" i="98"/>
  <c r="J62" i="98"/>
  <c r="J48" i="98"/>
  <c r="J38" i="98"/>
  <c r="J34" i="98"/>
  <c r="J75" i="98"/>
  <c r="J69" i="98"/>
  <c r="J63" i="98"/>
  <c r="J57" i="98"/>
  <c r="J49" i="98"/>
  <c r="J39" i="98"/>
  <c r="J29" i="98"/>
  <c r="J25" i="98"/>
  <c r="J76" i="98"/>
  <c r="J64" i="98"/>
  <c r="J50" i="98"/>
  <c r="J40" i="98"/>
  <c r="J79" i="98"/>
  <c r="J65" i="98"/>
  <c r="J51" i="98"/>
  <c r="J41" i="98"/>
  <c r="J35" i="98"/>
  <c r="J78" i="98"/>
  <c r="J70" i="98"/>
  <c r="J66" i="98"/>
  <c r="J58" i="98"/>
  <c r="J52" i="98"/>
  <c r="J42" i="98"/>
  <c r="J30" i="98"/>
  <c r="J26" i="98"/>
  <c r="J16" i="98"/>
  <c r="J83" i="98"/>
  <c r="J59" i="98"/>
  <c r="J53" i="98"/>
  <c r="J43" i="98"/>
  <c r="J17" i="98"/>
  <c r="J54" i="98"/>
  <c r="J46" i="98"/>
  <c r="J32" i="98"/>
  <c r="J18" i="98"/>
  <c r="J61" i="98"/>
  <c r="J55" i="98"/>
  <c r="J37" i="98"/>
  <c r="J33" i="98"/>
  <c r="J23" i="98"/>
  <c r="J72" i="98"/>
  <c r="J68" i="98"/>
  <c r="J56" i="98"/>
  <c r="J28" i="98"/>
  <c r="J24" i="98"/>
  <c r="J22" i="98"/>
  <c r="J20" i="98"/>
  <c r="F16" i="98"/>
  <c r="J31" i="98"/>
  <c r="F36" i="98"/>
  <c r="N78" i="98"/>
  <c r="Z22" i="101"/>
  <c r="P56" i="101"/>
  <c r="X57" i="101"/>
  <c r="F20" i="95"/>
  <c r="F22" i="95"/>
  <c r="X45" i="95"/>
  <c r="Z45" i="95" s="1"/>
  <c r="F58" i="95"/>
  <c r="F59" i="95"/>
  <c r="F70" i="95"/>
  <c r="F71" i="95"/>
  <c r="X38" i="96"/>
  <c r="Z38" i="96" s="1"/>
  <c r="N16" i="98"/>
  <c r="J36" i="98"/>
  <c r="J71" i="98"/>
  <c r="F23" i="95"/>
  <c r="F24" i="95"/>
  <c r="F28" i="95"/>
  <c r="F47" i="95"/>
  <c r="F48" i="95"/>
  <c r="F64" i="95"/>
  <c r="L67" i="96"/>
  <c r="N67" i="96" s="1"/>
  <c r="T12" i="98"/>
  <c r="P81" i="98"/>
  <c r="R81" i="98" s="1"/>
  <c r="Z23" i="98"/>
  <c r="F53" i="98"/>
  <c r="F32" i="95"/>
  <c r="F33" i="95"/>
  <c r="F37" i="95"/>
  <c r="F56" i="95"/>
  <c r="F57" i="95"/>
  <c r="F68" i="95"/>
  <c r="L47" i="96"/>
  <c r="N69" i="96"/>
  <c r="X13" i="98"/>
  <c r="Z13" i="98" s="1"/>
  <c r="R20" i="98"/>
  <c r="L43" i="98"/>
  <c r="N43" i="98" s="1"/>
  <c r="Z55" i="98"/>
  <c r="F60" i="98"/>
  <c r="N79" i="98"/>
  <c r="V40" i="100"/>
  <c r="V38" i="100"/>
  <c r="V29" i="100"/>
  <c r="V28" i="100"/>
  <c r="V50" i="100"/>
  <c r="V47" i="100"/>
  <c r="V45" i="100"/>
  <c r="V31" i="100"/>
  <c r="V19" i="100"/>
  <c r="V17" i="100"/>
  <c r="V15" i="100"/>
  <c r="V30" i="100"/>
  <c r="T17" i="100"/>
  <c r="V33" i="100"/>
  <c r="V25" i="100"/>
  <c r="V21" i="100"/>
  <c r="V32" i="100"/>
  <c r="V35" i="100"/>
  <c r="V37" i="100"/>
  <c r="V36" i="100"/>
  <c r="Z12" i="100"/>
  <c r="V26" i="100"/>
  <c r="V23" i="100"/>
  <c r="V20" i="100"/>
  <c r="V43" i="100"/>
  <c r="V34" i="100"/>
  <c r="V24" i="100"/>
  <c r="V14" i="100"/>
  <c r="L13" i="98"/>
  <c r="R25" i="98"/>
  <c r="R29" i="98"/>
  <c r="X43" i="98"/>
  <c r="Z43" i="98" s="1"/>
  <c r="R49" i="98"/>
  <c r="R50" i="98"/>
  <c r="R57" i="98"/>
  <c r="X59" i="98"/>
  <c r="Z59" i="98" s="1"/>
  <c r="R69" i="98"/>
  <c r="L73" i="98"/>
  <c r="N73" i="98" s="1"/>
  <c r="L41" i="100"/>
  <c r="D40" i="100"/>
  <c r="X40" i="101"/>
  <c r="Z40" i="101" s="1"/>
  <c r="V77" i="102"/>
  <c r="V81" i="102"/>
  <c r="V44" i="102"/>
  <c r="V36" i="102"/>
  <c r="V67" i="102"/>
  <c r="V63" i="102"/>
  <c r="V55" i="102"/>
  <c r="V43" i="102"/>
  <c r="V31" i="102"/>
  <c r="V27" i="102"/>
  <c r="V46" i="102"/>
  <c r="V18" i="102"/>
  <c r="V69" i="102"/>
  <c r="V57" i="102"/>
  <c r="V45" i="102"/>
  <c r="V37" i="102"/>
  <c r="V68" i="102"/>
  <c r="V64" i="102"/>
  <c r="V56" i="102"/>
  <c r="V48" i="102"/>
  <c r="V32" i="102"/>
  <c r="V28" i="102"/>
  <c r="V71" i="102"/>
  <c r="V59" i="102"/>
  <c r="V47" i="102"/>
  <c r="V19" i="102"/>
  <c r="V70" i="102"/>
  <c r="V58" i="102"/>
  <c r="V50" i="102"/>
  <c r="V38" i="102"/>
  <c r="V34" i="102"/>
  <c r="V73" i="102"/>
  <c r="V65" i="102"/>
  <c r="V49" i="102"/>
  <c r="V33" i="102"/>
  <c r="V29" i="102"/>
  <c r="V25" i="102"/>
  <c r="V51" i="102"/>
  <c r="V39" i="102"/>
  <c r="V35" i="102"/>
  <c r="T22" i="102"/>
  <c r="V74" i="102"/>
  <c r="V66" i="102"/>
  <c r="V62" i="102"/>
  <c r="V54" i="102"/>
  <c r="V42" i="102"/>
  <c r="V30" i="102"/>
  <c r="V26" i="102"/>
  <c r="N13" i="98"/>
  <c r="R34" i="98"/>
  <c r="R38" i="98"/>
  <c r="R39" i="98"/>
  <c r="R62" i="98"/>
  <c r="R63" i="98"/>
  <c r="R74" i="98"/>
  <c r="R75" i="98"/>
  <c r="R21" i="99"/>
  <c r="R22" i="99"/>
  <c r="X35" i="100"/>
  <c r="N41" i="100"/>
  <c r="T12" i="101"/>
  <c r="Z13" i="101"/>
  <c r="N22" i="101"/>
  <c r="Z36" i="101"/>
  <c r="J51" i="101"/>
  <c r="V24" i="102"/>
  <c r="Z40" i="102"/>
  <c r="J46" i="102"/>
  <c r="R47" i="98"/>
  <c r="R48" i="98"/>
  <c r="X79" i="98"/>
  <c r="Z79" i="98" s="1"/>
  <c r="L14" i="99"/>
  <c r="P47" i="100"/>
  <c r="Z35" i="100"/>
  <c r="J22" i="101"/>
  <c r="J35" i="101"/>
  <c r="V40" i="102"/>
  <c r="Z44" i="102"/>
  <c r="V60" i="102"/>
  <c r="V72" i="102"/>
  <c r="R18" i="98"/>
  <c r="R23" i="98"/>
  <c r="R46" i="98"/>
  <c r="R54" i="98"/>
  <c r="R55" i="98"/>
  <c r="J52" i="101"/>
  <c r="Z16" i="102"/>
  <c r="V20" i="102"/>
  <c r="V52" i="102"/>
  <c r="R27" i="98"/>
  <c r="R31" i="98"/>
  <c r="R32" i="98"/>
  <c r="R67" i="98"/>
  <c r="R71" i="98"/>
  <c r="T16" i="99"/>
  <c r="R19" i="99"/>
  <c r="R34" i="99"/>
  <c r="N27" i="101"/>
  <c r="Z45" i="101"/>
  <c r="Z14" i="102"/>
  <c r="D22" i="102"/>
  <c r="L18" i="102"/>
  <c r="V41" i="102"/>
  <c r="H48" i="103"/>
  <c r="N16" i="103"/>
  <c r="X12" i="98"/>
  <c r="R36" i="98"/>
  <c r="R44" i="98"/>
  <c r="R45" i="98"/>
  <c r="R60" i="98"/>
  <c r="V34" i="99"/>
  <c r="V31" i="99"/>
  <c r="V29" i="99"/>
  <c r="V14" i="99"/>
  <c r="V16" i="99"/>
  <c r="V18" i="99"/>
  <c r="F22" i="99"/>
  <c r="F23" i="99"/>
  <c r="N19" i="100"/>
  <c r="R61" i="101"/>
  <c r="R43" i="101"/>
  <c r="R32" i="101"/>
  <c r="R31" i="101"/>
  <c r="R16" i="101"/>
  <c r="R50" i="101"/>
  <c r="R27" i="101"/>
  <c r="R26" i="101"/>
  <c r="R34" i="101"/>
  <c r="R33" i="101"/>
  <c r="R17" i="101"/>
  <c r="R45" i="101"/>
  <c r="R44" i="101"/>
  <c r="R28" i="101"/>
  <c r="X12" i="101"/>
  <c r="R51" i="101"/>
  <c r="R36" i="101"/>
  <c r="R35" i="101"/>
  <c r="R47" i="101"/>
  <c r="R46" i="101"/>
  <c r="R23" i="101"/>
  <c r="R18" i="101"/>
  <c r="R38" i="101"/>
  <c r="R37" i="101"/>
  <c r="R29" i="101"/>
  <c r="R22" i="101"/>
  <c r="R40" i="101"/>
  <c r="R39" i="101"/>
  <c r="R57" i="101"/>
  <c r="R54" i="101"/>
  <c r="R30" i="101"/>
  <c r="N18" i="102"/>
  <c r="X22" i="102"/>
  <c r="Z25" i="102"/>
  <c r="V61" i="102"/>
  <c r="J71" i="102"/>
  <c r="D76" i="102"/>
  <c r="L77" i="102"/>
  <c r="R17" i="98"/>
  <c r="R53" i="98"/>
  <c r="R83" i="98"/>
  <c r="X12" i="99"/>
  <c r="V19" i="99"/>
  <c r="R27" i="99"/>
  <c r="F31" i="99"/>
  <c r="N23" i="101"/>
  <c r="R25" i="101"/>
  <c r="R52" i="101"/>
  <c r="J18" i="102"/>
  <c r="V22" i="102"/>
  <c r="R26" i="98"/>
  <c r="R30" i="98"/>
  <c r="R42" i="98"/>
  <c r="R43" i="98"/>
  <c r="R58" i="98"/>
  <c r="R59" i="98"/>
  <c r="R66" i="98"/>
  <c r="R70" i="98"/>
  <c r="Z12" i="99"/>
  <c r="F21" i="99"/>
  <c r="D20" i="101"/>
  <c r="L16" i="101"/>
  <c r="J81" i="102"/>
  <c r="J77" i="102"/>
  <c r="J72" i="102"/>
  <c r="J60" i="102"/>
  <c r="J50" i="102"/>
  <c r="J34" i="102"/>
  <c r="J20" i="102"/>
  <c r="J73" i="102"/>
  <c r="J51" i="102"/>
  <c r="J39" i="102"/>
  <c r="J35" i="102"/>
  <c r="J25" i="102"/>
  <c r="J74" i="102"/>
  <c r="J66" i="102"/>
  <c r="J52" i="102"/>
  <c r="J40" i="102"/>
  <c r="J30" i="102"/>
  <c r="J26" i="102"/>
  <c r="J24" i="102"/>
  <c r="J61" i="102"/>
  <c r="J53" i="102"/>
  <c r="J41" i="102"/>
  <c r="H22" i="102"/>
  <c r="J22" i="102" s="1"/>
  <c r="J62" i="102"/>
  <c r="J54" i="102"/>
  <c r="J42" i="102"/>
  <c r="J36" i="102"/>
  <c r="N12" i="102"/>
  <c r="J67" i="102"/>
  <c r="J63" i="102"/>
  <c r="J55" i="102"/>
  <c r="J43" i="102"/>
  <c r="J31" i="102"/>
  <c r="J27" i="102"/>
  <c r="L12" i="102"/>
  <c r="J44" i="102"/>
  <c r="J45" i="102"/>
  <c r="J37" i="102"/>
  <c r="J69" i="102"/>
  <c r="J57" i="102"/>
  <c r="J47" i="102"/>
  <c r="J19" i="102"/>
  <c r="J70" i="102"/>
  <c r="J58" i="102"/>
  <c r="J48" i="102"/>
  <c r="J38" i="102"/>
  <c r="V53" i="102"/>
  <c r="J59" i="102"/>
  <c r="X77" i="102"/>
  <c r="P76" i="102"/>
  <c r="P79" i="102" s="1"/>
  <c r="P48" i="103"/>
  <c r="R35" i="98"/>
  <c r="R51" i="98"/>
  <c r="R52" i="98"/>
  <c r="R78" i="98"/>
  <c r="R25" i="99"/>
  <c r="V27" i="99"/>
  <c r="J53" i="101"/>
  <c r="J39" i="101"/>
  <c r="H20" i="101"/>
  <c r="J54" i="101"/>
  <c r="J40" i="101"/>
  <c r="J30" i="101"/>
  <c r="J59" i="101"/>
  <c r="J57" i="101"/>
  <c r="J49" i="101"/>
  <c r="J41" i="101"/>
  <c r="J25" i="101"/>
  <c r="J56" i="101"/>
  <c r="J42" i="101"/>
  <c r="J61" i="101"/>
  <c r="J43" i="101"/>
  <c r="J31" i="101"/>
  <c r="J50" i="101"/>
  <c r="J32" i="101"/>
  <c r="J26" i="101"/>
  <c r="J16" i="101"/>
  <c r="J66" i="101"/>
  <c r="J63" i="101"/>
  <c r="J33" i="101"/>
  <c r="J27" i="101"/>
  <c r="J17" i="101"/>
  <c r="J44" i="101"/>
  <c r="J34" i="101"/>
  <c r="J28" i="101"/>
  <c r="N12" i="101"/>
  <c r="J46" i="101"/>
  <c r="J36" i="101"/>
  <c r="J18" i="101"/>
  <c r="J47" i="101"/>
  <c r="J37" i="101"/>
  <c r="J29" i="101"/>
  <c r="J23" i="101"/>
  <c r="N16" i="101"/>
  <c r="J20" i="101"/>
  <c r="J38" i="101"/>
  <c r="R48" i="101"/>
  <c r="J64" i="102"/>
  <c r="J68" i="102"/>
  <c r="R40" i="98"/>
  <c r="R41" i="98"/>
  <c r="R64" i="98"/>
  <c r="R65" i="98"/>
  <c r="R76" i="98"/>
  <c r="R79" i="98"/>
  <c r="F14" i="99"/>
  <c r="F16" i="99"/>
  <c r="F18" i="99"/>
  <c r="Z19" i="100"/>
  <c r="N29" i="100"/>
  <c r="P20" i="101"/>
  <c r="R56" i="101"/>
  <c r="X15" i="102"/>
  <c r="Z15" i="102" s="1"/>
  <c r="J29" i="102"/>
  <c r="N40" i="102"/>
  <c r="N42" i="102"/>
  <c r="L48" i="102"/>
  <c r="Z59" i="102"/>
  <c r="X73" i="102"/>
  <c r="Z73" i="102" s="1"/>
  <c r="H17" i="100"/>
  <c r="F20" i="100"/>
  <c r="F21" i="100"/>
  <c r="F25" i="100"/>
  <c r="J32" i="100"/>
  <c r="X41" i="100"/>
  <c r="N13" i="101"/>
  <c r="X14" i="101"/>
  <c r="Z14" i="101" s="1"/>
  <c r="F18" i="101"/>
  <c r="F45" i="101"/>
  <c r="F46" i="101"/>
  <c r="T56" i="101"/>
  <c r="Z56" i="101" s="1"/>
  <c r="F18" i="102"/>
  <c r="F19" i="102"/>
  <c r="R22" i="102"/>
  <c r="R24" i="102"/>
  <c r="R35" i="102"/>
  <c r="R39" i="102"/>
  <c r="R40" i="102"/>
  <c r="F46" i="102"/>
  <c r="F47" i="102"/>
  <c r="R51" i="102"/>
  <c r="R52" i="102"/>
  <c r="H76" i="102"/>
  <c r="N76" i="102" s="1"/>
  <c r="N77" i="102"/>
  <c r="D16" i="103"/>
  <c r="N36" i="103"/>
  <c r="N15" i="104"/>
  <c r="N24" i="104"/>
  <c r="R34" i="104"/>
  <c r="Z17" i="105"/>
  <c r="N23" i="105"/>
  <c r="J17" i="100"/>
  <c r="J19" i="100"/>
  <c r="J21" i="100"/>
  <c r="R22" i="100"/>
  <c r="J25" i="100"/>
  <c r="R26" i="100"/>
  <c r="F29" i="100"/>
  <c r="F30" i="100"/>
  <c r="J31" i="100"/>
  <c r="R34" i="100"/>
  <c r="R35" i="100"/>
  <c r="Z41" i="100"/>
  <c r="J47" i="100"/>
  <c r="J50" i="100"/>
  <c r="F34" i="101"/>
  <c r="F35" i="101"/>
  <c r="F51" i="101"/>
  <c r="R20" i="102"/>
  <c r="R25" i="102"/>
  <c r="F28" i="102"/>
  <c r="F32" i="102"/>
  <c r="F56" i="102"/>
  <c r="R60" i="102"/>
  <c r="F64" i="102"/>
  <c r="R72" i="102"/>
  <c r="R73" i="102"/>
  <c r="N32" i="103"/>
  <c r="L32" i="103"/>
  <c r="J83" i="104"/>
  <c r="J71" i="104"/>
  <c r="J61" i="104"/>
  <c r="J49" i="104"/>
  <c r="J35" i="104"/>
  <c r="H22" i="104"/>
  <c r="J72" i="104"/>
  <c r="J50" i="104"/>
  <c r="J40" i="104"/>
  <c r="J36" i="104"/>
  <c r="J73" i="104"/>
  <c r="J67" i="104"/>
  <c r="J51" i="104"/>
  <c r="J31" i="104"/>
  <c r="J27" i="104"/>
  <c r="L12" i="104"/>
  <c r="N12" i="104" s="1"/>
  <c r="J74" i="104"/>
  <c r="J62" i="104"/>
  <c r="J52" i="104"/>
  <c r="J75" i="104"/>
  <c r="J53" i="104"/>
  <c r="J41" i="104"/>
  <c r="J37" i="104"/>
  <c r="J76" i="104"/>
  <c r="J68" i="104"/>
  <c r="J54" i="104"/>
  <c r="J42" i="104"/>
  <c r="J32" i="104"/>
  <c r="J28" i="104"/>
  <c r="J18" i="104"/>
  <c r="J63" i="104"/>
  <c r="J55" i="104"/>
  <c r="J43" i="104"/>
  <c r="J19" i="104"/>
  <c r="J64" i="104"/>
  <c r="J56" i="104"/>
  <c r="J44" i="104"/>
  <c r="J38" i="104"/>
  <c r="J77" i="104"/>
  <c r="J69" i="104"/>
  <c r="J65" i="104"/>
  <c r="J58" i="104"/>
  <c r="J46" i="104"/>
  <c r="J20" i="104"/>
  <c r="J79" i="104"/>
  <c r="J59" i="104"/>
  <c r="J47" i="104"/>
  <c r="J39" i="104"/>
  <c r="J25" i="104"/>
  <c r="J70" i="104"/>
  <c r="J66" i="104"/>
  <c r="J60" i="104"/>
  <c r="J48" i="104"/>
  <c r="J34" i="104"/>
  <c r="J30" i="104"/>
  <c r="J26" i="104"/>
  <c r="J24" i="104"/>
  <c r="J22" i="104"/>
  <c r="X15" i="104"/>
  <c r="Z15" i="104" s="1"/>
  <c r="Z42" i="104"/>
  <c r="J45" i="104"/>
  <c r="L56" i="104"/>
  <c r="N56" i="104" s="1"/>
  <c r="Z60" i="104"/>
  <c r="J15" i="100"/>
  <c r="F24" i="100"/>
  <c r="F28" i="100"/>
  <c r="J29" i="100"/>
  <c r="R32" i="100"/>
  <c r="R33" i="100"/>
  <c r="H40" i="100"/>
  <c r="F41" i="100"/>
  <c r="F43" i="100"/>
  <c r="J45" i="100"/>
  <c r="F16" i="101"/>
  <c r="F17" i="101"/>
  <c r="F32" i="101"/>
  <c r="F33" i="101"/>
  <c r="F77" i="102"/>
  <c r="N13" i="102"/>
  <c r="R38" i="102"/>
  <c r="R58" i="102"/>
  <c r="R59" i="102"/>
  <c r="R70" i="102"/>
  <c r="R71" i="102"/>
  <c r="Z77" i="102"/>
  <c r="T76" i="102"/>
  <c r="Z76" i="102" s="1"/>
  <c r="N64" i="104"/>
  <c r="N75" i="104"/>
  <c r="J14" i="100"/>
  <c r="R21" i="100"/>
  <c r="J24" i="100"/>
  <c r="R25" i="100"/>
  <c r="J28" i="100"/>
  <c r="J40" i="100"/>
  <c r="F26" i="101"/>
  <c r="F50" i="101"/>
  <c r="D56" i="101"/>
  <c r="R19" i="102"/>
  <c r="F27" i="102"/>
  <c r="F31" i="102"/>
  <c r="F42" i="102"/>
  <c r="F43" i="102"/>
  <c r="R47" i="102"/>
  <c r="R48" i="102"/>
  <c r="F54" i="102"/>
  <c r="F55" i="102"/>
  <c r="F62" i="102"/>
  <c r="F63" i="102"/>
  <c r="F67" i="102"/>
  <c r="F76" i="102"/>
  <c r="R39" i="103"/>
  <c r="R38" i="103"/>
  <c r="R19" i="103"/>
  <c r="R30" i="103"/>
  <c r="R29" i="103"/>
  <c r="R18" i="103"/>
  <c r="R16" i="103"/>
  <c r="R14" i="103"/>
  <c r="R41" i="103"/>
  <c r="R40" i="103"/>
  <c r="R24" i="103"/>
  <c r="R20" i="103"/>
  <c r="R32" i="103"/>
  <c r="R31" i="103"/>
  <c r="R43" i="103"/>
  <c r="R42" i="103"/>
  <c r="R34" i="103"/>
  <c r="R33" i="103"/>
  <c r="R25" i="103"/>
  <c r="R21" i="103"/>
  <c r="R44" i="103"/>
  <c r="R48" i="103"/>
  <c r="R46" i="103"/>
  <c r="R36" i="103"/>
  <c r="R35" i="103"/>
  <c r="R37" i="103"/>
  <c r="R50" i="103"/>
  <c r="X12" i="103"/>
  <c r="R55" i="103"/>
  <c r="R52" i="103"/>
  <c r="R28" i="103"/>
  <c r="R27" i="103"/>
  <c r="R23" i="103"/>
  <c r="T16" i="103"/>
  <c r="X16" i="103" s="1"/>
  <c r="J33" i="104"/>
  <c r="R30" i="100"/>
  <c r="R31" i="100"/>
  <c r="F37" i="100"/>
  <c r="F38" i="100"/>
  <c r="J41" i="100"/>
  <c r="J43" i="100"/>
  <c r="R47" i="100"/>
  <c r="R50" i="100"/>
  <c r="F31" i="101"/>
  <c r="F42" i="101"/>
  <c r="F43" i="101"/>
  <c r="F56" i="101"/>
  <c r="F61" i="101"/>
  <c r="R28" i="102"/>
  <c r="R32" i="102"/>
  <c r="F36" i="102"/>
  <c r="R56" i="102"/>
  <c r="R57" i="102"/>
  <c r="R64" i="102"/>
  <c r="R68" i="102"/>
  <c r="R69" i="102"/>
  <c r="Z64" i="104"/>
  <c r="R20" i="100"/>
  <c r="F23" i="100"/>
  <c r="F27" i="100"/>
  <c r="J38" i="100"/>
  <c r="R45" i="100"/>
  <c r="H56" i="101"/>
  <c r="N56" i="101" s="1"/>
  <c r="F57" i="101"/>
  <c r="F59" i="101"/>
  <c r="X13" i="102"/>
  <c r="R18" i="102"/>
  <c r="F22" i="102"/>
  <c r="F24" i="102"/>
  <c r="R37" i="102"/>
  <c r="F40" i="102"/>
  <c r="F41" i="102"/>
  <c r="R45" i="102"/>
  <c r="F52" i="102"/>
  <c r="F53" i="102"/>
  <c r="F61" i="102"/>
  <c r="N14" i="104"/>
  <c r="R30" i="104"/>
  <c r="J57" i="104"/>
  <c r="N73" i="104"/>
  <c r="N24" i="105"/>
  <c r="L12" i="100"/>
  <c r="J23" i="100"/>
  <c r="R24" i="100"/>
  <c r="J27" i="100"/>
  <c r="R28" i="100"/>
  <c r="R29" i="100"/>
  <c r="F35" i="100"/>
  <c r="F36" i="100"/>
  <c r="J37" i="100"/>
  <c r="F25" i="101"/>
  <c r="F40" i="101"/>
  <c r="F41" i="101"/>
  <c r="X47" i="101"/>
  <c r="Z47" i="101" s="1"/>
  <c r="F49" i="101"/>
  <c r="R77" i="102"/>
  <c r="Z13" i="102"/>
  <c r="F25" i="102"/>
  <c r="F26" i="102"/>
  <c r="F30" i="102"/>
  <c r="F66" i="102"/>
  <c r="F73" i="102"/>
  <c r="F74" i="102"/>
  <c r="N18" i="103"/>
  <c r="Z35" i="104"/>
  <c r="Z54" i="104"/>
  <c r="J36" i="100"/>
  <c r="R40" i="100"/>
  <c r="F30" i="101"/>
  <c r="F53" i="101"/>
  <c r="F54" i="101"/>
  <c r="R27" i="102"/>
  <c r="R31" i="102"/>
  <c r="F34" i="102"/>
  <c r="F35" i="102"/>
  <c r="F39" i="102"/>
  <c r="R43" i="102"/>
  <c r="R44" i="102"/>
  <c r="F50" i="102"/>
  <c r="F51" i="102"/>
  <c r="R55" i="102"/>
  <c r="R63" i="102"/>
  <c r="R67" i="102"/>
  <c r="R76" i="102"/>
  <c r="R75" i="104"/>
  <c r="R74" i="104"/>
  <c r="R62" i="104"/>
  <c r="R54" i="104"/>
  <c r="R53" i="104"/>
  <c r="R42" i="104"/>
  <c r="R41" i="104"/>
  <c r="R37" i="104"/>
  <c r="R18" i="104"/>
  <c r="R76" i="104"/>
  <c r="R68" i="104"/>
  <c r="R32" i="104"/>
  <c r="R28" i="104"/>
  <c r="R64" i="104"/>
  <c r="R63" i="104"/>
  <c r="R56" i="104"/>
  <c r="R55" i="104"/>
  <c r="R44" i="104"/>
  <c r="R43" i="104"/>
  <c r="R19" i="104"/>
  <c r="R38" i="104"/>
  <c r="R77" i="104"/>
  <c r="R69" i="104"/>
  <c r="R65" i="104"/>
  <c r="R58" i="104"/>
  <c r="R57" i="104"/>
  <c r="R46" i="104"/>
  <c r="R45" i="104"/>
  <c r="R33" i="104"/>
  <c r="R29" i="104"/>
  <c r="R79" i="104"/>
  <c r="R25" i="104"/>
  <c r="R20" i="104"/>
  <c r="R60" i="104"/>
  <c r="R59" i="104"/>
  <c r="R48" i="104"/>
  <c r="R47" i="104"/>
  <c r="R39" i="104"/>
  <c r="R24" i="104"/>
  <c r="R71" i="104"/>
  <c r="R70" i="104"/>
  <c r="R66" i="104"/>
  <c r="R83" i="104"/>
  <c r="R61" i="104"/>
  <c r="R50" i="104"/>
  <c r="R49" i="104"/>
  <c r="R73" i="104"/>
  <c r="R72" i="104"/>
  <c r="R40" i="104"/>
  <c r="R36" i="104"/>
  <c r="R67" i="104"/>
  <c r="R52" i="104"/>
  <c r="R51" i="104"/>
  <c r="R31" i="104"/>
  <c r="R27" i="104"/>
  <c r="F22" i="100"/>
  <c r="F26" i="100"/>
  <c r="F33" i="100"/>
  <c r="J35" i="100"/>
  <c r="R38" i="100"/>
  <c r="R41" i="100"/>
  <c r="F20" i="101"/>
  <c r="F22" i="101"/>
  <c r="F38" i="101"/>
  <c r="F39" i="101"/>
  <c r="X12" i="102"/>
  <c r="Z12" i="102" s="1"/>
  <c r="F20" i="102"/>
  <c r="R36" i="102"/>
  <c r="F59" i="102"/>
  <c r="F60" i="102"/>
  <c r="F71" i="102"/>
  <c r="F72" i="102"/>
  <c r="F81" i="102"/>
  <c r="Z18" i="103"/>
  <c r="Z16" i="104"/>
  <c r="N44" i="104"/>
  <c r="J22" i="100"/>
  <c r="J26" i="100"/>
  <c r="F23" i="101"/>
  <c r="F24" i="101"/>
  <c r="F47" i="101"/>
  <c r="F48" i="101"/>
  <c r="F29" i="102"/>
  <c r="F33" i="102"/>
  <c r="R41" i="102"/>
  <c r="R42" i="102"/>
  <c r="F48" i="102"/>
  <c r="F49" i="102"/>
  <c r="R53" i="102"/>
  <c r="R54" i="102"/>
  <c r="R61" i="102"/>
  <c r="R62" i="102"/>
  <c r="F65" i="102"/>
  <c r="X14" i="103"/>
  <c r="D22" i="104"/>
  <c r="L18" i="104"/>
  <c r="N18" i="104" s="1"/>
  <c r="P22" i="104"/>
  <c r="Z48" i="104"/>
  <c r="J35" i="105"/>
  <c r="J36" i="105"/>
  <c r="J43" i="105"/>
  <c r="J37" i="105"/>
  <c r="J44" i="105"/>
  <c r="J38" i="105"/>
  <c r="J45" i="105"/>
  <c r="J39" i="105"/>
  <c r="J40" i="105"/>
  <c r="J51" i="105"/>
  <c r="J41" i="105"/>
  <c r="J31" i="105"/>
  <c r="J32" i="105"/>
  <c r="J42" i="105"/>
  <c r="J34" i="105"/>
  <c r="J30" i="105"/>
  <c r="J47" i="105"/>
  <c r="J27" i="105"/>
  <c r="J17" i="105"/>
  <c r="J18" i="105"/>
  <c r="J28" i="105"/>
  <c r="J19" i="105"/>
  <c r="J24" i="105"/>
  <c r="J29" i="105"/>
  <c r="J25" i="105"/>
  <c r="J23" i="105"/>
  <c r="H21" i="105"/>
  <c r="J26" i="105"/>
  <c r="J33" i="105"/>
  <c r="N17" i="105"/>
  <c r="V14" i="103"/>
  <c r="V16" i="103"/>
  <c r="V18" i="103"/>
  <c r="J22" i="103"/>
  <c r="J26" i="103"/>
  <c r="V30" i="103"/>
  <c r="Z32" i="103"/>
  <c r="F34" i="103"/>
  <c r="F35" i="103"/>
  <c r="J36" i="103"/>
  <c r="V38" i="103"/>
  <c r="J46" i="103"/>
  <c r="J48" i="103"/>
  <c r="T12" i="104"/>
  <c r="F39" i="104"/>
  <c r="Z44" i="104"/>
  <c r="F46" i="104"/>
  <c r="F47" i="104"/>
  <c r="F58" i="104"/>
  <c r="F59" i="104"/>
  <c r="P12" i="105"/>
  <c r="F26" i="105"/>
  <c r="J51" i="106"/>
  <c r="V23" i="103"/>
  <c r="V27" i="103"/>
  <c r="J35" i="103"/>
  <c r="V39" i="103"/>
  <c r="F43" i="103"/>
  <c r="F44" i="103"/>
  <c r="F20" i="104"/>
  <c r="V47" i="105"/>
  <c r="V45" i="105"/>
  <c r="V40" i="105"/>
  <c r="V31" i="105"/>
  <c r="V30" i="105"/>
  <c r="V51" i="105"/>
  <c r="V41" i="105"/>
  <c r="V32" i="105"/>
  <c r="V37" i="105"/>
  <c r="V44" i="105"/>
  <c r="V36" i="105"/>
  <c r="V28" i="105"/>
  <c r="V38" i="105"/>
  <c r="V18" i="105"/>
  <c r="D53" i="105"/>
  <c r="N23" i="106"/>
  <c r="J81" i="106"/>
  <c r="F76" i="108"/>
  <c r="F75" i="108"/>
  <c r="F64" i="108"/>
  <c r="F56" i="108"/>
  <c r="F55" i="108"/>
  <c r="F44" i="108"/>
  <c r="F43" i="108"/>
  <c r="F32" i="108"/>
  <c r="F28" i="108"/>
  <c r="F78" i="108"/>
  <c r="F77" i="108"/>
  <c r="F70" i="108"/>
  <c r="F58" i="108"/>
  <c r="F57" i="108"/>
  <c r="F46" i="108"/>
  <c r="F45" i="108"/>
  <c r="F38" i="108"/>
  <c r="F65" i="108"/>
  <c r="F33" i="108"/>
  <c r="F29" i="108"/>
  <c r="F25" i="108"/>
  <c r="F24" i="108"/>
  <c r="F60" i="108"/>
  <c r="F59" i="108"/>
  <c r="F48" i="108"/>
  <c r="F47" i="108"/>
  <c r="F23" i="108"/>
  <c r="F79" i="108"/>
  <c r="F71" i="108"/>
  <c r="F67" i="108"/>
  <c r="F66" i="108"/>
  <c r="F39" i="108"/>
  <c r="F35" i="108"/>
  <c r="F34" i="108"/>
  <c r="F50" i="108"/>
  <c r="F49" i="108"/>
  <c r="F30" i="108"/>
  <c r="F26" i="108"/>
  <c r="F61" i="108"/>
  <c r="F69" i="108"/>
  <c r="F37" i="108"/>
  <c r="F53" i="108"/>
  <c r="F73" i="108"/>
  <c r="F51" i="108"/>
  <c r="F41" i="108"/>
  <c r="F62" i="108"/>
  <c r="F17" i="108"/>
  <c r="F81" i="108"/>
  <c r="D21" i="108"/>
  <c r="F21" i="108" s="1"/>
  <c r="F54" i="108"/>
  <c r="F42" i="108"/>
  <c r="F27" i="108"/>
  <c r="F74" i="108"/>
  <c r="F68" i="108"/>
  <c r="F18" i="108"/>
  <c r="L12" i="108"/>
  <c r="F72" i="108"/>
  <c r="F63" i="108"/>
  <c r="F40" i="108"/>
  <c r="F19" i="108"/>
  <c r="F36" i="108"/>
  <c r="F85" i="108"/>
  <c r="F21" i="103"/>
  <c r="F25" i="103"/>
  <c r="V28" i="103"/>
  <c r="F32" i="103"/>
  <c r="F33" i="103"/>
  <c r="J34" i="103"/>
  <c r="J44" i="103"/>
  <c r="V50" i="103"/>
  <c r="V52" i="103"/>
  <c r="V55" i="103"/>
  <c r="F29" i="104"/>
  <c r="F33" i="104"/>
  <c r="F44" i="104"/>
  <c r="F45" i="104"/>
  <c r="F56" i="104"/>
  <c r="F57" i="104"/>
  <c r="F64" i="104"/>
  <c r="F65" i="104"/>
  <c r="F69" i="104"/>
  <c r="F77" i="104"/>
  <c r="F21" i="105"/>
  <c r="F23" i="105"/>
  <c r="V27" i="105"/>
  <c r="Z35" i="105"/>
  <c r="X35" i="105"/>
  <c r="Z39" i="105"/>
  <c r="V42" i="105"/>
  <c r="X23" i="106"/>
  <c r="Z23" i="106" s="1"/>
  <c r="Z49" i="106"/>
  <c r="V22" i="103"/>
  <c r="V26" i="103"/>
  <c r="F30" i="103"/>
  <c r="F31" i="103"/>
  <c r="J32" i="103"/>
  <c r="J42" i="103"/>
  <c r="F18" i="104"/>
  <c r="F19" i="104"/>
  <c r="F42" i="104"/>
  <c r="F43" i="104"/>
  <c r="F54" i="104"/>
  <c r="F55" i="104"/>
  <c r="F63" i="104"/>
  <c r="L14" i="105"/>
  <c r="V17" i="105"/>
  <c r="F32" i="105"/>
  <c r="V33" i="105"/>
  <c r="L34" i="106"/>
  <c r="N34" i="106" s="1"/>
  <c r="F34" i="106"/>
  <c r="Z45" i="106"/>
  <c r="Z47" i="106"/>
  <c r="J31" i="103"/>
  <c r="V35" i="103"/>
  <c r="F39" i="103"/>
  <c r="F40" i="103"/>
  <c r="J41" i="103"/>
  <c r="F28" i="104"/>
  <c r="F32" i="104"/>
  <c r="F68" i="104"/>
  <c r="F75" i="104"/>
  <c r="F76" i="104"/>
  <c r="N14" i="105"/>
  <c r="F19" i="105"/>
  <c r="L21" i="105"/>
  <c r="V26" i="105"/>
  <c r="F40" i="105"/>
  <c r="J74" i="106"/>
  <c r="J64" i="106"/>
  <c r="J56" i="106"/>
  <c r="J44" i="106"/>
  <c r="J32" i="106"/>
  <c r="J28" i="106"/>
  <c r="J75" i="106"/>
  <c r="J57" i="106"/>
  <c r="J45" i="106"/>
  <c r="J19" i="106"/>
  <c r="J76" i="106"/>
  <c r="J70" i="106"/>
  <c r="J58" i="106"/>
  <c r="J46" i="106"/>
  <c r="J38" i="106"/>
  <c r="J24" i="106"/>
  <c r="J77" i="106"/>
  <c r="J65" i="106"/>
  <c r="J59" i="106"/>
  <c r="J47" i="106"/>
  <c r="J33" i="106"/>
  <c r="J29" i="106"/>
  <c r="J25" i="106"/>
  <c r="J23" i="106"/>
  <c r="J78" i="106"/>
  <c r="J66" i="106"/>
  <c r="J60" i="106"/>
  <c r="J48" i="106"/>
  <c r="J34" i="106"/>
  <c r="H21" i="106"/>
  <c r="J79" i="106"/>
  <c r="J71" i="106"/>
  <c r="J67" i="106"/>
  <c r="J49" i="106"/>
  <c r="J39" i="106"/>
  <c r="J35" i="106"/>
  <c r="J50" i="106"/>
  <c r="J30" i="106"/>
  <c r="J26" i="106"/>
  <c r="J72" i="106"/>
  <c r="J68" i="106"/>
  <c r="J62" i="106"/>
  <c r="J52" i="106"/>
  <c r="J40" i="106"/>
  <c r="J36" i="106"/>
  <c r="J85" i="106"/>
  <c r="J63" i="106"/>
  <c r="J53" i="106"/>
  <c r="J41" i="106"/>
  <c r="J31" i="106"/>
  <c r="J27" i="106"/>
  <c r="J17" i="106"/>
  <c r="J54" i="106"/>
  <c r="J73" i="106"/>
  <c r="J69" i="106"/>
  <c r="J55" i="106"/>
  <c r="J43" i="106"/>
  <c r="J37" i="106"/>
  <c r="J14" i="103"/>
  <c r="J16" i="103"/>
  <c r="J18" i="103"/>
  <c r="J20" i="103"/>
  <c r="J24" i="103"/>
  <c r="F28" i="103"/>
  <c r="F29" i="103"/>
  <c r="J30" i="103"/>
  <c r="V36" i="103"/>
  <c r="J40" i="103"/>
  <c r="V44" i="103"/>
  <c r="V46" i="103"/>
  <c r="V48" i="103"/>
  <c r="F52" i="103"/>
  <c r="F55" i="103"/>
  <c r="L13" i="104"/>
  <c r="F37" i="104"/>
  <c r="F41" i="104"/>
  <c r="F52" i="104"/>
  <c r="F53" i="104"/>
  <c r="F28" i="105"/>
  <c r="P12" i="106"/>
  <c r="N66" i="106"/>
  <c r="Z19" i="107"/>
  <c r="F52" i="108"/>
  <c r="J19" i="103"/>
  <c r="V21" i="103"/>
  <c r="V25" i="103"/>
  <c r="J29" i="103"/>
  <c r="V33" i="103"/>
  <c r="F38" i="103"/>
  <c r="J39" i="103"/>
  <c r="N13" i="104"/>
  <c r="X14" i="104"/>
  <c r="Z14" i="104" s="1"/>
  <c r="F62" i="104"/>
  <c r="F73" i="104"/>
  <c r="F74" i="104"/>
  <c r="V29" i="105"/>
  <c r="V34" i="105"/>
  <c r="V43" i="105"/>
  <c r="V60" i="106"/>
  <c r="V48" i="106"/>
  <c r="V81" i="106"/>
  <c r="V79" i="106"/>
  <c r="V71" i="106"/>
  <c r="V67" i="106"/>
  <c r="V51" i="106"/>
  <c r="V39" i="106"/>
  <c r="V35" i="106"/>
  <c r="V62" i="106"/>
  <c r="V50" i="106"/>
  <c r="V30" i="106"/>
  <c r="V26" i="106"/>
  <c r="V61" i="106"/>
  <c r="V53" i="106"/>
  <c r="V41" i="106"/>
  <c r="V17" i="106"/>
  <c r="V72" i="106"/>
  <c r="V68" i="106"/>
  <c r="V52" i="106"/>
  <c r="V40" i="106"/>
  <c r="V36" i="106"/>
  <c r="V85" i="106"/>
  <c r="V63" i="106"/>
  <c r="V55" i="106"/>
  <c r="V43" i="106"/>
  <c r="V31" i="106"/>
  <c r="V27" i="106"/>
  <c r="V74" i="106"/>
  <c r="V54" i="106"/>
  <c r="V42" i="106"/>
  <c r="V76" i="106"/>
  <c r="V64" i="106"/>
  <c r="V56" i="106"/>
  <c r="V44" i="106"/>
  <c r="V32" i="106"/>
  <c r="V28" i="106"/>
  <c r="V24" i="106"/>
  <c r="V75" i="106"/>
  <c r="V59" i="106"/>
  <c r="V47" i="106"/>
  <c r="V23" i="106"/>
  <c r="V19" i="106"/>
  <c r="V78" i="106"/>
  <c r="V70" i="106"/>
  <c r="V66" i="106"/>
  <c r="V58" i="106"/>
  <c r="V77" i="106"/>
  <c r="V65" i="106"/>
  <c r="V49" i="106"/>
  <c r="V33" i="106"/>
  <c r="V29" i="106"/>
  <c r="V25" i="106"/>
  <c r="Z17" i="106"/>
  <c r="N24" i="106"/>
  <c r="Z34" i="106"/>
  <c r="J42" i="106"/>
  <c r="Z43" i="106"/>
  <c r="V69" i="106"/>
  <c r="X74" i="106"/>
  <c r="V31" i="107"/>
  <c r="V24" i="107"/>
  <c r="V26" i="107"/>
  <c r="Z12" i="107"/>
  <c r="V19" i="107"/>
  <c r="X12" i="107"/>
  <c r="V28" i="107"/>
  <c r="T16" i="107"/>
  <c r="V22" i="107"/>
  <c r="V20" i="107"/>
  <c r="F23" i="103"/>
  <c r="F27" i="103"/>
  <c r="J28" i="103"/>
  <c r="V34" i="103"/>
  <c r="J38" i="103"/>
  <c r="V42" i="103"/>
  <c r="J52" i="103"/>
  <c r="J55" i="103"/>
  <c r="F27" i="104"/>
  <c r="F31" i="104"/>
  <c r="F50" i="104"/>
  <c r="F51" i="104"/>
  <c r="F67" i="104"/>
  <c r="F53" i="105"/>
  <c r="F42" i="105"/>
  <c r="F34" i="105"/>
  <c r="F33" i="105"/>
  <c r="F36" i="105"/>
  <c r="F35" i="105"/>
  <c r="F43" i="105"/>
  <c r="F38" i="105"/>
  <c r="F37" i="105"/>
  <c r="F45" i="105"/>
  <c r="F44" i="105"/>
  <c r="F49" i="105"/>
  <c r="F47" i="105"/>
  <c r="F30" i="105"/>
  <c r="F51" i="105"/>
  <c r="F41" i="105"/>
  <c r="F17" i="105"/>
  <c r="F18" i="105"/>
  <c r="V25" i="105"/>
  <c r="L47" i="105"/>
  <c r="V46" i="106"/>
  <c r="Z74" i="106"/>
  <c r="F31" i="108"/>
  <c r="V43" i="103"/>
  <c r="F50" i="103"/>
  <c r="F35" i="104"/>
  <c r="F36" i="104"/>
  <c r="F40" i="104"/>
  <c r="F71" i="104"/>
  <c r="F72" i="104"/>
  <c r="T21" i="105"/>
  <c r="F27" i="105"/>
  <c r="J18" i="106"/>
  <c r="L21" i="106"/>
  <c r="D83" i="106"/>
  <c r="Z57" i="106"/>
  <c r="V20" i="103"/>
  <c r="V24" i="103"/>
  <c r="V32" i="103"/>
  <c r="F36" i="103"/>
  <c r="F37" i="103"/>
  <c r="V40" i="103"/>
  <c r="F46" i="103"/>
  <c r="J50" i="103"/>
  <c r="X13" i="104"/>
  <c r="Z13" i="104" s="1"/>
  <c r="F22" i="104"/>
  <c r="F24" i="104"/>
  <c r="F48" i="104"/>
  <c r="F49" i="104"/>
  <c r="F60" i="104"/>
  <c r="F61" i="104"/>
  <c r="F83" i="104"/>
  <c r="L12" i="105"/>
  <c r="N12" i="105" s="1"/>
  <c r="V19" i="105"/>
  <c r="V21" i="105"/>
  <c r="V23" i="105"/>
  <c r="X28" i="105"/>
  <c r="Z28" i="105" s="1"/>
  <c r="T21" i="106"/>
  <c r="V21" i="106" s="1"/>
  <c r="V57" i="106"/>
  <c r="Z18" i="107"/>
  <c r="X32" i="109"/>
  <c r="Z32" i="109" s="1"/>
  <c r="P31" i="109"/>
  <c r="V29" i="103"/>
  <c r="F25" i="104"/>
  <c r="F26" i="104"/>
  <c r="F30" i="104"/>
  <c r="F34" i="104"/>
  <c r="F66" i="104"/>
  <c r="F70" i="104"/>
  <c r="F79" i="104"/>
  <c r="V24" i="105"/>
  <c r="N33" i="105"/>
  <c r="F39" i="105"/>
  <c r="N15" i="106"/>
  <c r="N51" i="106"/>
  <c r="V18" i="107"/>
  <c r="J77" i="108"/>
  <c r="J57" i="108"/>
  <c r="J45" i="108"/>
  <c r="J19" i="108"/>
  <c r="J78" i="108"/>
  <c r="J70" i="108"/>
  <c r="J58" i="108"/>
  <c r="J46" i="108"/>
  <c r="J65" i="108"/>
  <c r="J59" i="108"/>
  <c r="J47" i="108"/>
  <c r="J33" i="108"/>
  <c r="J29" i="108"/>
  <c r="J25" i="108"/>
  <c r="J23" i="108"/>
  <c r="J66" i="108"/>
  <c r="J60" i="108"/>
  <c r="J48" i="108"/>
  <c r="J34" i="108"/>
  <c r="J79" i="108"/>
  <c r="J71" i="108"/>
  <c r="J67" i="108"/>
  <c r="J49" i="108"/>
  <c r="J39" i="108"/>
  <c r="J35" i="108"/>
  <c r="J50" i="108"/>
  <c r="J30" i="108"/>
  <c r="J26" i="108"/>
  <c r="J81" i="108"/>
  <c r="J61" i="108"/>
  <c r="J51" i="108"/>
  <c r="J72" i="108"/>
  <c r="J68" i="108"/>
  <c r="J62" i="108"/>
  <c r="J52" i="108"/>
  <c r="J76" i="108"/>
  <c r="J64" i="108"/>
  <c r="J56" i="108"/>
  <c r="J44" i="108"/>
  <c r="J32" i="108"/>
  <c r="J28" i="108"/>
  <c r="J69" i="108"/>
  <c r="J17" i="108"/>
  <c r="H21" i="108"/>
  <c r="J21" i="108" s="1"/>
  <c r="J54" i="108"/>
  <c r="J42" i="108"/>
  <c r="J37" i="108"/>
  <c r="J27" i="108"/>
  <c r="J74" i="108"/>
  <c r="J18" i="108"/>
  <c r="N12" i="108"/>
  <c r="J85" i="108"/>
  <c r="J31" i="108"/>
  <c r="J63" i="108"/>
  <c r="J55" i="108"/>
  <c r="J43" i="108"/>
  <c r="J40" i="108"/>
  <c r="J24" i="108"/>
  <c r="J75" i="108"/>
  <c r="J53" i="108"/>
  <c r="J38" i="108"/>
  <c r="J36" i="108"/>
  <c r="J73" i="108"/>
  <c r="J41" i="108"/>
  <c r="F17" i="106"/>
  <c r="F18" i="106"/>
  <c r="F41" i="106"/>
  <c r="F42" i="106"/>
  <c r="F53" i="106"/>
  <c r="F54" i="106"/>
  <c r="N53" i="108"/>
  <c r="L53" i="108"/>
  <c r="T31" i="109"/>
  <c r="P16" i="107"/>
  <c r="L12" i="106"/>
  <c r="N12" i="106" s="1"/>
  <c r="F36" i="106"/>
  <c r="F40" i="106"/>
  <c r="F51" i="106"/>
  <c r="F52" i="106"/>
  <c r="F68" i="106"/>
  <c r="F72" i="106"/>
  <c r="F81" i="106"/>
  <c r="F83" i="106"/>
  <c r="N12" i="107"/>
  <c r="R14" i="107"/>
  <c r="R16" i="107"/>
  <c r="R18" i="107"/>
  <c r="R28" i="107"/>
  <c r="P12" i="108"/>
  <c r="Z17" i="108"/>
  <c r="Z18" i="109"/>
  <c r="N20" i="110"/>
  <c r="F61" i="106"/>
  <c r="R19" i="107"/>
  <c r="J26" i="107"/>
  <c r="Z13" i="108"/>
  <c r="X24" i="108"/>
  <c r="Z41" i="108"/>
  <c r="F66" i="106"/>
  <c r="F67" i="106"/>
  <c r="F71" i="106"/>
  <c r="F78" i="106"/>
  <c r="F79" i="106"/>
  <c r="Z24" i="108"/>
  <c r="Z75" i="108"/>
  <c r="J32" i="109"/>
  <c r="J37" i="109"/>
  <c r="J31" i="109"/>
  <c r="J27" i="109"/>
  <c r="J20" i="109"/>
  <c r="J18" i="109"/>
  <c r="J16" i="109"/>
  <c r="J14" i="109"/>
  <c r="J42" i="109"/>
  <c r="J33" i="109"/>
  <c r="J24" i="109"/>
  <c r="H16" i="109"/>
  <c r="J28" i="109"/>
  <c r="J21" i="109"/>
  <c r="J35" i="109"/>
  <c r="J25" i="109"/>
  <c r="J22" i="109"/>
  <c r="J29" i="109"/>
  <c r="J19" i="109"/>
  <c r="F21" i="106"/>
  <c r="F23" i="106"/>
  <c r="F47" i="106"/>
  <c r="F48" i="106"/>
  <c r="F59" i="106"/>
  <c r="F60" i="106"/>
  <c r="F22" i="107"/>
  <c r="Z15" i="108"/>
  <c r="Z77" i="108"/>
  <c r="L12" i="109"/>
  <c r="P35" i="109"/>
  <c r="F24" i="106"/>
  <c r="F25" i="106"/>
  <c r="F29" i="106"/>
  <c r="F33" i="106"/>
  <c r="F65" i="106"/>
  <c r="F76" i="106"/>
  <c r="F77" i="106"/>
  <c r="D16" i="107"/>
  <c r="J24" i="107"/>
  <c r="J31" i="107"/>
  <c r="T12" i="108"/>
  <c r="Z43" i="108"/>
  <c r="X45" i="108"/>
  <c r="Z55" i="108"/>
  <c r="N12" i="109"/>
  <c r="L19" i="110"/>
  <c r="L14" i="106"/>
  <c r="N14" i="106" s="1"/>
  <c r="F38" i="106"/>
  <c r="F45" i="106"/>
  <c r="F46" i="106"/>
  <c r="F57" i="106"/>
  <c r="F58" i="106"/>
  <c r="F70" i="106"/>
  <c r="Z57" i="108"/>
  <c r="L62" i="108"/>
  <c r="H12" i="110"/>
  <c r="N13" i="110"/>
  <c r="F19" i="106"/>
  <c r="F74" i="106"/>
  <c r="F75" i="106"/>
  <c r="H16" i="107"/>
  <c r="Z45" i="108"/>
  <c r="X59" i="108"/>
  <c r="Z59" i="108" s="1"/>
  <c r="J26" i="109"/>
  <c r="J39" i="109"/>
  <c r="N19" i="110"/>
  <c r="F28" i="106"/>
  <c r="F32" i="106"/>
  <c r="F43" i="106"/>
  <c r="F44" i="106"/>
  <c r="F55" i="106"/>
  <c r="F56" i="106"/>
  <c r="X62" i="106"/>
  <c r="Z62" i="106" s="1"/>
  <c r="F64" i="106"/>
  <c r="L76" i="106"/>
  <c r="N76" i="106" s="1"/>
  <c r="J14" i="107"/>
  <c r="J16" i="107"/>
  <c r="J18" i="107"/>
  <c r="J20" i="107"/>
  <c r="N17" i="108"/>
  <c r="X23" i="108"/>
  <c r="Z23" i="108" s="1"/>
  <c r="N62" i="108"/>
  <c r="F37" i="106"/>
  <c r="F69" i="106"/>
  <c r="J19" i="107"/>
  <c r="N41" i="108"/>
  <c r="Z47" i="108"/>
  <c r="N51" i="108"/>
  <c r="X66" i="108"/>
  <c r="Z66" i="108" s="1"/>
  <c r="N73" i="108"/>
  <c r="L73" i="108"/>
  <c r="X33" i="109"/>
  <c r="Z33" i="109" s="1"/>
  <c r="F29" i="109"/>
  <c r="F35" i="109"/>
  <c r="F33" i="109"/>
  <c r="F24" i="109"/>
  <c r="F26" i="109"/>
  <c r="V21" i="109"/>
  <c r="V28" i="109"/>
  <c r="X15" i="110"/>
  <c r="F20" i="110"/>
  <c r="X44" i="110"/>
  <c r="Z44" i="110" s="1"/>
  <c r="N46" i="110"/>
  <c r="L55" i="110"/>
  <c r="N55" i="110" s="1"/>
  <c r="R25" i="109"/>
  <c r="R35" i="109"/>
  <c r="R33" i="109"/>
  <c r="T16" i="109"/>
  <c r="X16" i="109" s="1"/>
  <c r="R19" i="109"/>
  <c r="R26" i="109"/>
  <c r="D66" i="110"/>
  <c r="Z20" i="110"/>
  <c r="Z46" i="110"/>
  <c r="V27" i="109"/>
  <c r="V31" i="109"/>
  <c r="V29" i="109"/>
  <c r="V14" i="109"/>
  <c r="V16" i="109"/>
  <c r="V18" i="109"/>
  <c r="R23" i="109"/>
  <c r="V26" i="109"/>
  <c r="V39" i="109"/>
  <c r="P12" i="110"/>
  <c r="X13" i="110"/>
  <c r="N38" i="110"/>
  <c r="X46" i="110"/>
  <c r="N50" i="110"/>
  <c r="X12" i="109"/>
  <c r="R37" i="109"/>
  <c r="F66" i="110"/>
  <c r="F64" i="110"/>
  <c r="F47" i="110"/>
  <c r="F46" i="110"/>
  <c r="F35" i="110"/>
  <c r="F31" i="110"/>
  <c r="F68" i="110"/>
  <c r="F63" i="110"/>
  <c r="F26" i="110"/>
  <c r="F22" i="110"/>
  <c r="F57" i="110"/>
  <c r="F49" i="110"/>
  <c r="F48" i="110"/>
  <c r="F37" i="110"/>
  <c r="F36" i="110"/>
  <c r="F51" i="110"/>
  <c r="F50" i="110"/>
  <c r="F39" i="110"/>
  <c r="F38" i="110"/>
  <c r="F27" i="110"/>
  <c r="F23" i="110"/>
  <c r="F58" i="110"/>
  <c r="F53" i="110"/>
  <c r="F52" i="110"/>
  <c r="F41" i="110"/>
  <c r="F40" i="110"/>
  <c r="F33" i="110"/>
  <c r="F28" i="110"/>
  <c r="F24" i="110"/>
  <c r="F59" i="110"/>
  <c r="F43" i="110"/>
  <c r="F42" i="110"/>
  <c r="Z13" i="110"/>
  <c r="F21" i="110"/>
  <c r="F25" i="110"/>
  <c r="Z36" i="110"/>
  <c r="Z48" i="110"/>
  <c r="F60" i="110"/>
  <c r="Z12" i="109"/>
  <c r="F21" i="109"/>
  <c r="F28" i="109"/>
  <c r="R29" i="109"/>
  <c r="V37" i="109"/>
  <c r="L15" i="110"/>
  <c r="F29" i="110"/>
  <c r="L40" i="110"/>
  <c r="F54" i="110"/>
  <c r="N60" i="110"/>
  <c r="Z63" i="110"/>
  <c r="D16" i="109"/>
  <c r="R22" i="109"/>
  <c r="F42" i="109"/>
  <c r="L12" i="110"/>
  <c r="F15" i="110"/>
  <c r="Z19" i="110"/>
  <c r="Z38" i="110"/>
  <c r="Z50" i="110"/>
  <c r="F56" i="110"/>
  <c r="F14" i="109"/>
  <c r="F16" i="109"/>
  <c r="F18" i="109"/>
  <c r="V22" i="109"/>
  <c r="V25" i="109"/>
  <c r="F32" i="109"/>
  <c r="T12" i="110"/>
  <c r="F19" i="109"/>
  <c r="F20" i="109"/>
  <c r="F27" i="109"/>
  <c r="L31" i="109"/>
  <c r="N31" i="109" s="1"/>
  <c r="F44" i="110"/>
  <c r="Z52" i="110"/>
  <c r="H63" i="110"/>
  <c r="L64" i="110"/>
  <c r="N64" i="110" s="1"/>
  <c r="R21" i="109"/>
  <c r="R28" i="109"/>
  <c r="F31" i="109"/>
  <c r="F39" i="109"/>
  <c r="X40" i="110"/>
  <c r="N44" i="110"/>
  <c r="F61" i="110"/>
  <c r="P83" i="102" l="1"/>
  <c r="R79" i="102"/>
  <c r="T24" i="107"/>
  <c r="Z16" i="107"/>
  <c r="T79" i="102"/>
  <c r="Z22" i="102"/>
  <c r="L40" i="100"/>
  <c r="P85" i="92"/>
  <c r="X16" i="92"/>
  <c r="H80" i="84"/>
  <c r="J20" i="84"/>
  <c r="J21" i="86"/>
  <c r="J22" i="86"/>
  <c r="J20" i="86"/>
  <c r="J24" i="86"/>
  <c r="N12" i="86"/>
  <c r="J26" i="86"/>
  <c r="J30" i="86"/>
  <c r="J15" i="86"/>
  <c r="J16" i="86"/>
  <c r="J23" i="86"/>
  <c r="H18" i="86"/>
  <c r="J18" i="86" s="1"/>
  <c r="P77" i="81"/>
  <c r="R20" i="70"/>
  <c r="P68" i="70"/>
  <c r="X20" i="70"/>
  <c r="Z20" i="70" s="1"/>
  <c r="H92" i="64"/>
  <c r="N16" i="64"/>
  <c r="J81" i="51"/>
  <c r="J69" i="51"/>
  <c r="J55" i="51"/>
  <c r="J82" i="51"/>
  <c r="J70" i="51"/>
  <c r="J64" i="51"/>
  <c r="J60" i="51"/>
  <c r="J56" i="51"/>
  <c r="J54" i="51"/>
  <c r="J83" i="51"/>
  <c r="J71" i="51"/>
  <c r="J65" i="51"/>
  <c r="H52" i="51"/>
  <c r="J52" i="51" s="1"/>
  <c r="J47" i="51"/>
  <c r="J43" i="51"/>
  <c r="J39" i="51"/>
  <c r="J84" i="51"/>
  <c r="J72" i="51"/>
  <c r="J66" i="51"/>
  <c r="J85" i="51"/>
  <c r="J73" i="51"/>
  <c r="J61" i="51"/>
  <c r="J57" i="51"/>
  <c r="J74" i="51"/>
  <c r="J48" i="51"/>
  <c r="J44" i="51"/>
  <c r="J40" i="51"/>
  <c r="J75" i="51"/>
  <c r="J67" i="51"/>
  <c r="J86" i="51"/>
  <c r="J76" i="51"/>
  <c r="J62" i="51"/>
  <c r="J58" i="51"/>
  <c r="J92" i="51"/>
  <c r="J88" i="51"/>
  <c r="J78" i="51"/>
  <c r="J68" i="51"/>
  <c r="N12" i="51"/>
  <c r="J97" i="51"/>
  <c r="J91" i="51"/>
  <c r="J79" i="51"/>
  <c r="J63" i="51"/>
  <c r="J59" i="51"/>
  <c r="J37" i="51"/>
  <c r="J49" i="51"/>
  <c r="J87" i="51"/>
  <c r="J38" i="51"/>
  <c r="J42" i="51"/>
  <c r="J46" i="51"/>
  <c r="J90" i="51"/>
  <c r="J77" i="51"/>
  <c r="J50" i="51"/>
  <c r="J93" i="51"/>
  <c r="J41" i="51"/>
  <c r="J45" i="51"/>
  <c r="J80" i="51"/>
  <c r="F82" i="45"/>
  <c r="F81" i="45"/>
  <c r="F66" i="45"/>
  <c r="F86" i="45"/>
  <c r="F85" i="45"/>
  <c r="F78" i="45"/>
  <c r="F74" i="45"/>
  <c r="F73" i="45"/>
  <c r="F87" i="45"/>
  <c r="F79" i="45"/>
  <c r="F75" i="45"/>
  <c r="F35" i="45"/>
  <c r="F31" i="45"/>
  <c r="F77" i="45"/>
  <c r="F58" i="45"/>
  <c r="F57" i="45"/>
  <c r="F46" i="45"/>
  <c r="F45" i="45"/>
  <c r="F22" i="45"/>
  <c r="F41" i="45"/>
  <c r="F67" i="45"/>
  <c r="F60" i="45"/>
  <c r="F59" i="45"/>
  <c r="F48" i="45"/>
  <c r="F47" i="45"/>
  <c r="F36" i="45"/>
  <c r="F32" i="45"/>
  <c r="F28" i="45"/>
  <c r="F27" i="45"/>
  <c r="F93" i="45"/>
  <c r="F26" i="45"/>
  <c r="F71" i="45"/>
  <c r="F62" i="45"/>
  <c r="F61" i="45"/>
  <c r="F50" i="45"/>
  <c r="F49" i="45"/>
  <c r="F42" i="45"/>
  <c r="F38" i="45"/>
  <c r="F37" i="45"/>
  <c r="D24" i="45"/>
  <c r="F24" i="45" s="1"/>
  <c r="F33" i="45"/>
  <c r="F29" i="45"/>
  <c r="F89" i="45"/>
  <c r="F83" i="45"/>
  <c r="F68" i="45"/>
  <c r="F64" i="45"/>
  <c r="F63" i="45"/>
  <c r="F52" i="45"/>
  <c r="F51" i="45"/>
  <c r="F69" i="45"/>
  <c r="F65" i="45"/>
  <c r="F54" i="45"/>
  <c r="F53" i="45"/>
  <c r="F34" i="45"/>
  <c r="F30" i="45"/>
  <c r="F84" i="45"/>
  <c r="F72" i="45"/>
  <c r="F70" i="45"/>
  <c r="F56" i="45"/>
  <c r="F55" i="45"/>
  <c r="F44" i="45"/>
  <c r="F40" i="45"/>
  <c r="L12" i="45"/>
  <c r="N12" i="45" s="1"/>
  <c r="F21" i="45"/>
  <c r="F39" i="45"/>
  <c r="F20" i="45"/>
  <c r="F76" i="45"/>
  <c r="F43" i="45"/>
  <c r="F80" i="45"/>
  <c r="V69" i="45"/>
  <c r="V70" i="45"/>
  <c r="V81" i="45"/>
  <c r="V65" i="45"/>
  <c r="V93" i="45"/>
  <c r="V83" i="45"/>
  <c r="V71" i="45"/>
  <c r="V82" i="45"/>
  <c r="V66" i="45"/>
  <c r="V62" i="45"/>
  <c r="V50" i="45"/>
  <c r="V42" i="45"/>
  <c r="V38" i="45"/>
  <c r="V53" i="45"/>
  <c r="V33" i="45"/>
  <c r="V29" i="45"/>
  <c r="V89" i="45"/>
  <c r="V68" i="45"/>
  <c r="V64" i="45"/>
  <c r="V52" i="45"/>
  <c r="V20" i="45"/>
  <c r="V86" i="45"/>
  <c r="V55" i="45"/>
  <c r="V43" i="45"/>
  <c r="V39" i="45"/>
  <c r="V80" i="45"/>
  <c r="V78" i="45"/>
  <c r="V74" i="45"/>
  <c r="V54" i="45"/>
  <c r="V34" i="45"/>
  <c r="V30" i="45"/>
  <c r="V84" i="45"/>
  <c r="V76" i="45"/>
  <c r="V57" i="45"/>
  <c r="V45" i="45"/>
  <c r="V21" i="45"/>
  <c r="V72" i="45"/>
  <c r="V56" i="45"/>
  <c r="V44" i="45"/>
  <c r="V40" i="45"/>
  <c r="V85" i="45"/>
  <c r="V59" i="45"/>
  <c r="V47" i="45"/>
  <c r="V35" i="45"/>
  <c r="V31" i="45"/>
  <c r="V27" i="45"/>
  <c r="V77" i="45"/>
  <c r="V61" i="45"/>
  <c r="V49" i="45"/>
  <c r="V41" i="45"/>
  <c r="V37" i="45"/>
  <c r="T24" i="45"/>
  <c r="V87" i="45"/>
  <c r="V79" i="45"/>
  <c r="V75" i="45"/>
  <c r="V67" i="45"/>
  <c r="V63" i="45"/>
  <c r="V51" i="45"/>
  <c r="V60" i="45"/>
  <c r="V46" i="45"/>
  <c r="V32" i="45"/>
  <c r="V48" i="45"/>
  <c r="V22" i="45"/>
  <c r="V26" i="45"/>
  <c r="V73" i="45"/>
  <c r="V28" i="45"/>
  <c r="V58" i="45"/>
  <c r="V36" i="45"/>
  <c r="R58" i="33"/>
  <c r="R57" i="33"/>
  <c r="R45" i="33"/>
  <c r="R41" i="33"/>
  <c r="P37" i="33"/>
  <c r="R69" i="33"/>
  <c r="R68" i="33"/>
  <c r="R32" i="33"/>
  <c r="R75" i="33"/>
  <c r="R60" i="33"/>
  <c r="R59" i="33"/>
  <c r="R51" i="33"/>
  <c r="R71" i="33"/>
  <c r="R70" i="33"/>
  <c r="R46" i="33"/>
  <c r="R42" i="33"/>
  <c r="R61" i="33"/>
  <c r="R33" i="33"/>
  <c r="R87" i="33"/>
  <c r="R77" i="33"/>
  <c r="R76" i="33"/>
  <c r="R72" i="33"/>
  <c r="R86" i="33"/>
  <c r="R47" i="33"/>
  <c r="R43" i="33"/>
  <c r="R85" i="33"/>
  <c r="R79" i="33"/>
  <c r="R78" i="33"/>
  <c r="R63" i="33"/>
  <c r="R62" i="33"/>
  <c r="R34" i="33"/>
  <c r="R91" i="33"/>
  <c r="R84" i="33"/>
  <c r="R73" i="33"/>
  <c r="R54" i="33"/>
  <c r="R53" i="33"/>
  <c r="R30" i="33"/>
  <c r="R83" i="33"/>
  <c r="R80" i="33"/>
  <c r="R65" i="33"/>
  <c r="R64" i="33"/>
  <c r="R56" i="33"/>
  <c r="R31" i="33"/>
  <c r="R82" i="33"/>
  <c r="R66" i="33"/>
  <c r="R50" i="33"/>
  <c r="R48" i="33"/>
  <c r="R39" i="33"/>
  <c r="R35" i="33"/>
  <c r="R52" i="33"/>
  <c r="X12" i="33"/>
  <c r="Z12" i="33" s="1"/>
  <c r="R74" i="33"/>
  <c r="R67" i="33"/>
  <c r="R37" i="33"/>
  <c r="R44" i="33"/>
  <c r="R55" i="33"/>
  <c r="R49" i="33"/>
  <c r="R40" i="33"/>
  <c r="J271" i="18"/>
  <c r="J253" i="18"/>
  <c r="J231" i="18"/>
  <c r="J219" i="18"/>
  <c r="J201" i="18"/>
  <c r="J195" i="18"/>
  <c r="J181" i="18"/>
  <c r="J270" i="18"/>
  <c r="J254" i="18"/>
  <c r="J242" i="18"/>
  <c r="J220" i="18"/>
  <c r="J210" i="18"/>
  <c r="J202" i="18"/>
  <c r="J190" i="18"/>
  <c r="J186" i="18"/>
  <c r="J182" i="18"/>
  <c r="J180" i="18"/>
  <c r="J269" i="18"/>
  <c r="J261" i="18"/>
  <c r="J249" i="18"/>
  <c r="J243" i="18"/>
  <c r="J237" i="18"/>
  <c r="J221" i="18"/>
  <c r="J211" i="18"/>
  <c r="J203" i="18"/>
  <c r="J191" i="18"/>
  <c r="H178" i="18"/>
  <c r="J178" i="18" s="1"/>
  <c r="J173" i="18"/>
  <c r="J169" i="18"/>
  <c r="J165" i="18"/>
  <c r="J161" i="18"/>
  <c r="J157" i="18"/>
  <c r="J153" i="18"/>
  <c r="J149" i="18"/>
  <c r="J145" i="18"/>
  <c r="J141" i="18"/>
  <c r="J268" i="18"/>
  <c r="J262" i="18"/>
  <c r="J244" i="18"/>
  <c r="J238" i="18"/>
  <c r="J232" i="18"/>
  <c r="J222" i="18"/>
  <c r="J212" i="18"/>
  <c r="J204" i="18"/>
  <c r="J196" i="18"/>
  <c r="J192" i="18"/>
  <c r="J267" i="18"/>
  <c r="J263" i="18"/>
  <c r="J255" i="18"/>
  <c r="J239" i="18"/>
  <c r="J223" i="18"/>
  <c r="J213" i="18"/>
  <c r="J205" i="18"/>
  <c r="J187" i="18"/>
  <c r="J183" i="18"/>
  <c r="J266" i="18"/>
  <c r="J256" i="18"/>
  <c r="J250" i="18"/>
  <c r="J224" i="18"/>
  <c r="J214" i="18"/>
  <c r="J206" i="18"/>
  <c r="J174" i="18"/>
  <c r="J170" i="18"/>
  <c r="J166" i="18"/>
  <c r="J162" i="18"/>
  <c r="J158" i="18"/>
  <c r="J154" i="18"/>
  <c r="J150" i="18"/>
  <c r="J146" i="18"/>
  <c r="J142" i="18"/>
  <c r="J138" i="18"/>
  <c r="J134" i="18"/>
  <c r="J130" i="18"/>
  <c r="J265" i="18"/>
  <c r="J257" i="18"/>
  <c r="J258" i="18"/>
  <c r="J246" i="18"/>
  <c r="J240" i="18"/>
  <c r="J234" i="18"/>
  <c r="J226" i="18"/>
  <c r="J216" i="18"/>
  <c r="J188" i="18"/>
  <c r="J184" i="18"/>
  <c r="J259" i="18"/>
  <c r="J251" i="18"/>
  <c r="J247" i="18"/>
  <c r="J235" i="18"/>
  <c r="J227" i="18"/>
  <c r="J217" i="18"/>
  <c r="J274" i="18"/>
  <c r="J228" i="18"/>
  <c r="J218" i="18"/>
  <c r="J208" i="18"/>
  <c r="J198" i="18"/>
  <c r="J194" i="18"/>
  <c r="J248" i="18"/>
  <c r="J230" i="18"/>
  <c r="J199" i="18"/>
  <c r="J197" i="18"/>
  <c r="J143" i="18"/>
  <c r="J136" i="18"/>
  <c r="J131" i="18"/>
  <c r="J273" i="18"/>
  <c r="J176" i="18"/>
  <c r="J160" i="18"/>
  <c r="J278" i="18"/>
  <c r="J164" i="18"/>
  <c r="J156" i="18"/>
  <c r="J139" i="18"/>
  <c r="J172" i="18"/>
  <c r="J168" i="18"/>
  <c r="J129" i="18"/>
  <c r="J126" i="18"/>
  <c r="J123" i="18"/>
  <c r="J245" i="18"/>
  <c r="J241" i="18"/>
  <c r="J215" i="18"/>
  <c r="J152" i="18"/>
  <c r="J252" i="18"/>
  <c r="J236" i="18"/>
  <c r="J148" i="18"/>
  <c r="J137" i="18"/>
  <c r="J132" i="18"/>
  <c r="J200" i="18"/>
  <c r="J144" i="18"/>
  <c r="J175" i="18"/>
  <c r="J159" i="18"/>
  <c r="J140" i="18"/>
  <c r="J135" i="18"/>
  <c r="J127" i="18"/>
  <c r="J124" i="18"/>
  <c r="J272" i="18"/>
  <c r="J225" i="18"/>
  <c r="J209" i="18"/>
  <c r="J185" i="18"/>
  <c r="J163" i="18"/>
  <c r="J121" i="18"/>
  <c r="J233" i="18"/>
  <c r="J229" i="18"/>
  <c r="J207" i="18"/>
  <c r="J193" i="18"/>
  <c r="J171" i="18"/>
  <c r="J167" i="18"/>
  <c r="J155" i="18"/>
  <c r="J260" i="18"/>
  <c r="J147" i="18"/>
  <c r="J128" i="18"/>
  <c r="J125" i="18"/>
  <c r="J122" i="18"/>
  <c r="J133" i="18"/>
  <c r="J189" i="18"/>
  <c r="J151" i="18"/>
  <c r="R267" i="18"/>
  <c r="R244" i="18"/>
  <c r="R232" i="18"/>
  <c r="R213" i="18"/>
  <c r="R212" i="18"/>
  <c r="R205" i="18"/>
  <c r="R204" i="18"/>
  <c r="R196" i="18"/>
  <c r="R192" i="18"/>
  <c r="R121" i="18"/>
  <c r="R266" i="18"/>
  <c r="R263" i="18"/>
  <c r="R256" i="18"/>
  <c r="R255" i="18"/>
  <c r="R239" i="18"/>
  <c r="R224" i="18"/>
  <c r="R223" i="18"/>
  <c r="R187" i="18"/>
  <c r="R183" i="18"/>
  <c r="R265" i="18"/>
  <c r="R250" i="18"/>
  <c r="R215" i="18"/>
  <c r="R214" i="18"/>
  <c r="R206" i="18"/>
  <c r="R174" i="18"/>
  <c r="R170" i="18"/>
  <c r="R166" i="18"/>
  <c r="R162" i="18"/>
  <c r="R158" i="18"/>
  <c r="R154" i="18"/>
  <c r="R150" i="18"/>
  <c r="R146" i="18"/>
  <c r="R142" i="18"/>
  <c r="R258" i="18"/>
  <c r="R257" i="18"/>
  <c r="R246" i="18"/>
  <c r="R245" i="18"/>
  <c r="R234" i="18"/>
  <c r="R233" i="18"/>
  <c r="R226" i="18"/>
  <c r="R225" i="18"/>
  <c r="R197" i="18"/>
  <c r="R193" i="18"/>
  <c r="R240" i="18"/>
  <c r="R217" i="18"/>
  <c r="R216" i="18"/>
  <c r="R188" i="18"/>
  <c r="R184" i="18"/>
  <c r="R274" i="18"/>
  <c r="R259" i="18"/>
  <c r="R251" i="18"/>
  <c r="R247" i="18"/>
  <c r="R235" i="18"/>
  <c r="R228" i="18"/>
  <c r="R227" i="18"/>
  <c r="R208" i="18"/>
  <c r="R207" i="18"/>
  <c r="R175" i="18"/>
  <c r="R171" i="18"/>
  <c r="R167" i="18"/>
  <c r="R163" i="18"/>
  <c r="R159" i="18"/>
  <c r="R155" i="18"/>
  <c r="R151" i="18"/>
  <c r="R147" i="18"/>
  <c r="R143" i="18"/>
  <c r="R139" i="18"/>
  <c r="R135" i="18"/>
  <c r="R131" i="18"/>
  <c r="R273" i="18"/>
  <c r="R272" i="18"/>
  <c r="R241" i="18"/>
  <c r="R230" i="18"/>
  <c r="R229" i="18"/>
  <c r="R209" i="18"/>
  <c r="R189" i="18"/>
  <c r="R185" i="18"/>
  <c r="R278" i="18"/>
  <c r="R271" i="18"/>
  <c r="R260" i="18"/>
  <c r="R253" i="18"/>
  <c r="R252" i="18"/>
  <c r="R248" i="18"/>
  <c r="R236" i="18"/>
  <c r="R270" i="18"/>
  <c r="R231" i="18"/>
  <c r="R220" i="18"/>
  <c r="R219" i="18"/>
  <c r="R195" i="18"/>
  <c r="R180" i="18"/>
  <c r="R237" i="18"/>
  <c r="R172" i="18"/>
  <c r="R164" i="18"/>
  <c r="R156" i="18"/>
  <c r="R134" i="18"/>
  <c r="R126" i="18"/>
  <c r="R123" i="18"/>
  <c r="R243" i="18"/>
  <c r="R190" i="18"/>
  <c r="R168" i="18"/>
  <c r="R129" i="18"/>
  <c r="R269" i="18"/>
  <c r="R202" i="18"/>
  <c r="R194" i="18"/>
  <c r="R152" i="18"/>
  <c r="R254" i="18"/>
  <c r="R148" i="18"/>
  <c r="R137" i="18"/>
  <c r="R132" i="18"/>
  <c r="R238" i="18"/>
  <c r="R200" i="18"/>
  <c r="R181" i="18"/>
  <c r="R144" i="18"/>
  <c r="R127" i="18"/>
  <c r="R261" i="18"/>
  <c r="R211" i="18"/>
  <c r="R198" i="18"/>
  <c r="R140" i="18"/>
  <c r="R130" i="18"/>
  <c r="R124" i="18"/>
  <c r="R221" i="18"/>
  <c r="R173" i="18"/>
  <c r="R161" i="18"/>
  <c r="R157" i="18"/>
  <c r="R249" i="18"/>
  <c r="R242" i="18"/>
  <c r="R191" i="18"/>
  <c r="P178" i="18"/>
  <c r="R178" i="18" s="1"/>
  <c r="R169" i="18"/>
  <c r="R165" i="18"/>
  <c r="R138" i="18"/>
  <c r="R268" i="18"/>
  <c r="R203" i="18"/>
  <c r="R201" i="18"/>
  <c r="R153" i="18"/>
  <c r="R133" i="18"/>
  <c r="R122" i="18"/>
  <c r="R262" i="18"/>
  <c r="R199" i="18"/>
  <c r="R149" i="18"/>
  <c r="R128" i="18"/>
  <c r="R125" i="18"/>
  <c r="R210" i="18"/>
  <c r="R186" i="18"/>
  <c r="R176" i="18"/>
  <c r="R160" i="18"/>
  <c r="R141" i="18"/>
  <c r="X12" i="18"/>
  <c r="Z12" i="18" s="1"/>
  <c r="R222" i="18"/>
  <c r="R182" i="18"/>
  <c r="R218" i="18"/>
  <c r="R136" i="18"/>
  <c r="R145" i="18"/>
  <c r="V255" i="12"/>
  <c r="V229" i="12"/>
  <c r="V217" i="12"/>
  <c r="V209" i="12"/>
  <c r="V262" i="12"/>
  <c r="V254" i="12"/>
  <c r="V248" i="12"/>
  <c r="V240" i="12"/>
  <c r="V224" i="12"/>
  <c r="V212" i="12"/>
  <c r="V200" i="12"/>
  <c r="V252" i="12"/>
  <c r="V242" i="12"/>
  <c r="V230" i="12"/>
  <c r="V214" i="12"/>
  <c r="V202" i="12"/>
  <c r="V182" i="12"/>
  <c r="V251" i="12"/>
  <c r="V249" i="12"/>
  <c r="V241" i="12"/>
  <c r="V225" i="12"/>
  <c r="V213" i="12"/>
  <c r="V201" i="12"/>
  <c r="V193" i="12"/>
  <c r="V185" i="12"/>
  <c r="V177" i="12"/>
  <c r="V173" i="12"/>
  <c r="V243" i="12"/>
  <c r="V215" i="12"/>
  <c r="V203" i="12"/>
  <c r="V195" i="12"/>
  <c r="V187" i="12"/>
  <c r="V226" i="12"/>
  <c r="V222" i="12"/>
  <c r="V206" i="12"/>
  <c r="V194" i="12"/>
  <c r="V186" i="12"/>
  <c r="V178" i="12"/>
  <c r="V174" i="12"/>
  <c r="V257" i="12"/>
  <c r="V244" i="12"/>
  <c r="V238" i="12"/>
  <c r="V236" i="12"/>
  <c r="V234" i="12"/>
  <c r="V228" i="12"/>
  <c r="V204" i="12"/>
  <c r="V162" i="12"/>
  <c r="T160" i="12"/>
  <c r="V149" i="12"/>
  <c r="V191" i="12"/>
  <c r="V172" i="12"/>
  <c r="V170" i="12"/>
  <c r="V146" i="12"/>
  <c r="V142" i="12"/>
  <c r="V138" i="12"/>
  <c r="V134" i="12"/>
  <c r="V130" i="12"/>
  <c r="V126" i="12"/>
  <c r="V122" i="12"/>
  <c r="V118" i="12"/>
  <c r="V114" i="12"/>
  <c r="V110" i="12"/>
  <c r="V258" i="12"/>
  <c r="V220" i="12"/>
  <c r="V210" i="12"/>
  <c r="V163" i="12"/>
  <c r="V156" i="12"/>
  <c r="V239" i="12"/>
  <c r="V218" i="12"/>
  <c r="V198" i="12"/>
  <c r="V189" i="12"/>
  <c r="V176" i="12"/>
  <c r="V153" i="12"/>
  <c r="V246" i="12"/>
  <c r="V233" i="12"/>
  <c r="V231" i="12"/>
  <c r="V223" i="12"/>
  <c r="V207" i="12"/>
  <c r="V179" i="12"/>
  <c r="V168" i="12"/>
  <c r="V166" i="12"/>
  <c r="V150" i="12"/>
  <c r="V143" i="12"/>
  <c r="V139" i="12"/>
  <c r="V135" i="12"/>
  <c r="V131" i="12"/>
  <c r="V127" i="12"/>
  <c r="V123" i="12"/>
  <c r="V119" i="12"/>
  <c r="V115" i="12"/>
  <c r="V111" i="12"/>
  <c r="V237" i="12"/>
  <c r="V216" i="12"/>
  <c r="V208" i="12"/>
  <c r="V199" i="12"/>
  <c r="V196" i="12"/>
  <c r="V183" i="12"/>
  <c r="V147" i="12"/>
  <c r="V192" i="12"/>
  <c r="V190" i="12"/>
  <c r="V157" i="12"/>
  <c r="V235" i="12"/>
  <c r="V221" i="12"/>
  <c r="V205" i="12"/>
  <c r="V197" i="12"/>
  <c r="V169" i="12"/>
  <c r="V164" i="12"/>
  <c r="V154" i="12"/>
  <c r="V144" i="12"/>
  <c r="V140" i="12"/>
  <c r="V136" i="12"/>
  <c r="V132" i="12"/>
  <c r="V128" i="12"/>
  <c r="V124" i="12"/>
  <c r="V120" i="12"/>
  <c r="V116" i="12"/>
  <c r="V112" i="12"/>
  <c r="V108" i="12"/>
  <c r="V256" i="12"/>
  <c r="V253" i="12"/>
  <c r="V245" i="12"/>
  <c r="V211" i="12"/>
  <c r="V180" i="12"/>
  <c r="V171" i="12"/>
  <c r="V151" i="12"/>
  <c r="V148" i="12"/>
  <c r="V219" i="12"/>
  <c r="V188" i="12"/>
  <c r="V181" i="12"/>
  <c r="V247" i="12"/>
  <c r="V232" i="12"/>
  <c r="V227" i="12"/>
  <c r="V175" i="12"/>
  <c r="V167" i="12"/>
  <c r="V160" i="12"/>
  <c r="V155" i="12"/>
  <c r="V152" i="12"/>
  <c r="V125" i="12"/>
  <c r="V137" i="12"/>
  <c r="V184" i="12"/>
  <c r="V158" i="12"/>
  <c r="V133" i="12"/>
  <c r="V165" i="12"/>
  <c r="V141" i="12"/>
  <c r="V121" i="12"/>
  <c r="V113" i="12"/>
  <c r="V129" i="12"/>
  <c r="V145" i="12"/>
  <c r="V117" i="12"/>
  <c r="V109" i="12"/>
  <c r="T250" i="15"/>
  <c r="P260" i="12"/>
  <c r="X160" i="12"/>
  <c r="H27" i="52"/>
  <c r="N18" i="52"/>
  <c r="T27" i="47"/>
  <c r="Z18" i="47"/>
  <c r="P27" i="50"/>
  <c r="X18" i="50"/>
  <c r="L18" i="34"/>
  <c r="D27" i="34"/>
  <c r="X18" i="28"/>
  <c r="P27" i="28"/>
  <c r="X18" i="17"/>
  <c r="P27" i="17"/>
  <c r="L18" i="16"/>
  <c r="D27" i="16"/>
  <c r="D27" i="14"/>
  <c r="L18" i="14"/>
  <c r="X18" i="11"/>
  <c r="P27" i="11"/>
  <c r="P27" i="7"/>
  <c r="X18" i="7"/>
  <c r="V58" i="110"/>
  <c r="V42" i="110"/>
  <c r="V53" i="110"/>
  <c r="V41" i="110"/>
  <c r="V33" i="110"/>
  <c r="V29" i="110"/>
  <c r="V60" i="110"/>
  <c r="V44" i="110"/>
  <c r="V28" i="110"/>
  <c r="V24" i="110"/>
  <c r="V20" i="110"/>
  <c r="V59" i="110"/>
  <c r="V64" i="110"/>
  <c r="V54" i="110"/>
  <c r="V46" i="110"/>
  <c r="V34" i="110"/>
  <c r="V30" i="110"/>
  <c r="V63" i="110"/>
  <c r="V61" i="110"/>
  <c r="V56" i="110"/>
  <c r="V48" i="110"/>
  <c r="V36" i="110"/>
  <c r="V47" i="110"/>
  <c r="V35" i="110"/>
  <c r="V31" i="110"/>
  <c r="V68" i="110"/>
  <c r="V50" i="110"/>
  <c r="V38" i="110"/>
  <c r="V26" i="110"/>
  <c r="V22" i="110"/>
  <c r="V52" i="110"/>
  <c r="T17" i="110"/>
  <c r="V40" i="110"/>
  <c r="V27" i="110"/>
  <c r="V25" i="110"/>
  <c r="V23" i="110"/>
  <c r="V21" i="110"/>
  <c r="V19" i="110"/>
  <c r="V45" i="110"/>
  <c r="V57" i="110"/>
  <c r="V55" i="110"/>
  <c r="V43" i="110"/>
  <c r="V32" i="110"/>
  <c r="V49" i="110"/>
  <c r="V37" i="110"/>
  <c r="V17" i="110"/>
  <c r="V39" i="110"/>
  <c r="V51" i="110"/>
  <c r="V15" i="110"/>
  <c r="T49" i="105"/>
  <c r="V53" i="104"/>
  <c r="V41" i="104"/>
  <c r="V37" i="104"/>
  <c r="V76" i="104"/>
  <c r="V68" i="104"/>
  <c r="V64" i="104"/>
  <c r="V56" i="104"/>
  <c r="V44" i="104"/>
  <c r="V32" i="104"/>
  <c r="V28" i="104"/>
  <c r="V63" i="104"/>
  <c r="V55" i="104"/>
  <c r="V43" i="104"/>
  <c r="V19" i="104"/>
  <c r="V58" i="104"/>
  <c r="V46" i="104"/>
  <c r="V38" i="104"/>
  <c r="V79" i="104"/>
  <c r="V77" i="104"/>
  <c r="V69" i="104"/>
  <c r="V65" i="104"/>
  <c r="V57" i="104"/>
  <c r="V45" i="104"/>
  <c r="V33" i="104"/>
  <c r="V29" i="104"/>
  <c r="V25" i="104"/>
  <c r="V60" i="104"/>
  <c r="V48" i="104"/>
  <c r="V24" i="104"/>
  <c r="V20" i="104"/>
  <c r="V71" i="104"/>
  <c r="V59" i="104"/>
  <c r="V47" i="104"/>
  <c r="V39" i="104"/>
  <c r="V35" i="104"/>
  <c r="T22" i="104"/>
  <c r="V70" i="104"/>
  <c r="V66" i="104"/>
  <c r="V50" i="104"/>
  <c r="V34" i="104"/>
  <c r="V30" i="104"/>
  <c r="V26" i="104"/>
  <c r="V83" i="104"/>
  <c r="V73" i="104"/>
  <c r="V61" i="104"/>
  <c r="V72" i="104"/>
  <c r="V52" i="104"/>
  <c r="V40" i="104"/>
  <c r="V36" i="104"/>
  <c r="Z12" i="104"/>
  <c r="V75" i="104"/>
  <c r="V67" i="104"/>
  <c r="V51" i="104"/>
  <c r="V31" i="104"/>
  <c r="V27" i="104"/>
  <c r="V74" i="104"/>
  <c r="V62" i="104"/>
  <c r="V54" i="104"/>
  <c r="V42" i="104"/>
  <c r="V18" i="104"/>
  <c r="V49" i="104"/>
  <c r="V76" i="102"/>
  <c r="V62" i="94"/>
  <c r="P82" i="88"/>
  <c r="D82" i="88"/>
  <c r="L20" i="88"/>
  <c r="V106" i="85"/>
  <c r="V98" i="85"/>
  <c r="V82" i="85"/>
  <c r="V70" i="85"/>
  <c r="V105" i="85"/>
  <c r="V101" i="85"/>
  <c r="V93" i="85"/>
  <c r="V81" i="85"/>
  <c r="V69" i="85"/>
  <c r="V65" i="85"/>
  <c r="V107" i="85"/>
  <c r="V95" i="85"/>
  <c r="V83" i="85"/>
  <c r="V71" i="85"/>
  <c r="V55" i="85"/>
  <c r="V51" i="85"/>
  <c r="V47" i="85"/>
  <c r="V110" i="85"/>
  <c r="V102" i="85"/>
  <c r="V94" i="85"/>
  <c r="V86" i="85"/>
  <c r="V74" i="85"/>
  <c r="V66" i="85"/>
  <c r="V109" i="85"/>
  <c r="V85" i="85"/>
  <c r="V73" i="85"/>
  <c r="V61" i="85"/>
  <c r="V57" i="85"/>
  <c r="V96" i="85"/>
  <c r="V88" i="85"/>
  <c r="V76" i="85"/>
  <c r="V113" i="85"/>
  <c r="V111" i="85"/>
  <c r="V103" i="85"/>
  <c r="V87" i="85"/>
  <c r="V75" i="85"/>
  <c r="V67" i="85"/>
  <c r="V97" i="85"/>
  <c r="V89" i="85"/>
  <c r="V77" i="85"/>
  <c r="V49" i="85"/>
  <c r="V104" i="85"/>
  <c r="V92" i="85"/>
  <c r="V80" i="85"/>
  <c r="V68" i="85"/>
  <c r="V117" i="85"/>
  <c r="V99" i="85"/>
  <c r="V91" i="85"/>
  <c r="V79" i="85"/>
  <c r="V90" i="85"/>
  <c r="V84" i="85"/>
  <c r="V56" i="85"/>
  <c r="V46" i="85"/>
  <c r="V43" i="85"/>
  <c r="V39" i="85"/>
  <c r="V35" i="85"/>
  <c r="V62" i="85"/>
  <c r="V59" i="85"/>
  <c r="V78" i="85"/>
  <c r="V40" i="85"/>
  <c r="V36" i="85"/>
  <c r="V72" i="85"/>
  <c r="T53" i="85"/>
  <c r="V53" i="85" s="1"/>
  <c r="V44" i="85"/>
  <c r="V64" i="85"/>
  <c r="V58" i="85"/>
  <c r="V41" i="85"/>
  <c r="V37" i="85"/>
  <c r="V100" i="85"/>
  <c r="V63" i="85"/>
  <c r="V60" i="85"/>
  <c r="V48" i="85"/>
  <c r="V42" i="85"/>
  <c r="V38" i="85"/>
  <c r="V45" i="85"/>
  <c r="V50" i="85"/>
  <c r="V108" i="85"/>
  <c r="R117" i="85"/>
  <c r="R92" i="85"/>
  <c r="R91" i="85"/>
  <c r="R80" i="85"/>
  <c r="R79" i="85"/>
  <c r="R63" i="85"/>
  <c r="R59" i="85"/>
  <c r="R99" i="85"/>
  <c r="R98" i="85"/>
  <c r="R50" i="85"/>
  <c r="R46" i="85"/>
  <c r="R101" i="85"/>
  <c r="R100" i="85"/>
  <c r="R65" i="85"/>
  <c r="R64" i="85"/>
  <c r="R60" i="85"/>
  <c r="R108" i="85"/>
  <c r="R107" i="85"/>
  <c r="R84" i="85"/>
  <c r="R83" i="85"/>
  <c r="R72" i="85"/>
  <c r="R71" i="85"/>
  <c r="R56" i="85"/>
  <c r="R102" i="85"/>
  <c r="R95" i="85"/>
  <c r="R94" i="85"/>
  <c r="R66" i="85"/>
  <c r="R110" i="85"/>
  <c r="R109" i="85"/>
  <c r="R86" i="85"/>
  <c r="R85" i="85"/>
  <c r="R74" i="85"/>
  <c r="R73" i="85"/>
  <c r="R61" i="85"/>
  <c r="R57" i="85"/>
  <c r="R96" i="85"/>
  <c r="R48" i="85"/>
  <c r="R44" i="85"/>
  <c r="R113" i="85"/>
  <c r="R62" i="85"/>
  <c r="R58" i="85"/>
  <c r="R97" i="85"/>
  <c r="R90" i="85"/>
  <c r="R89" i="85"/>
  <c r="R78" i="85"/>
  <c r="R77" i="85"/>
  <c r="R104" i="85"/>
  <c r="R68" i="85"/>
  <c r="R88" i="85"/>
  <c r="R75" i="85"/>
  <c r="R51" i="85"/>
  <c r="R82" i="85"/>
  <c r="R43" i="85"/>
  <c r="R39" i="85"/>
  <c r="R67" i="85"/>
  <c r="R49" i="85"/>
  <c r="R35" i="85"/>
  <c r="R69" i="85"/>
  <c r="R103" i="85"/>
  <c r="R76" i="85"/>
  <c r="R40" i="85"/>
  <c r="R36" i="85"/>
  <c r="R111" i="85"/>
  <c r="R105" i="85"/>
  <c r="R47" i="85"/>
  <c r="R70" i="85"/>
  <c r="P53" i="85"/>
  <c r="R45" i="85"/>
  <c r="X12" i="85"/>
  <c r="Z12" i="85" s="1"/>
  <c r="R106" i="85"/>
  <c r="R93" i="85"/>
  <c r="R87" i="85"/>
  <c r="R81" i="85"/>
  <c r="R55" i="85"/>
  <c r="R42" i="85"/>
  <c r="R38" i="85"/>
  <c r="R37" i="85"/>
  <c r="R41" i="85"/>
  <c r="D115" i="85"/>
  <c r="L53" i="85"/>
  <c r="J64" i="80"/>
  <c r="J52" i="80"/>
  <c r="J44" i="80"/>
  <c r="J66" i="80"/>
  <c r="J58" i="80"/>
  <c r="J46" i="80"/>
  <c r="J30" i="80"/>
  <c r="J26" i="80"/>
  <c r="J16" i="80"/>
  <c r="J53" i="80"/>
  <c r="J31" i="80"/>
  <c r="J70" i="80"/>
  <c r="J36" i="80"/>
  <c r="J32" i="80"/>
  <c r="N12" i="80"/>
  <c r="J54" i="80"/>
  <c r="J38" i="80"/>
  <c r="J18" i="80"/>
  <c r="J55" i="80"/>
  <c r="J39" i="80"/>
  <c r="J33" i="80"/>
  <c r="J23" i="80"/>
  <c r="J61" i="80"/>
  <c r="J49" i="80"/>
  <c r="J41" i="80"/>
  <c r="J62" i="80"/>
  <c r="J50" i="80"/>
  <c r="J42" i="80"/>
  <c r="J34" i="80"/>
  <c r="J63" i="80"/>
  <c r="J57" i="80"/>
  <c r="J51" i="80"/>
  <c r="J43" i="80"/>
  <c r="J29" i="80"/>
  <c r="J25" i="80"/>
  <c r="J60" i="80"/>
  <c r="J35" i="80"/>
  <c r="J20" i="80"/>
  <c r="J17" i="80"/>
  <c r="J56" i="80"/>
  <c r="H20" i="80"/>
  <c r="J48" i="80"/>
  <c r="J27" i="80"/>
  <c r="J40" i="80"/>
  <c r="J59" i="80"/>
  <c r="J45" i="80"/>
  <c r="J28" i="80"/>
  <c r="J24" i="80"/>
  <c r="J22" i="80"/>
  <c r="J47" i="80"/>
  <c r="J37" i="80"/>
  <c r="R65" i="77"/>
  <c r="R64" i="77"/>
  <c r="R60" i="77"/>
  <c r="R56" i="77"/>
  <c r="P52" i="77"/>
  <c r="R84" i="77"/>
  <c r="R83" i="77"/>
  <c r="R72" i="77"/>
  <c r="R71" i="77"/>
  <c r="R47" i="77"/>
  <c r="R43" i="77"/>
  <c r="R39" i="77"/>
  <c r="R66" i="77"/>
  <c r="R85" i="77"/>
  <c r="R74" i="77"/>
  <c r="R73" i="77"/>
  <c r="R61" i="77"/>
  <c r="R57" i="77"/>
  <c r="R48" i="77"/>
  <c r="R44" i="77"/>
  <c r="R40" i="77"/>
  <c r="R76" i="77"/>
  <c r="R75" i="77"/>
  <c r="R67" i="77"/>
  <c r="R93" i="77"/>
  <c r="R87" i="77"/>
  <c r="R86" i="77"/>
  <c r="R62" i="77"/>
  <c r="R58" i="77"/>
  <c r="R92" i="77"/>
  <c r="R78" i="77"/>
  <c r="R77" i="77"/>
  <c r="R49" i="77"/>
  <c r="R45" i="77"/>
  <c r="R41" i="77"/>
  <c r="R91" i="77"/>
  <c r="R88" i="77"/>
  <c r="R68" i="77"/>
  <c r="R37" i="77"/>
  <c r="X12" i="77"/>
  <c r="R97" i="77"/>
  <c r="R90" i="77"/>
  <c r="R80" i="77"/>
  <c r="R79" i="77"/>
  <c r="R63" i="77"/>
  <c r="R59" i="77"/>
  <c r="R55" i="77"/>
  <c r="R50" i="77"/>
  <c r="R46" i="77"/>
  <c r="R42" i="77"/>
  <c r="R38" i="77"/>
  <c r="R52" i="77"/>
  <c r="R69" i="77"/>
  <c r="R81" i="77"/>
  <c r="R70" i="77"/>
  <c r="R82" i="77"/>
  <c r="R54" i="77"/>
  <c r="T68" i="70"/>
  <c r="H68" i="70"/>
  <c r="F109" i="71"/>
  <c r="T96" i="64"/>
  <c r="D62" i="59"/>
  <c r="L16" i="59"/>
  <c r="T31" i="55"/>
  <c r="Z16" i="55"/>
  <c r="T78" i="58"/>
  <c r="D53" i="60"/>
  <c r="J111" i="42"/>
  <c r="J103" i="42"/>
  <c r="J79" i="42"/>
  <c r="J71" i="42"/>
  <c r="J61" i="42"/>
  <c r="J53" i="42"/>
  <c r="J41" i="42"/>
  <c r="H28" i="42"/>
  <c r="J104" i="42"/>
  <c r="J105" i="42"/>
  <c r="J97" i="42"/>
  <c r="J93" i="42"/>
  <c r="J81" i="42"/>
  <c r="J73" i="42"/>
  <c r="J63" i="42"/>
  <c r="J55" i="42"/>
  <c r="J37" i="42"/>
  <c r="J33" i="42"/>
  <c r="J74" i="42"/>
  <c r="J64" i="42"/>
  <c r="J56" i="42"/>
  <c r="J87" i="42"/>
  <c r="J75" i="42"/>
  <c r="J106" i="42"/>
  <c r="J98" i="42"/>
  <c r="J94" i="42"/>
  <c r="J82" i="42"/>
  <c r="J76" i="42"/>
  <c r="J66" i="42"/>
  <c r="J38" i="42"/>
  <c r="J34" i="42"/>
  <c r="J24" i="42"/>
  <c r="J83" i="42"/>
  <c r="J77" i="42"/>
  <c r="J57" i="42"/>
  <c r="J88" i="42"/>
  <c r="J84" i="42"/>
  <c r="J48" i="42"/>
  <c r="J44" i="42"/>
  <c r="J114" i="42"/>
  <c r="J108" i="42"/>
  <c r="J100" i="42"/>
  <c r="J90" i="42"/>
  <c r="J78" i="42"/>
  <c r="J68" i="42"/>
  <c r="J58" i="42"/>
  <c r="J50" i="42"/>
  <c r="J26" i="42"/>
  <c r="J118" i="42"/>
  <c r="J112" i="42"/>
  <c r="J102" i="42"/>
  <c r="J96" i="42"/>
  <c r="J92" i="42"/>
  <c r="J70" i="42"/>
  <c r="J60" i="42"/>
  <c r="J52" i="42"/>
  <c r="J40" i="42"/>
  <c r="J36" i="42"/>
  <c r="J32" i="42"/>
  <c r="J30" i="42"/>
  <c r="J28" i="42"/>
  <c r="J101" i="42"/>
  <c r="J35" i="42"/>
  <c r="J25" i="42"/>
  <c r="J113" i="42"/>
  <c r="J59" i="42"/>
  <c r="J51" i="42"/>
  <c r="J49" i="42"/>
  <c r="J107" i="42"/>
  <c r="J86" i="42"/>
  <c r="J39" i="42"/>
  <c r="J109" i="42"/>
  <c r="J95" i="42"/>
  <c r="J62" i="42"/>
  <c r="J47" i="42"/>
  <c r="J45" i="42"/>
  <c r="J43" i="42"/>
  <c r="J54" i="42"/>
  <c r="J69" i="42"/>
  <c r="J67" i="42"/>
  <c r="J65" i="42"/>
  <c r="J99" i="42"/>
  <c r="J91" i="42"/>
  <c r="J80" i="42"/>
  <c r="J46" i="42"/>
  <c r="J31" i="42"/>
  <c r="J89" i="42"/>
  <c r="J42" i="42"/>
  <c r="J85" i="42"/>
  <c r="J72" i="42"/>
  <c r="L138" i="30"/>
  <c r="N138" i="30" s="1"/>
  <c r="L110" i="27"/>
  <c r="F265" i="18"/>
  <c r="T27" i="113"/>
  <c r="Z18" i="113"/>
  <c r="T27" i="111"/>
  <c r="Z18" i="111"/>
  <c r="H27" i="112"/>
  <c r="N18" i="112"/>
  <c r="H27" i="53"/>
  <c r="N18" i="53"/>
  <c r="H27" i="46"/>
  <c r="N18" i="46"/>
  <c r="L18" i="46"/>
  <c r="D27" i="46"/>
  <c r="T27" i="49"/>
  <c r="Z18" i="49"/>
  <c r="L18" i="40"/>
  <c r="D27" i="40"/>
  <c r="D27" i="38"/>
  <c r="L18" i="38"/>
  <c r="H27" i="35"/>
  <c r="N18" i="35"/>
  <c r="N18" i="37"/>
  <c r="H27" i="37"/>
  <c r="D27" i="37"/>
  <c r="L18" i="37"/>
  <c r="X18" i="32"/>
  <c r="P27" i="32"/>
  <c r="Z18" i="32"/>
  <c r="T27" i="32"/>
  <c r="H27" i="7"/>
  <c r="N18" i="7"/>
  <c r="R52" i="110"/>
  <c r="R51" i="110"/>
  <c r="R40" i="110"/>
  <c r="R39" i="110"/>
  <c r="R27" i="110"/>
  <c r="R23" i="110"/>
  <c r="R58" i="110"/>
  <c r="R53" i="110"/>
  <c r="R42" i="110"/>
  <c r="R41" i="110"/>
  <c r="R33" i="110"/>
  <c r="R60" i="110"/>
  <c r="R59" i="110"/>
  <c r="R44" i="110"/>
  <c r="R43" i="110"/>
  <c r="R20" i="110"/>
  <c r="R55" i="110"/>
  <c r="R54" i="110"/>
  <c r="R64" i="110"/>
  <c r="R61" i="110"/>
  <c r="R46" i="110"/>
  <c r="R45" i="110"/>
  <c r="R25" i="110"/>
  <c r="R21" i="110"/>
  <c r="R63" i="110"/>
  <c r="R56" i="110"/>
  <c r="R48" i="110"/>
  <c r="R47" i="110"/>
  <c r="R36" i="110"/>
  <c r="R35" i="110"/>
  <c r="R31" i="110"/>
  <c r="R68" i="110"/>
  <c r="R49" i="110"/>
  <c r="R37" i="110"/>
  <c r="R29" i="110"/>
  <c r="R17" i="110"/>
  <c r="X12" i="110"/>
  <c r="Z12" i="110" s="1"/>
  <c r="P17" i="110"/>
  <c r="R50" i="110"/>
  <c r="R38" i="110"/>
  <c r="R19" i="110"/>
  <c r="R57" i="110"/>
  <c r="R30" i="110"/>
  <c r="R34" i="110"/>
  <c r="R32" i="110"/>
  <c r="R26" i="110"/>
  <c r="R22" i="110"/>
  <c r="R24" i="110"/>
  <c r="R15" i="110"/>
  <c r="R28" i="110"/>
  <c r="J68" i="110"/>
  <c r="J48" i="110"/>
  <c r="J36" i="110"/>
  <c r="J26" i="110"/>
  <c r="J22" i="110"/>
  <c r="J57" i="110"/>
  <c r="J49" i="110"/>
  <c r="J37" i="110"/>
  <c r="J50" i="110"/>
  <c r="J38" i="110"/>
  <c r="J32" i="110"/>
  <c r="N12" i="110"/>
  <c r="J58" i="110"/>
  <c r="J52" i="110"/>
  <c r="J40" i="110"/>
  <c r="J53" i="110"/>
  <c r="J42" i="110"/>
  <c r="J28" i="110"/>
  <c r="J24" i="110"/>
  <c r="J59" i="110"/>
  <c r="J43" i="110"/>
  <c r="J29" i="110"/>
  <c r="J60" i="110"/>
  <c r="J54" i="110"/>
  <c r="J44" i="110"/>
  <c r="J34" i="110"/>
  <c r="J30" i="110"/>
  <c r="J20" i="110"/>
  <c r="J61" i="110"/>
  <c r="J64" i="110"/>
  <c r="J51" i="110"/>
  <c r="J39" i="110"/>
  <c r="J15" i="110"/>
  <c r="J56" i="110"/>
  <c r="J33" i="110"/>
  <c r="J31" i="110"/>
  <c r="J47" i="110"/>
  <c r="J35" i="110"/>
  <c r="J27" i="110"/>
  <c r="J25" i="110"/>
  <c r="J23" i="110"/>
  <c r="J21" i="110"/>
  <c r="J17" i="110"/>
  <c r="H17" i="110"/>
  <c r="J63" i="110"/>
  <c r="J45" i="110"/>
  <c r="J19" i="110"/>
  <c r="J41" i="110"/>
  <c r="J55" i="110"/>
  <c r="J46" i="110"/>
  <c r="H35" i="109"/>
  <c r="N16" i="109"/>
  <c r="V61" i="101"/>
  <c r="V43" i="101"/>
  <c r="V31" i="101"/>
  <c r="V27" i="101"/>
  <c r="V50" i="101"/>
  <c r="V34" i="101"/>
  <c r="V26" i="101"/>
  <c r="V45" i="101"/>
  <c r="V33" i="101"/>
  <c r="V17" i="101"/>
  <c r="V44" i="101"/>
  <c r="V36" i="101"/>
  <c r="V28" i="101"/>
  <c r="Z12" i="101"/>
  <c r="V51" i="101"/>
  <c r="V47" i="101"/>
  <c r="V35" i="101"/>
  <c r="V23" i="101"/>
  <c r="V46" i="101"/>
  <c r="V38" i="101"/>
  <c r="V22" i="101"/>
  <c r="V18" i="101"/>
  <c r="V53" i="101"/>
  <c r="V37" i="101"/>
  <c r="V29" i="101"/>
  <c r="T20" i="101"/>
  <c r="V52" i="101"/>
  <c r="V48" i="101"/>
  <c r="V40" i="101"/>
  <c r="V24" i="101"/>
  <c r="V56" i="101"/>
  <c r="V54" i="101"/>
  <c r="V42" i="101"/>
  <c r="V30" i="101"/>
  <c r="V49" i="101"/>
  <c r="V41" i="101"/>
  <c r="V25" i="101"/>
  <c r="V57" i="101"/>
  <c r="V16" i="101"/>
  <c r="V32" i="101"/>
  <c r="V39" i="101"/>
  <c r="D31" i="99"/>
  <c r="H86" i="96"/>
  <c r="D65" i="94"/>
  <c r="L20" i="94"/>
  <c r="J61" i="89"/>
  <c r="J57" i="89"/>
  <c r="J49" i="89"/>
  <c r="J37" i="89"/>
  <c r="J33" i="89"/>
  <c r="J23" i="89"/>
  <c r="J50" i="89"/>
  <c r="J38" i="89"/>
  <c r="J28" i="89"/>
  <c r="J24" i="89"/>
  <c r="J22" i="89"/>
  <c r="J20" i="89"/>
  <c r="J51" i="89"/>
  <c r="J39" i="89"/>
  <c r="H20" i="89"/>
  <c r="J62" i="89"/>
  <c r="J58" i="89"/>
  <c r="J40" i="89"/>
  <c r="J34" i="89"/>
  <c r="J63" i="89"/>
  <c r="J41" i="89"/>
  <c r="J29" i="89"/>
  <c r="J25" i="89"/>
  <c r="J64" i="89"/>
  <c r="J52" i="89"/>
  <c r="J42" i="89"/>
  <c r="J65" i="89"/>
  <c r="J59" i="89"/>
  <c r="J43" i="89"/>
  <c r="J35" i="89"/>
  <c r="J68" i="89"/>
  <c r="J60" i="89"/>
  <c r="J54" i="89"/>
  <c r="J46" i="89"/>
  <c r="J36" i="89"/>
  <c r="J55" i="89"/>
  <c r="J47" i="89"/>
  <c r="J31" i="89"/>
  <c r="J27" i="89"/>
  <c r="L12" i="89"/>
  <c r="N12" i="89" s="1"/>
  <c r="J72" i="89"/>
  <c r="J56" i="89"/>
  <c r="J48" i="89"/>
  <c r="J32" i="89"/>
  <c r="J18" i="89"/>
  <c r="J66" i="89"/>
  <c r="J17" i="89"/>
  <c r="J45" i="89"/>
  <c r="J26" i="89"/>
  <c r="J53" i="89"/>
  <c r="J16" i="89"/>
  <c r="J30" i="89"/>
  <c r="J44" i="89"/>
  <c r="D73" i="81"/>
  <c r="L20" i="81"/>
  <c r="J69" i="73"/>
  <c r="J47" i="73"/>
  <c r="J39" i="73"/>
  <c r="J70" i="73"/>
  <c r="J58" i="73"/>
  <c r="J48" i="73"/>
  <c r="J34" i="73"/>
  <c r="J30" i="73"/>
  <c r="J20" i="73"/>
  <c r="J71" i="73"/>
  <c r="J65" i="73"/>
  <c r="J49" i="73"/>
  <c r="J21" i="73"/>
  <c r="J72" i="73"/>
  <c r="J50" i="73"/>
  <c r="J40" i="73"/>
  <c r="J59" i="73"/>
  <c r="J51" i="73"/>
  <c r="J35" i="73"/>
  <c r="J31" i="73"/>
  <c r="J74" i="73"/>
  <c r="J66" i="73"/>
  <c r="J60" i="73"/>
  <c r="J52" i="73"/>
  <c r="J36" i="73"/>
  <c r="J22" i="73"/>
  <c r="J61" i="73"/>
  <c r="J53" i="73"/>
  <c r="J41" i="73"/>
  <c r="J37" i="73"/>
  <c r="J27" i="73"/>
  <c r="J78" i="73"/>
  <c r="J62" i="73"/>
  <c r="J54" i="73"/>
  <c r="J42" i="73"/>
  <c r="J32" i="73"/>
  <c r="J28" i="73"/>
  <c r="J26" i="73"/>
  <c r="J56" i="73"/>
  <c r="J44" i="73"/>
  <c r="J38" i="73"/>
  <c r="J57" i="73"/>
  <c r="J45" i="73"/>
  <c r="J33" i="73"/>
  <c r="J29" i="73"/>
  <c r="J63" i="73"/>
  <c r="J67" i="73"/>
  <c r="J43" i="73"/>
  <c r="J64" i="73"/>
  <c r="H24" i="73"/>
  <c r="J55" i="73"/>
  <c r="J46" i="73"/>
  <c r="J68" i="73"/>
  <c r="J95" i="75"/>
  <c r="J105" i="75"/>
  <c r="J97" i="75"/>
  <c r="J74" i="75"/>
  <c r="J66" i="75"/>
  <c r="J85" i="75"/>
  <c r="J75" i="75"/>
  <c r="J61" i="75"/>
  <c r="J57" i="75"/>
  <c r="J92" i="75"/>
  <c r="J86" i="75"/>
  <c r="J76" i="75"/>
  <c r="J62" i="75"/>
  <c r="J48" i="75"/>
  <c r="J44" i="75"/>
  <c r="J40" i="75"/>
  <c r="J36" i="75"/>
  <c r="J98" i="75"/>
  <c r="J87" i="75"/>
  <c r="J77" i="75"/>
  <c r="J67" i="75"/>
  <c r="J63" i="75"/>
  <c r="J53" i="75"/>
  <c r="J93" i="75"/>
  <c r="J88" i="75"/>
  <c r="J78" i="75"/>
  <c r="J68" i="75"/>
  <c r="J58" i="75"/>
  <c r="J54" i="75"/>
  <c r="J52" i="75"/>
  <c r="J89" i="75"/>
  <c r="J79" i="75"/>
  <c r="J69" i="75"/>
  <c r="H50" i="75"/>
  <c r="J45" i="75"/>
  <c r="J41" i="75"/>
  <c r="J37" i="75"/>
  <c r="J80" i="75"/>
  <c r="J70" i="75"/>
  <c r="J64" i="75"/>
  <c r="J100" i="75"/>
  <c r="J94" i="75"/>
  <c r="J81" i="75"/>
  <c r="J71" i="75"/>
  <c r="J59" i="75"/>
  <c r="J55" i="75"/>
  <c r="L12" i="75"/>
  <c r="N12" i="75" s="1"/>
  <c r="J83" i="75"/>
  <c r="J65" i="75"/>
  <c r="J84" i="75"/>
  <c r="J72" i="75"/>
  <c r="J60" i="75"/>
  <c r="J56" i="75"/>
  <c r="J34" i="75"/>
  <c r="J96" i="75"/>
  <c r="J91" i="75"/>
  <c r="J73" i="75"/>
  <c r="J47" i="75"/>
  <c r="J43" i="75"/>
  <c r="J39" i="75"/>
  <c r="J35" i="75"/>
  <c r="J46" i="75"/>
  <c r="J82" i="75"/>
  <c r="J101" i="75"/>
  <c r="J38" i="75"/>
  <c r="J90" i="75"/>
  <c r="J42" i="75"/>
  <c r="D68" i="70"/>
  <c r="L20" i="70"/>
  <c r="N20" i="70" s="1"/>
  <c r="L16" i="64"/>
  <c r="D92" i="64"/>
  <c r="D51" i="61"/>
  <c r="L16" i="61"/>
  <c r="H66" i="59"/>
  <c r="L63" i="48"/>
  <c r="N63" i="48" s="1"/>
  <c r="F63" i="48"/>
  <c r="J138" i="30"/>
  <c r="D89" i="33"/>
  <c r="L37" i="33"/>
  <c r="P141" i="30"/>
  <c r="D102" i="21"/>
  <c r="L27" i="21"/>
  <c r="X16" i="9"/>
  <c r="P90" i="9"/>
  <c r="H260" i="12"/>
  <c r="X18" i="113"/>
  <c r="P27" i="113"/>
  <c r="X18" i="112"/>
  <c r="P27" i="112"/>
  <c r="X18" i="52"/>
  <c r="P27" i="52"/>
  <c r="X18" i="46"/>
  <c r="P27" i="46"/>
  <c r="H27" i="50"/>
  <c r="N18" i="50"/>
  <c r="P27" i="43"/>
  <c r="X18" i="43"/>
  <c r="H27" i="26"/>
  <c r="N18" i="26"/>
  <c r="D27" i="26"/>
  <c r="L18" i="26"/>
  <c r="H27" i="20"/>
  <c r="N18" i="20"/>
  <c r="T27" i="13"/>
  <c r="Z18" i="13"/>
  <c r="D70" i="110"/>
  <c r="D56" i="105"/>
  <c r="X22" i="104"/>
  <c r="P81" i="104"/>
  <c r="N40" i="100"/>
  <c r="D48" i="103"/>
  <c r="L16" i="103"/>
  <c r="D59" i="101"/>
  <c r="L20" i="101"/>
  <c r="D85" i="92"/>
  <c r="L16" i="92"/>
  <c r="P70" i="89"/>
  <c r="X20" i="89"/>
  <c r="D74" i="89"/>
  <c r="P63" i="79"/>
  <c r="X25" i="79"/>
  <c r="P54" i="68"/>
  <c r="X16" i="68"/>
  <c r="V71" i="74"/>
  <c r="V63" i="74"/>
  <c r="V70" i="74"/>
  <c r="V58" i="74"/>
  <c r="V54" i="74"/>
  <c r="V83" i="74"/>
  <c r="V73" i="74"/>
  <c r="V53" i="74"/>
  <c r="V49" i="74"/>
  <c r="V45" i="74"/>
  <c r="V41" i="74"/>
  <c r="V37" i="74"/>
  <c r="V72" i="74"/>
  <c r="V64" i="74"/>
  <c r="T51" i="74"/>
  <c r="V51" i="74" s="1"/>
  <c r="Z12" i="74"/>
  <c r="V59" i="74"/>
  <c r="V55" i="74"/>
  <c r="V74" i="74"/>
  <c r="V66" i="74"/>
  <c r="V46" i="74"/>
  <c r="V42" i="74"/>
  <c r="V38" i="74"/>
  <c r="V65" i="74"/>
  <c r="V76" i="74"/>
  <c r="V68" i="74"/>
  <c r="V60" i="74"/>
  <c r="V56" i="74"/>
  <c r="V62" i="74"/>
  <c r="V79" i="74"/>
  <c r="V77" i="74"/>
  <c r="V69" i="74"/>
  <c r="V61" i="74"/>
  <c r="V57" i="74"/>
  <c r="V48" i="74"/>
  <c r="V44" i="74"/>
  <c r="V67" i="74"/>
  <c r="V36" i="74"/>
  <c r="V47" i="74"/>
  <c r="V39" i="74"/>
  <c r="V75" i="74"/>
  <c r="V35" i="74"/>
  <c r="V43" i="74"/>
  <c r="V40" i="74"/>
  <c r="J20" i="70"/>
  <c r="X65" i="69"/>
  <c r="Z65" i="69" s="1"/>
  <c r="P107" i="69"/>
  <c r="T62" i="57"/>
  <c r="Z16" i="57"/>
  <c r="H62" i="57"/>
  <c r="N16" i="57"/>
  <c r="H35" i="55"/>
  <c r="D66" i="57"/>
  <c r="L62" i="57"/>
  <c r="R63" i="48"/>
  <c r="V117" i="39"/>
  <c r="V109" i="39"/>
  <c r="V105" i="39"/>
  <c r="V93" i="39"/>
  <c r="V77" i="39"/>
  <c r="V65" i="39"/>
  <c r="V57" i="39"/>
  <c r="V37" i="39"/>
  <c r="V33" i="39"/>
  <c r="V100" i="39"/>
  <c r="V88" i="39"/>
  <c r="V68" i="39"/>
  <c r="V60" i="39"/>
  <c r="V52" i="39"/>
  <c r="V48" i="39"/>
  <c r="T35" i="39"/>
  <c r="V35" i="39" s="1"/>
  <c r="V99" i="39"/>
  <c r="V95" i="39"/>
  <c r="V79" i="39"/>
  <c r="V67" i="39"/>
  <c r="V59" i="39"/>
  <c r="V47" i="39"/>
  <c r="V43" i="39"/>
  <c r="V39" i="39"/>
  <c r="V118" i="39"/>
  <c r="V110" i="39"/>
  <c r="V106" i="39"/>
  <c r="V78" i="39"/>
  <c r="V70" i="39"/>
  <c r="V62" i="39"/>
  <c r="V101" i="39"/>
  <c r="V89" i="39"/>
  <c r="V81" i="39"/>
  <c r="V69" i="39"/>
  <c r="V61" i="39"/>
  <c r="V53" i="39"/>
  <c r="V49" i="39"/>
  <c r="V125" i="39"/>
  <c r="V119" i="39"/>
  <c r="V111" i="39"/>
  <c r="V107" i="39"/>
  <c r="V103" i="39"/>
  <c r="V91" i="39"/>
  <c r="V83" i="39"/>
  <c r="V71" i="39"/>
  <c r="V63" i="39"/>
  <c r="V31" i="39"/>
  <c r="V124" i="39"/>
  <c r="V114" i="39"/>
  <c r="V102" i="39"/>
  <c r="V90" i="39"/>
  <c r="V82" i="39"/>
  <c r="V74" i="39"/>
  <c r="V54" i="39"/>
  <c r="V50" i="39"/>
  <c r="V123" i="39"/>
  <c r="V121" i="39"/>
  <c r="V113" i="39"/>
  <c r="V97" i="39"/>
  <c r="V85" i="39"/>
  <c r="V73" i="39"/>
  <c r="V45" i="39"/>
  <c r="V41" i="39"/>
  <c r="V98" i="39"/>
  <c r="V94" i="39"/>
  <c r="V86" i="39"/>
  <c r="V66" i="39"/>
  <c r="V58" i="39"/>
  <c r="V46" i="39"/>
  <c r="V42" i="39"/>
  <c r="V38" i="39"/>
  <c r="V96" i="39"/>
  <c r="V92" i="39"/>
  <c r="V76" i="39"/>
  <c r="V126" i="39"/>
  <c r="V84" i="39"/>
  <c r="V72" i="39"/>
  <c r="V55" i="39"/>
  <c r="V32" i="39"/>
  <c r="V115" i="39"/>
  <c r="V104" i="39"/>
  <c r="V80" i="39"/>
  <c r="V130" i="39"/>
  <c r="V64" i="39"/>
  <c r="V56" i="39"/>
  <c r="V40" i="39"/>
  <c r="V116" i="39"/>
  <c r="V108" i="39"/>
  <c r="V87" i="39"/>
  <c r="V112" i="39"/>
  <c r="V75" i="39"/>
  <c r="V120" i="39"/>
  <c r="V51" i="39"/>
  <c r="V44" i="39"/>
  <c r="N110" i="27"/>
  <c r="F103" i="27"/>
  <c r="F102" i="27"/>
  <c r="F95" i="27"/>
  <c r="F87" i="27"/>
  <c r="F86" i="27"/>
  <c r="F106" i="27"/>
  <c r="F105" i="27"/>
  <c r="F117" i="27"/>
  <c r="F112" i="27"/>
  <c r="F111" i="27"/>
  <c r="F94" i="27"/>
  <c r="F93" i="27"/>
  <c r="F81" i="27"/>
  <c r="F56" i="27"/>
  <c r="F52" i="27"/>
  <c r="F48" i="27"/>
  <c r="F44" i="27"/>
  <c r="F75" i="27"/>
  <c r="F82" i="27"/>
  <c r="F70" i="27"/>
  <c r="F66" i="27"/>
  <c r="F62" i="27"/>
  <c r="F61" i="27"/>
  <c r="F96" i="27"/>
  <c r="F83" i="27"/>
  <c r="F60" i="27"/>
  <c r="F53" i="27"/>
  <c r="F49" i="27"/>
  <c r="F45" i="27"/>
  <c r="F110" i="27"/>
  <c r="F100" i="27"/>
  <c r="F88" i="27"/>
  <c r="F76" i="27"/>
  <c r="F72" i="27"/>
  <c r="F71" i="27"/>
  <c r="D58" i="27"/>
  <c r="F58" i="27" s="1"/>
  <c r="L12" i="27"/>
  <c r="F84" i="27"/>
  <c r="F67" i="27"/>
  <c r="F63" i="27"/>
  <c r="F113" i="27"/>
  <c r="F97" i="27"/>
  <c r="F90" i="27"/>
  <c r="F89" i="27"/>
  <c r="F78" i="27"/>
  <c r="F77" i="27"/>
  <c r="F54" i="27"/>
  <c r="F50" i="27"/>
  <c r="F46" i="27"/>
  <c r="F42" i="27"/>
  <c r="F41" i="27"/>
  <c r="F85" i="27"/>
  <c r="F73" i="27"/>
  <c r="F104" i="27"/>
  <c r="F101" i="27"/>
  <c r="F98" i="27"/>
  <c r="F92" i="27"/>
  <c r="F91" i="27"/>
  <c r="F55" i="27"/>
  <c r="F51" i="27"/>
  <c r="F47" i="27"/>
  <c r="F43" i="27"/>
  <c r="F108" i="27"/>
  <c r="F74" i="27"/>
  <c r="F99" i="27"/>
  <c r="F69" i="27"/>
  <c r="F65" i="27"/>
  <c r="F79" i="27"/>
  <c r="F107" i="27"/>
  <c r="F80" i="27"/>
  <c r="F68" i="27"/>
  <c r="F64" i="27"/>
  <c r="R99" i="27"/>
  <c r="R112" i="27"/>
  <c r="R111" i="27"/>
  <c r="R94" i="27"/>
  <c r="R102" i="27"/>
  <c r="R101" i="27"/>
  <c r="R86" i="27"/>
  <c r="R85" i="27"/>
  <c r="R89" i="27"/>
  <c r="R88" i="27"/>
  <c r="R84" i="27"/>
  <c r="R77" i="27"/>
  <c r="R76" i="27"/>
  <c r="R72" i="27"/>
  <c r="R41" i="27"/>
  <c r="X12" i="27"/>
  <c r="Z12" i="27" s="1"/>
  <c r="R106" i="27"/>
  <c r="R100" i="27"/>
  <c r="R67" i="27"/>
  <c r="R63" i="27"/>
  <c r="R117" i="27"/>
  <c r="R113" i="27"/>
  <c r="R110" i="27"/>
  <c r="R103" i="27"/>
  <c r="R97" i="27"/>
  <c r="R90" i="27"/>
  <c r="R79" i="27"/>
  <c r="R78" i="27"/>
  <c r="R54" i="27"/>
  <c r="R50" i="27"/>
  <c r="R46" i="27"/>
  <c r="R42" i="27"/>
  <c r="R107" i="27"/>
  <c r="R91" i="27"/>
  <c r="R73" i="27"/>
  <c r="R98" i="27"/>
  <c r="R68" i="27"/>
  <c r="R64" i="27"/>
  <c r="R80" i="27"/>
  <c r="R55" i="27"/>
  <c r="R51" i="27"/>
  <c r="R47" i="27"/>
  <c r="R43" i="27"/>
  <c r="R92" i="27"/>
  <c r="R74" i="27"/>
  <c r="R108" i="27"/>
  <c r="R104" i="27"/>
  <c r="R69" i="27"/>
  <c r="R65" i="27"/>
  <c r="R105" i="27"/>
  <c r="R95" i="27"/>
  <c r="R87" i="27"/>
  <c r="R75" i="27"/>
  <c r="R60" i="27"/>
  <c r="R96" i="27"/>
  <c r="R93" i="27"/>
  <c r="R71" i="27"/>
  <c r="R70" i="27"/>
  <c r="R66" i="27"/>
  <c r="R62" i="27"/>
  <c r="P58" i="27"/>
  <c r="R83" i="27"/>
  <c r="R53" i="27"/>
  <c r="R49" i="27"/>
  <c r="R45" i="27"/>
  <c r="R81" i="27"/>
  <c r="R48" i="27"/>
  <c r="R82" i="27"/>
  <c r="R52" i="27"/>
  <c r="R44" i="27"/>
  <c r="R56" i="27"/>
  <c r="R61" i="27"/>
  <c r="N265" i="18"/>
  <c r="D260" i="12"/>
  <c r="L160" i="12"/>
  <c r="N160" i="12" s="1"/>
  <c r="T27" i="50"/>
  <c r="Z18" i="50"/>
  <c r="Z18" i="53"/>
  <c r="T27" i="53"/>
  <c r="H27" i="44"/>
  <c r="N18" i="44"/>
  <c r="H27" i="43"/>
  <c r="N18" i="43"/>
  <c r="X18" i="44"/>
  <c r="P27" i="44"/>
  <c r="T27" i="43"/>
  <c r="Z18" i="43"/>
  <c r="X18" i="34"/>
  <c r="P27" i="34"/>
  <c r="L18" i="32"/>
  <c r="D27" i="32"/>
  <c r="T27" i="28"/>
  <c r="Z18" i="28"/>
  <c r="T27" i="25"/>
  <c r="Z18" i="25"/>
  <c r="P27" i="22"/>
  <c r="X18" i="22"/>
  <c r="L18" i="17"/>
  <c r="D27" i="17"/>
  <c r="D35" i="109"/>
  <c r="L16" i="109"/>
  <c r="H83" i="108"/>
  <c r="N21" i="106"/>
  <c r="H83" i="106"/>
  <c r="H43" i="100"/>
  <c r="N17" i="100"/>
  <c r="T27" i="99"/>
  <c r="Z16" i="99"/>
  <c r="T86" i="96"/>
  <c r="D82" i="95"/>
  <c r="J20" i="96"/>
  <c r="D86" i="96"/>
  <c r="L20" i="96"/>
  <c r="N20" i="96" s="1"/>
  <c r="F53" i="85"/>
  <c r="D81" i="74"/>
  <c r="L51" i="74"/>
  <c r="P51" i="61"/>
  <c r="X16" i="61"/>
  <c r="H114" i="71"/>
  <c r="T49" i="60"/>
  <c r="Z16" i="60"/>
  <c r="Z90" i="51"/>
  <c r="Z16" i="56"/>
  <c r="T71" i="56"/>
  <c r="J51" i="48"/>
  <c r="J39" i="48"/>
  <c r="J27" i="48"/>
  <c r="J23" i="48"/>
  <c r="L12" i="48"/>
  <c r="J58" i="48"/>
  <c r="J52" i="48"/>
  <c r="J40" i="48"/>
  <c r="J53" i="48"/>
  <c r="J41" i="48"/>
  <c r="J33" i="48"/>
  <c r="J42" i="48"/>
  <c r="J28" i="48"/>
  <c r="J24" i="48"/>
  <c r="J59" i="48"/>
  <c r="J43" i="48"/>
  <c r="J60" i="48"/>
  <c r="J54" i="48"/>
  <c r="J44" i="48"/>
  <c r="J34" i="48"/>
  <c r="J30" i="48"/>
  <c r="J20" i="48"/>
  <c r="J61" i="48"/>
  <c r="J55" i="48"/>
  <c r="J45" i="48"/>
  <c r="J25" i="48"/>
  <c r="J21" i="48"/>
  <c r="J19" i="48"/>
  <c r="J17" i="48"/>
  <c r="J15" i="48"/>
  <c r="J63" i="48"/>
  <c r="J47" i="48"/>
  <c r="J35" i="48"/>
  <c r="J31" i="48"/>
  <c r="J68" i="48"/>
  <c r="J48" i="48"/>
  <c r="J36" i="48"/>
  <c r="J26" i="48"/>
  <c r="J22" i="48"/>
  <c r="J56" i="48"/>
  <c r="J50" i="48"/>
  <c r="J46" i="48"/>
  <c r="J64" i="48"/>
  <c r="J37" i="48"/>
  <c r="J57" i="48"/>
  <c r="H17" i="48"/>
  <c r="J32" i="48"/>
  <c r="J49" i="48"/>
  <c r="J29" i="48"/>
  <c r="N12" i="48"/>
  <c r="J38" i="48"/>
  <c r="P66" i="48"/>
  <c r="X17" i="48"/>
  <c r="X12" i="45"/>
  <c r="Z12" i="45" s="1"/>
  <c r="L12" i="18"/>
  <c r="N12" i="18" s="1"/>
  <c r="H301" i="3"/>
  <c r="L18" i="50"/>
  <c r="D27" i="50"/>
  <c r="D27" i="47"/>
  <c r="L18" i="47"/>
  <c r="T27" i="41"/>
  <c r="Z18" i="41"/>
  <c r="P27" i="37"/>
  <c r="X18" i="37"/>
  <c r="H27" i="34"/>
  <c r="N18" i="34"/>
  <c r="T27" i="35"/>
  <c r="Z18" i="35"/>
  <c r="L18" i="31"/>
  <c r="D27" i="31"/>
  <c r="H27" i="29"/>
  <c r="N18" i="29"/>
  <c r="L18" i="28"/>
  <c r="D27" i="28"/>
  <c r="T27" i="20"/>
  <c r="Z18" i="20"/>
  <c r="X18" i="16"/>
  <c r="P27" i="16"/>
  <c r="H27" i="11"/>
  <c r="N18" i="11"/>
  <c r="D81" i="104"/>
  <c r="L22" i="104"/>
  <c r="X12" i="104"/>
  <c r="P59" i="101"/>
  <c r="P52" i="103"/>
  <c r="J76" i="102"/>
  <c r="L17" i="100"/>
  <c r="P85" i="98"/>
  <c r="H27" i="99"/>
  <c r="N16" i="99"/>
  <c r="F20" i="94"/>
  <c r="T70" i="89"/>
  <c r="Z20" i="89"/>
  <c r="T28" i="86"/>
  <c r="X20" i="84"/>
  <c r="P80" i="84"/>
  <c r="F52" i="79"/>
  <c r="F51" i="79"/>
  <c r="F61" i="79"/>
  <c r="F59" i="79"/>
  <c r="F58" i="79"/>
  <c r="F23" i="79"/>
  <c r="F19" i="79"/>
  <c r="F18" i="79"/>
  <c r="F46" i="79"/>
  <c r="F38" i="79"/>
  <c r="F33" i="79"/>
  <c r="F29" i="79"/>
  <c r="F28" i="79"/>
  <c r="F57" i="79"/>
  <c r="F53" i="79"/>
  <c r="F48" i="79"/>
  <c r="F47" i="79"/>
  <c r="F27" i="79"/>
  <c r="F20" i="79"/>
  <c r="F39" i="79"/>
  <c r="D25" i="79"/>
  <c r="F49" i="79"/>
  <c r="F34" i="79"/>
  <c r="F30" i="79"/>
  <c r="F50" i="79"/>
  <c r="F41" i="79"/>
  <c r="F40" i="79"/>
  <c r="F21" i="79"/>
  <c r="F54" i="79"/>
  <c r="L12" i="79"/>
  <c r="F43" i="79"/>
  <c r="F42" i="79"/>
  <c r="F35" i="79"/>
  <c r="F31" i="79"/>
  <c r="F55" i="79"/>
  <c r="F22" i="79"/>
  <c r="F45" i="79"/>
  <c r="F44" i="79"/>
  <c r="F37" i="79"/>
  <c r="F36" i="79"/>
  <c r="F65" i="79"/>
  <c r="F60" i="79"/>
  <c r="F32" i="79"/>
  <c r="J90" i="77"/>
  <c r="X24" i="73"/>
  <c r="P76" i="73"/>
  <c r="H107" i="69"/>
  <c r="H51" i="61"/>
  <c r="N16" i="61"/>
  <c r="Z16" i="59"/>
  <c r="T62" i="59"/>
  <c r="H75" i="56"/>
  <c r="P22" i="54"/>
  <c r="X16" i="54"/>
  <c r="F118" i="42"/>
  <c r="F113" i="42"/>
  <c r="F96" i="42"/>
  <c r="F92" i="42"/>
  <c r="F91" i="42"/>
  <c r="F60" i="42"/>
  <c r="F59" i="42"/>
  <c r="F52" i="42"/>
  <c r="F51" i="42"/>
  <c r="F40" i="42"/>
  <c r="F36" i="42"/>
  <c r="F32" i="42"/>
  <c r="F31" i="42"/>
  <c r="F112" i="42"/>
  <c r="F103" i="42"/>
  <c r="F102" i="42"/>
  <c r="F111" i="42"/>
  <c r="F86" i="42"/>
  <c r="F62" i="42"/>
  <c r="F61" i="42"/>
  <c r="F54" i="42"/>
  <c r="F53" i="42"/>
  <c r="F46" i="42"/>
  <c r="F42" i="42"/>
  <c r="F41" i="42"/>
  <c r="D28" i="42"/>
  <c r="F105" i="42"/>
  <c r="F104" i="42"/>
  <c r="F97" i="42"/>
  <c r="F93" i="42"/>
  <c r="F81" i="42"/>
  <c r="F80" i="42"/>
  <c r="F73" i="42"/>
  <c r="F72" i="42"/>
  <c r="F37" i="42"/>
  <c r="F33" i="42"/>
  <c r="F87" i="42"/>
  <c r="F75" i="42"/>
  <c r="F74" i="42"/>
  <c r="F47" i="42"/>
  <c r="F43" i="42"/>
  <c r="F106" i="42"/>
  <c r="F98" i="42"/>
  <c r="F94" i="42"/>
  <c r="F82" i="42"/>
  <c r="F66" i="42"/>
  <c r="F65" i="42"/>
  <c r="F77" i="42"/>
  <c r="F76" i="42"/>
  <c r="F57" i="42"/>
  <c r="F25" i="42"/>
  <c r="F24" i="42"/>
  <c r="F107" i="42"/>
  <c r="F99" i="42"/>
  <c r="F95" i="42"/>
  <c r="F67" i="42"/>
  <c r="F39" i="42"/>
  <c r="F35" i="42"/>
  <c r="F114" i="42"/>
  <c r="F109" i="42"/>
  <c r="F108" i="42"/>
  <c r="F101" i="42"/>
  <c r="F100" i="42"/>
  <c r="F85" i="42"/>
  <c r="F69" i="42"/>
  <c r="F68" i="42"/>
  <c r="F45" i="42"/>
  <c r="F89" i="42"/>
  <c r="F78" i="42"/>
  <c r="F70" i="42"/>
  <c r="F55" i="42"/>
  <c r="F84" i="42"/>
  <c r="F64" i="42"/>
  <c r="F56" i="42"/>
  <c r="F49" i="42"/>
  <c r="F90" i="42"/>
  <c r="F34" i="42"/>
  <c r="F88" i="42"/>
  <c r="F71" i="42"/>
  <c r="F26" i="42"/>
  <c r="F58" i="42"/>
  <c r="F79" i="42"/>
  <c r="F50" i="42"/>
  <c r="F30" i="42"/>
  <c r="F63" i="42"/>
  <c r="F48" i="42"/>
  <c r="F44" i="42"/>
  <c r="L12" i="42"/>
  <c r="N12" i="42" s="1"/>
  <c r="F83" i="42"/>
  <c r="F38" i="42"/>
  <c r="H91" i="45"/>
  <c r="F102" i="39"/>
  <c r="F90" i="39"/>
  <c r="F82" i="39"/>
  <c r="F81" i="39"/>
  <c r="F54" i="39"/>
  <c r="F50" i="39"/>
  <c r="F126" i="39"/>
  <c r="F121" i="39"/>
  <c r="F120" i="39"/>
  <c r="F113" i="39"/>
  <c r="F112" i="39"/>
  <c r="F97" i="39"/>
  <c r="F73" i="39"/>
  <c r="F72" i="39"/>
  <c r="F45" i="39"/>
  <c r="F41" i="39"/>
  <c r="F130" i="39"/>
  <c r="F125" i="39"/>
  <c r="F108" i="39"/>
  <c r="F104" i="39"/>
  <c r="F103" i="39"/>
  <c r="F92" i="39"/>
  <c r="F91" i="39"/>
  <c r="F84" i="39"/>
  <c r="F83" i="39"/>
  <c r="F64" i="39"/>
  <c r="F32" i="39"/>
  <c r="F31" i="39"/>
  <c r="F124" i="39"/>
  <c r="F115" i="39"/>
  <c r="F114" i="39"/>
  <c r="F75" i="39"/>
  <c r="F74" i="39"/>
  <c r="F55" i="39"/>
  <c r="F51" i="39"/>
  <c r="F123" i="39"/>
  <c r="F98" i="39"/>
  <c r="F86" i="39"/>
  <c r="F85" i="39"/>
  <c r="F46" i="39"/>
  <c r="F42" i="39"/>
  <c r="F88" i="39"/>
  <c r="F87" i="39"/>
  <c r="F52" i="39"/>
  <c r="L12" i="39"/>
  <c r="F99" i="39"/>
  <c r="F95" i="39"/>
  <c r="F94" i="39"/>
  <c r="F67" i="39"/>
  <c r="F66" i="39"/>
  <c r="F59" i="39"/>
  <c r="F58" i="39"/>
  <c r="F47" i="39"/>
  <c r="F43" i="39"/>
  <c r="F39" i="39"/>
  <c r="F38" i="39"/>
  <c r="F118" i="39"/>
  <c r="F110" i="39"/>
  <c r="F106" i="39"/>
  <c r="F78" i="39"/>
  <c r="F37" i="39"/>
  <c r="F119" i="39"/>
  <c r="F111" i="39"/>
  <c r="F107" i="39"/>
  <c r="F71" i="39"/>
  <c r="F70" i="39"/>
  <c r="F63" i="39"/>
  <c r="F62" i="39"/>
  <c r="F105" i="39"/>
  <c r="F101" i="39"/>
  <c r="F69" i="39"/>
  <c r="F44" i="39"/>
  <c r="F65" i="39"/>
  <c r="F61" i="39"/>
  <c r="F53" i="39"/>
  <c r="F96" i="39"/>
  <c r="F57" i="39"/>
  <c r="F109" i="39"/>
  <c r="F76" i="39"/>
  <c r="F117" i="39"/>
  <c r="F48" i="39"/>
  <c r="F80" i="39"/>
  <c r="F100" i="39"/>
  <c r="F68" i="39"/>
  <c r="D35" i="39"/>
  <c r="F60" i="39"/>
  <c r="F93" i="39"/>
  <c r="F56" i="39"/>
  <c r="F40" i="39"/>
  <c r="F116" i="39"/>
  <c r="F79" i="39"/>
  <c r="F49" i="39"/>
  <c r="F33" i="39"/>
  <c r="F89" i="39"/>
  <c r="F77" i="39"/>
  <c r="R98" i="39"/>
  <c r="R87" i="39"/>
  <c r="R86" i="39"/>
  <c r="R46" i="39"/>
  <c r="R42" i="39"/>
  <c r="R117" i="39"/>
  <c r="R109" i="39"/>
  <c r="R105" i="39"/>
  <c r="R94" i="39"/>
  <c r="R93" i="39"/>
  <c r="R77" i="39"/>
  <c r="R66" i="39"/>
  <c r="R65" i="39"/>
  <c r="R58" i="39"/>
  <c r="R57" i="39"/>
  <c r="R38" i="39"/>
  <c r="R33" i="39"/>
  <c r="R88" i="39"/>
  <c r="R52" i="39"/>
  <c r="R37" i="39"/>
  <c r="R35" i="39"/>
  <c r="X12" i="39"/>
  <c r="Z12" i="39" s="1"/>
  <c r="R100" i="39"/>
  <c r="R99" i="39"/>
  <c r="R95" i="39"/>
  <c r="R68" i="39"/>
  <c r="R67" i="39"/>
  <c r="R60" i="39"/>
  <c r="R59" i="39"/>
  <c r="R48" i="39"/>
  <c r="R47" i="39"/>
  <c r="R43" i="39"/>
  <c r="R39" i="39"/>
  <c r="P35" i="39"/>
  <c r="R118" i="39"/>
  <c r="R110" i="39"/>
  <c r="R106" i="39"/>
  <c r="R79" i="39"/>
  <c r="R78" i="39"/>
  <c r="R96" i="39"/>
  <c r="R81" i="39"/>
  <c r="R80" i="39"/>
  <c r="R44" i="39"/>
  <c r="R40" i="39"/>
  <c r="R126" i="39"/>
  <c r="R120" i="39"/>
  <c r="R119" i="39"/>
  <c r="R112" i="39"/>
  <c r="R111" i="39"/>
  <c r="R107" i="39"/>
  <c r="R72" i="39"/>
  <c r="R71" i="39"/>
  <c r="R63" i="39"/>
  <c r="R125" i="39"/>
  <c r="R103" i="39"/>
  <c r="R102" i="39"/>
  <c r="R91" i="39"/>
  <c r="R90" i="39"/>
  <c r="R83" i="39"/>
  <c r="R82" i="39"/>
  <c r="R54" i="39"/>
  <c r="R50" i="39"/>
  <c r="R31" i="39"/>
  <c r="R116" i="39"/>
  <c r="R115" i="39"/>
  <c r="R76" i="39"/>
  <c r="R75" i="39"/>
  <c r="R56" i="39"/>
  <c r="R55" i="39"/>
  <c r="R51" i="39"/>
  <c r="R123" i="39"/>
  <c r="R41" i="39"/>
  <c r="R92" i="39"/>
  <c r="R74" i="39"/>
  <c r="R84" i="39"/>
  <c r="R70" i="39"/>
  <c r="R113" i="39"/>
  <c r="R62" i="39"/>
  <c r="R32" i="39"/>
  <c r="R121" i="39"/>
  <c r="R104" i="39"/>
  <c r="R45" i="39"/>
  <c r="R130" i="39"/>
  <c r="R124" i="39"/>
  <c r="R85" i="39"/>
  <c r="R64" i="39"/>
  <c r="R97" i="39"/>
  <c r="R89" i="39"/>
  <c r="R114" i="39"/>
  <c r="R108" i="39"/>
  <c r="R73" i="39"/>
  <c r="R49" i="39"/>
  <c r="R61" i="39"/>
  <c r="R53" i="39"/>
  <c r="R101" i="39"/>
  <c r="R69" i="39"/>
  <c r="V94" i="21"/>
  <c r="V78" i="21"/>
  <c r="V70" i="21"/>
  <c r="V58" i="21"/>
  <c r="V50" i="21"/>
  <c r="V42" i="21"/>
  <c r="V97" i="21"/>
  <c r="V89" i="21"/>
  <c r="V85" i="21"/>
  <c r="V61" i="21"/>
  <c r="V49" i="21"/>
  <c r="V37" i="21"/>
  <c r="V33" i="21"/>
  <c r="V96" i="21"/>
  <c r="V84" i="21"/>
  <c r="V72" i="21"/>
  <c r="V60" i="21"/>
  <c r="V52" i="21"/>
  <c r="V24" i="21"/>
  <c r="V79" i="21"/>
  <c r="V63" i="21"/>
  <c r="V51" i="21"/>
  <c r="V43" i="21"/>
  <c r="V39" i="21"/>
  <c r="V100" i="21"/>
  <c r="V98" i="21"/>
  <c r="V90" i="21"/>
  <c r="V86" i="21"/>
  <c r="V62" i="21"/>
  <c r="V38" i="21"/>
  <c r="V34" i="21"/>
  <c r="V30" i="21"/>
  <c r="V73" i="21"/>
  <c r="V65" i="21"/>
  <c r="V53" i="21"/>
  <c r="V29" i="21"/>
  <c r="V25" i="21"/>
  <c r="V80" i="21"/>
  <c r="V64" i="21"/>
  <c r="V44" i="21"/>
  <c r="V40" i="21"/>
  <c r="T27" i="21"/>
  <c r="V27" i="21" s="1"/>
  <c r="Z12" i="21"/>
  <c r="V91" i="21"/>
  <c r="V87" i="21"/>
  <c r="V75" i="21"/>
  <c r="V67" i="21"/>
  <c r="V55" i="21"/>
  <c r="V35" i="21"/>
  <c r="V31" i="21"/>
  <c r="V104" i="21"/>
  <c r="V82" i="21"/>
  <c r="V74" i="21"/>
  <c r="V66" i="21"/>
  <c r="V54" i="21"/>
  <c r="V46" i="21"/>
  <c r="V93" i="21"/>
  <c r="V81" i="21"/>
  <c r="V77" i="21"/>
  <c r="V69" i="21"/>
  <c r="V57" i="21"/>
  <c r="V45" i="21"/>
  <c r="V41" i="21"/>
  <c r="V95" i="21"/>
  <c r="V83" i="21"/>
  <c r="V71" i="21"/>
  <c r="V59" i="21"/>
  <c r="V47" i="21"/>
  <c r="V88" i="21"/>
  <c r="V23" i="21"/>
  <c r="V56" i="21"/>
  <c r="V76" i="21"/>
  <c r="V36" i="21"/>
  <c r="V92" i="21"/>
  <c r="V32" i="21"/>
  <c r="V48" i="21"/>
  <c r="V68" i="21"/>
  <c r="F251" i="12"/>
  <c r="D22" i="6"/>
  <c r="L16" i="6"/>
  <c r="Z16" i="6"/>
  <c r="T22" i="6"/>
  <c r="P27" i="53"/>
  <c r="X18" i="53"/>
  <c r="X18" i="49"/>
  <c r="P27" i="49"/>
  <c r="X18" i="40"/>
  <c r="P27" i="40"/>
  <c r="T27" i="37"/>
  <c r="Z18" i="37"/>
  <c r="L18" i="23"/>
  <c r="D27" i="23"/>
  <c r="L18" i="22"/>
  <c r="D27" i="22"/>
  <c r="H27" i="23"/>
  <c r="N18" i="23"/>
  <c r="X18" i="20"/>
  <c r="P27" i="20"/>
  <c r="T27" i="19"/>
  <c r="Z18" i="19"/>
  <c r="L18" i="13"/>
  <c r="D27" i="13"/>
  <c r="T27" i="14"/>
  <c r="Z18" i="14"/>
  <c r="H27" i="8"/>
  <c r="N18" i="8"/>
  <c r="Z18" i="7"/>
  <c r="T27" i="7"/>
  <c r="T27" i="4"/>
  <c r="Z18" i="4"/>
  <c r="D27" i="4"/>
  <c r="L18" i="4"/>
  <c r="H27" i="5"/>
  <c r="N18" i="5"/>
  <c r="N63" i="110"/>
  <c r="L63" i="110"/>
  <c r="T35" i="109"/>
  <c r="Z16" i="109"/>
  <c r="V81" i="108"/>
  <c r="V79" i="108"/>
  <c r="V71" i="108"/>
  <c r="V67" i="108"/>
  <c r="V51" i="108"/>
  <c r="V39" i="108"/>
  <c r="V35" i="108"/>
  <c r="V62" i="108"/>
  <c r="V50" i="108"/>
  <c r="V73" i="108"/>
  <c r="V61" i="108"/>
  <c r="V53" i="108"/>
  <c r="V41" i="108"/>
  <c r="V17" i="108"/>
  <c r="V72" i="108"/>
  <c r="V68" i="108"/>
  <c r="V52" i="108"/>
  <c r="V40" i="108"/>
  <c r="V36" i="108"/>
  <c r="V85" i="108"/>
  <c r="V75" i="108"/>
  <c r="V63" i="108"/>
  <c r="V55" i="108"/>
  <c r="V43" i="108"/>
  <c r="V31" i="108"/>
  <c r="V27" i="108"/>
  <c r="V74" i="108"/>
  <c r="V54" i="108"/>
  <c r="V42" i="108"/>
  <c r="V77" i="108"/>
  <c r="V69" i="108"/>
  <c r="V57" i="108"/>
  <c r="V45" i="108"/>
  <c r="V37" i="108"/>
  <c r="V76" i="108"/>
  <c r="V64" i="108"/>
  <c r="V56" i="108"/>
  <c r="V60" i="108"/>
  <c r="V48" i="108"/>
  <c r="V78" i="108"/>
  <c r="V66" i="108"/>
  <c r="V59" i="108"/>
  <c r="V25" i="108"/>
  <c r="V23" i="108"/>
  <c r="V18" i="108"/>
  <c r="V70" i="108"/>
  <c r="V29" i="108"/>
  <c r="V24" i="108"/>
  <c r="V38" i="108"/>
  <c r="V33" i="108"/>
  <c r="V19" i="108"/>
  <c r="V34" i="108"/>
  <c r="V26" i="108"/>
  <c r="V65" i="108"/>
  <c r="V46" i="108"/>
  <c r="V28" i="108"/>
  <c r="V58" i="108"/>
  <c r="V30" i="108"/>
  <c r="V49" i="108"/>
  <c r="V47" i="108"/>
  <c r="V44" i="108"/>
  <c r="V32" i="108"/>
  <c r="T21" i="108"/>
  <c r="V21" i="108" s="1"/>
  <c r="P39" i="109"/>
  <c r="X35" i="109"/>
  <c r="R60" i="108"/>
  <c r="R49" i="108"/>
  <c r="R48" i="108"/>
  <c r="R79" i="108"/>
  <c r="R71" i="108"/>
  <c r="R67" i="108"/>
  <c r="R81" i="108"/>
  <c r="R51" i="108"/>
  <c r="R50" i="108"/>
  <c r="R30" i="108"/>
  <c r="R26" i="108"/>
  <c r="R62" i="108"/>
  <c r="R61" i="108"/>
  <c r="R73" i="108"/>
  <c r="R72" i="108"/>
  <c r="R68" i="108"/>
  <c r="R53" i="108"/>
  <c r="R52" i="108"/>
  <c r="R41" i="108"/>
  <c r="R40" i="108"/>
  <c r="R36" i="108"/>
  <c r="R17" i="108"/>
  <c r="X12" i="108"/>
  <c r="Z12" i="108" s="1"/>
  <c r="R85" i="108"/>
  <c r="R63" i="108"/>
  <c r="R31" i="108"/>
  <c r="R27" i="108"/>
  <c r="R75" i="108"/>
  <c r="R74" i="108"/>
  <c r="R55" i="108"/>
  <c r="R54" i="108"/>
  <c r="R43" i="108"/>
  <c r="R42" i="108"/>
  <c r="R18" i="108"/>
  <c r="R69" i="108"/>
  <c r="R66" i="108"/>
  <c r="R65" i="108"/>
  <c r="R34" i="108"/>
  <c r="R33" i="108"/>
  <c r="R29" i="108"/>
  <c r="R25" i="108"/>
  <c r="R56" i="108"/>
  <c r="R44" i="108"/>
  <c r="R32" i="108"/>
  <c r="R21" i="108"/>
  <c r="R78" i="108"/>
  <c r="R47" i="108"/>
  <c r="R39" i="108"/>
  <c r="R37" i="108"/>
  <c r="P21" i="108"/>
  <c r="R76" i="108"/>
  <c r="R64" i="108"/>
  <c r="R59" i="108"/>
  <c r="R45" i="108"/>
  <c r="R35" i="108"/>
  <c r="R57" i="108"/>
  <c r="R23" i="108"/>
  <c r="R70" i="108"/>
  <c r="R77" i="108"/>
  <c r="R46" i="108"/>
  <c r="R28" i="108"/>
  <c r="R58" i="108"/>
  <c r="R19" i="108"/>
  <c r="R24" i="108"/>
  <c r="R38" i="108"/>
  <c r="X31" i="109"/>
  <c r="R39" i="105"/>
  <c r="R38" i="105"/>
  <c r="R45" i="105"/>
  <c r="R47" i="105"/>
  <c r="R40" i="105"/>
  <c r="R51" i="105"/>
  <c r="R41" i="105"/>
  <c r="R42" i="105"/>
  <c r="R35" i="105"/>
  <c r="R34" i="105"/>
  <c r="R44" i="105"/>
  <c r="R43" i="105"/>
  <c r="R28" i="105"/>
  <c r="R24" i="105"/>
  <c r="R19" i="105"/>
  <c r="R23" i="105"/>
  <c r="R32" i="105"/>
  <c r="R25" i="105"/>
  <c r="P21" i="105"/>
  <c r="R21" i="105" s="1"/>
  <c r="R36" i="105"/>
  <c r="R29" i="105"/>
  <c r="R26" i="105"/>
  <c r="R33" i="105"/>
  <c r="R30" i="105"/>
  <c r="R17" i="105"/>
  <c r="X12" i="105"/>
  <c r="Z12" i="105" s="1"/>
  <c r="R37" i="105"/>
  <c r="R27" i="105"/>
  <c r="R31" i="105"/>
  <c r="R18" i="105"/>
  <c r="N21" i="105"/>
  <c r="H49" i="105"/>
  <c r="D74" i="93"/>
  <c r="P75" i="95"/>
  <c r="X20" i="95"/>
  <c r="R20" i="95"/>
  <c r="P65" i="94"/>
  <c r="X20" i="94"/>
  <c r="Z20" i="94" s="1"/>
  <c r="R57" i="93"/>
  <c r="R50" i="93"/>
  <c r="R49" i="93"/>
  <c r="R38" i="93"/>
  <c r="R37" i="93"/>
  <c r="R33" i="93"/>
  <c r="R69" i="93"/>
  <c r="R68" i="93"/>
  <c r="R28" i="93"/>
  <c r="R24" i="93"/>
  <c r="R63" i="93"/>
  <c r="R51" i="93"/>
  <c r="R40" i="93"/>
  <c r="R39" i="93"/>
  <c r="R70" i="93"/>
  <c r="R59" i="93"/>
  <c r="R58" i="93"/>
  <c r="R34" i="93"/>
  <c r="R72" i="93"/>
  <c r="R42" i="93"/>
  <c r="R41" i="93"/>
  <c r="R29" i="93"/>
  <c r="R25" i="93"/>
  <c r="R64" i="93"/>
  <c r="R60" i="93"/>
  <c r="R53" i="93"/>
  <c r="R52" i="93"/>
  <c r="R44" i="93"/>
  <c r="R43" i="93"/>
  <c r="R35" i="93"/>
  <c r="R16" i="93"/>
  <c r="R76" i="93"/>
  <c r="R55" i="93"/>
  <c r="R54" i="93"/>
  <c r="R31" i="93"/>
  <c r="R30" i="93"/>
  <c r="R26" i="93"/>
  <c r="R56" i="93"/>
  <c r="R36" i="93"/>
  <c r="R32" i="93"/>
  <c r="R21" i="93"/>
  <c r="R19" i="93"/>
  <c r="X12" i="93"/>
  <c r="Z12" i="93" s="1"/>
  <c r="R48" i="93"/>
  <c r="R47" i="93"/>
  <c r="R27" i="93"/>
  <c r="R23" i="93"/>
  <c r="P19" i="93"/>
  <c r="R67" i="93"/>
  <c r="R66" i="93"/>
  <c r="R62" i="93"/>
  <c r="R45" i="93"/>
  <c r="R17" i="93"/>
  <c r="R22" i="93"/>
  <c r="R61" i="93"/>
  <c r="R46" i="93"/>
  <c r="R65" i="93"/>
  <c r="H82" i="88"/>
  <c r="N20" i="88"/>
  <c r="X18" i="86"/>
  <c r="Z18" i="86" s="1"/>
  <c r="P28" i="86"/>
  <c r="V80" i="88"/>
  <c r="V78" i="88"/>
  <c r="V84" i="88"/>
  <c r="V73" i="88"/>
  <c r="V74" i="88"/>
  <c r="V76" i="88"/>
  <c r="V49" i="88"/>
  <c r="V41" i="88"/>
  <c r="V33" i="88"/>
  <c r="T20" i="88"/>
  <c r="V60" i="88"/>
  <c r="V52" i="88"/>
  <c r="V40" i="88"/>
  <c r="V28" i="88"/>
  <c r="V24" i="88"/>
  <c r="V71" i="88"/>
  <c r="V67" i="88"/>
  <c r="V51" i="88"/>
  <c r="V77" i="88"/>
  <c r="V54" i="88"/>
  <c r="V42" i="88"/>
  <c r="V34" i="88"/>
  <c r="V75" i="88"/>
  <c r="V61" i="88"/>
  <c r="V53" i="88"/>
  <c r="V29" i="88"/>
  <c r="V25" i="88"/>
  <c r="V68" i="88"/>
  <c r="V44" i="88"/>
  <c r="V16" i="88"/>
  <c r="V63" i="88"/>
  <c r="V55" i="88"/>
  <c r="V35" i="88"/>
  <c r="V72" i="88"/>
  <c r="V62" i="88"/>
  <c r="V46" i="88"/>
  <c r="V30" i="88"/>
  <c r="V26" i="88"/>
  <c r="V64" i="88"/>
  <c r="V56" i="88"/>
  <c r="V48" i="88"/>
  <c r="V36" i="88"/>
  <c r="V32" i="88"/>
  <c r="Z12" i="88"/>
  <c r="V59" i="88"/>
  <c r="V47" i="88"/>
  <c r="V39" i="88"/>
  <c r="V31" i="88"/>
  <c r="V27" i="88"/>
  <c r="V23" i="88"/>
  <c r="V70" i="88"/>
  <c r="V66" i="88"/>
  <c r="V58" i="88"/>
  <c r="V50" i="88"/>
  <c r="V38" i="88"/>
  <c r="V22" i="88"/>
  <c r="V20" i="88"/>
  <c r="V18" i="88"/>
  <c r="V69" i="88"/>
  <c r="V57" i="88"/>
  <c r="V43" i="88"/>
  <c r="V65" i="88"/>
  <c r="V45" i="88"/>
  <c r="V37" i="88"/>
  <c r="V17" i="88"/>
  <c r="R53" i="80"/>
  <c r="R17" i="80"/>
  <c r="R59" i="80"/>
  <c r="R47" i="80"/>
  <c r="R27" i="80"/>
  <c r="R55" i="80"/>
  <c r="R54" i="80"/>
  <c r="R39" i="80"/>
  <c r="R38" i="80"/>
  <c r="R23" i="80"/>
  <c r="R33" i="80"/>
  <c r="R22" i="80"/>
  <c r="R63" i="80"/>
  <c r="R62" i="80"/>
  <c r="R51" i="80"/>
  <c r="R50" i="80"/>
  <c r="R43" i="80"/>
  <c r="R42" i="80"/>
  <c r="R34" i="80"/>
  <c r="R64" i="80"/>
  <c r="R52" i="80"/>
  <c r="R45" i="80"/>
  <c r="R44" i="80"/>
  <c r="R66" i="80"/>
  <c r="R35" i="80"/>
  <c r="R58" i="80"/>
  <c r="R46" i="80"/>
  <c r="R31" i="80"/>
  <c r="R30" i="80"/>
  <c r="R26" i="80"/>
  <c r="R48" i="80"/>
  <c r="R25" i="80"/>
  <c r="P20" i="80"/>
  <c r="R20" i="80" s="1"/>
  <c r="X12" i="80"/>
  <c r="R61" i="80"/>
  <c r="R32" i="80"/>
  <c r="R49" i="80"/>
  <c r="R40" i="80"/>
  <c r="R57" i="80"/>
  <c r="R36" i="80"/>
  <c r="R28" i="80"/>
  <c r="R24" i="80"/>
  <c r="R18" i="80"/>
  <c r="R16" i="80"/>
  <c r="R70" i="80"/>
  <c r="R41" i="80"/>
  <c r="R37" i="80"/>
  <c r="R60" i="80"/>
  <c r="R56" i="80"/>
  <c r="R29" i="80"/>
  <c r="L20" i="80"/>
  <c r="D68" i="80"/>
  <c r="L90" i="77"/>
  <c r="N90" i="77" s="1"/>
  <c r="X65" i="76"/>
  <c r="Z65" i="76" s="1"/>
  <c r="F70" i="76"/>
  <c r="F65" i="76"/>
  <c r="F48" i="76"/>
  <c r="F47" i="76"/>
  <c r="F36" i="76"/>
  <c r="F32" i="76"/>
  <c r="F31" i="76"/>
  <c r="F30" i="76"/>
  <c r="F28" i="76"/>
  <c r="F26" i="76"/>
  <c r="F58" i="76"/>
  <c r="F50" i="76"/>
  <c r="F49" i="76"/>
  <c r="F42" i="76"/>
  <c r="F37" i="76"/>
  <c r="F33" i="76"/>
  <c r="F52" i="76"/>
  <c r="F51" i="76"/>
  <c r="F59" i="76"/>
  <c r="F43" i="76"/>
  <c r="F61" i="76"/>
  <c r="F60" i="76"/>
  <c r="F56" i="76"/>
  <c r="F55" i="76"/>
  <c r="F44" i="76"/>
  <c r="F63" i="76"/>
  <c r="F62" i="76"/>
  <c r="F39" i="76"/>
  <c r="F46" i="76"/>
  <c r="F45" i="76"/>
  <c r="F66" i="76"/>
  <c r="F35" i="76"/>
  <c r="F53" i="76"/>
  <c r="F41" i="76"/>
  <c r="F34" i="76"/>
  <c r="F57" i="76"/>
  <c r="F38" i="76"/>
  <c r="D28" i="76"/>
  <c r="F54" i="76"/>
  <c r="F40" i="76"/>
  <c r="L12" i="76"/>
  <c r="X16" i="57"/>
  <c r="P62" i="57"/>
  <c r="X16" i="55"/>
  <c r="P31" i="55"/>
  <c r="D71" i="58"/>
  <c r="L16" i="58"/>
  <c r="D31" i="55"/>
  <c r="L16" i="55"/>
  <c r="D95" i="51"/>
  <c r="X82" i="33"/>
  <c r="Z82" i="33" s="1"/>
  <c r="V120" i="24"/>
  <c r="V110" i="24"/>
  <c r="V102" i="24"/>
  <c r="V90" i="24"/>
  <c r="V70" i="24"/>
  <c r="V66" i="24"/>
  <c r="V62" i="24"/>
  <c r="V58" i="24"/>
  <c r="V54" i="24"/>
  <c r="V50" i="24"/>
  <c r="V109" i="24"/>
  <c r="V101" i="24"/>
  <c r="V93" i="24"/>
  <c r="V85" i="24"/>
  <c r="V92" i="24"/>
  <c r="V84" i="24"/>
  <c r="V80" i="24"/>
  <c r="V76" i="24"/>
  <c r="V111" i="24"/>
  <c r="V103" i="24"/>
  <c r="V75" i="24"/>
  <c r="V73" i="24"/>
  <c r="V71" i="24"/>
  <c r="V67" i="24"/>
  <c r="V63" i="24"/>
  <c r="V59" i="24"/>
  <c r="V55" i="24"/>
  <c r="V51" i="24"/>
  <c r="V94" i="24"/>
  <c r="V86" i="24"/>
  <c r="T73" i="24"/>
  <c r="V113" i="24"/>
  <c r="V105" i="24"/>
  <c r="V81" i="24"/>
  <c r="V77" i="24"/>
  <c r="V112" i="24"/>
  <c r="V104" i="24"/>
  <c r="V96" i="24"/>
  <c r="V68" i="24"/>
  <c r="V64" i="24"/>
  <c r="V60" i="24"/>
  <c r="V56" i="24"/>
  <c r="V52" i="24"/>
  <c r="V95" i="24"/>
  <c r="V87" i="24"/>
  <c r="V97" i="24"/>
  <c r="V89" i="24"/>
  <c r="V69" i="24"/>
  <c r="V65" i="24"/>
  <c r="V61" i="24"/>
  <c r="V57" i="24"/>
  <c r="V53" i="24"/>
  <c r="V108" i="24"/>
  <c r="V106" i="24"/>
  <c r="V98" i="24"/>
  <c r="V88" i="24"/>
  <c r="V83" i="24"/>
  <c r="Z12" i="24"/>
  <c r="V114" i="24"/>
  <c r="V78" i="24"/>
  <c r="V91" i="24"/>
  <c r="V107" i="24"/>
  <c r="V82" i="24"/>
  <c r="V116" i="24"/>
  <c r="V99" i="24"/>
  <c r="V79" i="24"/>
  <c r="V100" i="24"/>
  <c r="D94" i="9"/>
  <c r="Z16" i="9"/>
  <c r="T90" i="9"/>
  <c r="R160" i="12"/>
  <c r="P301" i="3"/>
  <c r="X193" i="3"/>
  <c r="R193" i="3"/>
  <c r="H26" i="6"/>
  <c r="N22" i="6"/>
  <c r="H27" i="111"/>
  <c r="N18" i="111"/>
  <c r="L18" i="111"/>
  <c r="D27" i="111"/>
  <c r="L18" i="49"/>
  <c r="D27" i="49"/>
  <c r="P27" i="41"/>
  <c r="X18" i="41"/>
  <c r="X18" i="35"/>
  <c r="P27" i="35"/>
  <c r="T27" i="34"/>
  <c r="Z18" i="34"/>
  <c r="H27" i="31"/>
  <c r="N18" i="31"/>
  <c r="X18" i="31"/>
  <c r="P27" i="31"/>
  <c r="N18" i="28"/>
  <c r="H27" i="28"/>
  <c r="X18" i="26"/>
  <c r="P27" i="26"/>
  <c r="H27" i="19"/>
  <c r="N18" i="19"/>
  <c r="L18" i="19"/>
  <c r="D27" i="19"/>
  <c r="Z18" i="31"/>
  <c r="T27" i="31"/>
  <c r="H27" i="16"/>
  <c r="N18" i="16"/>
  <c r="X18" i="13"/>
  <c r="P27" i="13"/>
  <c r="H27" i="14"/>
  <c r="N18" i="14"/>
  <c r="L21" i="108"/>
  <c r="N21" i="108" s="1"/>
  <c r="D83" i="108"/>
  <c r="R22" i="104"/>
  <c r="X76" i="102"/>
  <c r="L76" i="102"/>
  <c r="H52" i="103"/>
  <c r="V59" i="98"/>
  <c r="V51" i="98"/>
  <c r="V43" i="98"/>
  <c r="V35" i="98"/>
  <c r="V70" i="98"/>
  <c r="V66" i="98"/>
  <c r="V58" i="98"/>
  <c r="V42" i="98"/>
  <c r="V30" i="98"/>
  <c r="V26" i="98"/>
  <c r="V83" i="98"/>
  <c r="V53" i="98"/>
  <c r="V45" i="98"/>
  <c r="V17" i="98"/>
  <c r="V60" i="98"/>
  <c r="V44" i="98"/>
  <c r="V36" i="98"/>
  <c r="V32" i="98"/>
  <c r="Z12" i="98"/>
  <c r="V71" i="98"/>
  <c r="V67" i="98"/>
  <c r="V55" i="98"/>
  <c r="V31" i="98"/>
  <c r="V27" i="98"/>
  <c r="V23" i="98"/>
  <c r="V54" i="98"/>
  <c r="V46" i="98"/>
  <c r="V22" i="98"/>
  <c r="V18" i="98"/>
  <c r="V73" i="98"/>
  <c r="V61" i="98"/>
  <c r="V37" i="98"/>
  <c r="V33" i="98"/>
  <c r="T20" i="98"/>
  <c r="V20" i="98" s="1"/>
  <c r="V74" i="98"/>
  <c r="V62" i="98"/>
  <c r="V50" i="98"/>
  <c r="V38" i="98"/>
  <c r="V34" i="98"/>
  <c r="V79" i="98"/>
  <c r="V69" i="98"/>
  <c r="V65" i="98"/>
  <c r="V57" i="98"/>
  <c r="V49" i="98"/>
  <c r="V41" i="98"/>
  <c r="V29" i="98"/>
  <c r="V25" i="98"/>
  <c r="V78" i="98"/>
  <c r="V76" i="98"/>
  <c r="V64" i="98"/>
  <c r="V52" i="98"/>
  <c r="V40" i="98"/>
  <c r="V16" i="98"/>
  <c r="V68" i="98"/>
  <c r="V63" i="98"/>
  <c r="V48" i="98"/>
  <c r="V28" i="98"/>
  <c r="V39" i="98"/>
  <c r="V72" i="98"/>
  <c r="V24" i="98"/>
  <c r="V75" i="98"/>
  <c r="V47" i="98"/>
  <c r="V56" i="98"/>
  <c r="X56" i="101"/>
  <c r="H81" i="98"/>
  <c r="Z62" i="94"/>
  <c r="H75" i="95"/>
  <c r="N20" i="95"/>
  <c r="T92" i="92"/>
  <c r="N20" i="81"/>
  <c r="H73" i="81"/>
  <c r="J20" i="81"/>
  <c r="N57" i="79"/>
  <c r="F20" i="81"/>
  <c r="F20" i="80"/>
  <c r="T76" i="73"/>
  <c r="Z24" i="73"/>
  <c r="X57" i="79"/>
  <c r="Z57" i="79" s="1"/>
  <c r="T103" i="75"/>
  <c r="L24" i="73"/>
  <c r="D76" i="73"/>
  <c r="F86" i="69"/>
  <c r="F85" i="69"/>
  <c r="F78" i="69"/>
  <c r="F77" i="69"/>
  <c r="F73" i="69"/>
  <c r="F69" i="69"/>
  <c r="F68" i="69"/>
  <c r="F105" i="69"/>
  <c r="F96" i="69"/>
  <c r="F67" i="69"/>
  <c r="F60" i="69"/>
  <c r="F56" i="69"/>
  <c r="F52" i="69"/>
  <c r="F48" i="69"/>
  <c r="F109" i="69"/>
  <c r="F87" i="69"/>
  <c r="F79" i="69"/>
  <c r="D65" i="69"/>
  <c r="F98" i="69"/>
  <c r="F97" i="69"/>
  <c r="F74" i="69"/>
  <c r="F70" i="69"/>
  <c r="F89" i="69"/>
  <c r="F88" i="69"/>
  <c r="F61" i="69"/>
  <c r="F57" i="69"/>
  <c r="F53" i="69"/>
  <c r="F49" i="69"/>
  <c r="F80" i="69"/>
  <c r="L12" i="69"/>
  <c r="N12" i="69" s="1"/>
  <c r="F99" i="69"/>
  <c r="F91" i="69"/>
  <c r="F90" i="69"/>
  <c r="F75" i="69"/>
  <c r="F71" i="69"/>
  <c r="F82" i="69"/>
  <c r="F81" i="69"/>
  <c r="F62" i="69"/>
  <c r="F58" i="69"/>
  <c r="F54" i="69"/>
  <c r="F50" i="69"/>
  <c r="F46" i="69"/>
  <c r="F45" i="69"/>
  <c r="F101" i="69"/>
  <c r="F100" i="69"/>
  <c r="F93" i="69"/>
  <c r="F92" i="69"/>
  <c r="F84" i="69"/>
  <c r="F83" i="69"/>
  <c r="F76" i="69"/>
  <c r="F72" i="69"/>
  <c r="F103" i="69"/>
  <c r="F102" i="69"/>
  <c r="F95" i="69"/>
  <c r="F94" i="69"/>
  <c r="F55" i="69"/>
  <c r="F51" i="69"/>
  <c r="F59" i="69"/>
  <c r="F47" i="69"/>
  <c r="F63" i="69"/>
  <c r="F20" i="70"/>
  <c r="J65" i="69"/>
  <c r="D114" i="71"/>
  <c r="L57" i="71"/>
  <c r="N57" i="71" s="1"/>
  <c r="L16" i="54"/>
  <c r="D22" i="54"/>
  <c r="T55" i="61"/>
  <c r="X16" i="56"/>
  <c r="P71" i="56"/>
  <c r="L17" i="48"/>
  <c r="D66" i="48"/>
  <c r="P122" i="36"/>
  <c r="P116" i="42"/>
  <c r="H122" i="36"/>
  <c r="L67" i="30"/>
  <c r="D141" i="30"/>
  <c r="T89" i="33"/>
  <c r="V37" i="33"/>
  <c r="R108" i="24"/>
  <c r="R107" i="24"/>
  <c r="R100" i="24"/>
  <c r="R99" i="24"/>
  <c r="R83" i="24"/>
  <c r="R79" i="24"/>
  <c r="R120" i="24"/>
  <c r="R91" i="24"/>
  <c r="R90" i="24"/>
  <c r="R70" i="24"/>
  <c r="R66" i="24"/>
  <c r="R62" i="24"/>
  <c r="R58" i="24"/>
  <c r="R54" i="24"/>
  <c r="R110" i="24"/>
  <c r="R109" i="24"/>
  <c r="R102" i="24"/>
  <c r="R101" i="24"/>
  <c r="R50" i="24"/>
  <c r="R93" i="24"/>
  <c r="R92" i="24"/>
  <c r="R85" i="24"/>
  <c r="R84" i="24"/>
  <c r="R80" i="24"/>
  <c r="R111" i="24"/>
  <c r="R103" i="24"/>
  <c r="R76" i="24"/>
  <c r="R71" i="24"/>
  <c r="R67" i="24"/>
  <c r="R63" i="24"/>
  <c r="R59" i="24"/>
  <c r="R55" i="24"/>
  <c r="R51" i="24"/>
  <c r="R94" i="24"/>
  <c r="R86" i="24"/>
  <c r="R75" i="24"/>
  <c r="R81" i="24"/>
  <c r="R77" i="24"/>
  <c r="P73" i="24"/>
  <c r="R73" i="24" s="1"/>
  <c r="R113" i="24"/>
  <c r="R112" i="24"/>
  <c r="R105" i="24"/>
  <c r="R104" i="24"/>
  <c r="R68" i="24"/>
  <c r="R64" i="24"/>
  <c r="R60" i="24"/>
  <c r="R56" i="24"/>
  <c r="R52" i="24"/>
  <c r="R114" i="24"/>
  <c r="R106" i="24"/>
  <c r="R82" i="24"/>
  <c r="R78" i="24"/>
  <c r="R116" i="24"/>
  <c r="R96" i="24"/>
  <c r="R88" i="24"/>
  <c r="R98" i="24"/>
  <c r="R69" i="24"/>
  <c r="R53" i="24"/>
  <c r="X12" i="24"/>
  <c r="R89" i="24"/>
  <c r="R87" i="24"/>
  <c r="R57" i="24"/>
  <c r="R97" i="24"/>
  <c r="R61" i="24"/>
  <c r="R95" i="24"/>
  <c r="R65" i="24"/>
  <c r="F95" i="24"/>
  <c r="F87" i="24"/>
  <c r="D73" i="24"/>
  <c r="F73" i="24" s="1"/>
  <c r="F114" i="24"/>
  <c r="F113" i="24"/>
  <c r="F106" i="24"/>
  <c r="F105" i="24"/>
  <c r="F82" i="24"/>
  <c r="F78" i="24"/>
  <c r="F97" i="24"/>
  <c r="F96" i="24"/>
  <c r="F69" i="24"/>
  <c r="F65" i="24"/>
  <c r="F61" i="24"/>
  <c r="F57" i="24"/>
  <c r="F53" i="24"/>
  <c r="F88" i="24"/>
  <c r="F116" i="24"/>
  <c r="F107" i="24"/>
  <c r="F99" i="24"/>
  <c r="F98" i="24"/>
  <c r="F83" i="24"/>
  <c r="F79" i="24"/>
  <c r="F120" i="24"/>
  <c r="F90" i="24"/>
  <c r="F89" i="24"/>
  <c r="F70" i="24"/>
  <c r="F66" i="24"/>
  <c r="F62" i="24"/>
  <c r="F58" i="24"/>
  <c r="F54" i="24"/>
  <c r="F109" i="24"/>
  <c r="F108" i="24"/>
  <c r="F101" i="24"/>
  <c r="F100" i="24"/>
  <c r="F92" i="24"/>
  <c r="F91" i="24"/>
  <c r="F84" i="24"/>
  <c r="F80" i="24"/>
  <c r="F94" i="24"/>
  <c r="F93" i="24"/>
  <c r="F86" i="24"/>
  <c r="F85" i="24"/>
  <c r="F63" i="24"/>
  <c r="F104" i="24"/>
  <c r="F102" i="24"/>
  <c r="F81" i="24"/>
  <c r="F56" i="24"/>
  <c r="F110" i="24"/>
  <c r="F112" i="24"/>
  <c r="F76" i="24"/>
  <c r="F67" i="24"/>
  <c r="F51" i="24"/>
  <c r="L12" i="24"/>
  <c r="F60" i="24"/>
  <c r="F71" i="24"/>
  <c r="F55" i="24"/>
  <c r="F103" i="24"/>
  <c r="F64" i="24"/>
  <c r="F111" i="24"/>
  <c r="F75" i="24"/>
  <c r="F68" i="24"/>
  <c r="F52" i="24"/>
  <c r="F50" i="24"/>
  <c r="F77" i="24"/>
  <c r="F59" i="24"/>
  <c r="D250" i="15"/>
  <c r="D276" i="18"/>
  <c r="L178" i="18"/>
  <c r="X22" i="6"/>
  <c r="P26" i="6"/>
  <c r="L18" i="112"/>
  <c r="D27" i="112"/>
  <c r="H27" i="113"/>
  <c r="N18" i="113"/>
  <c r="X18" i="111"/>
  <c r="P27" i="111"/>
  <c r="X18" i="47"/>
  <c r="P27" i="47"/>
  <c r="D27" i="29"/>
  <c r="L18" i="29"/>
  <c r="H27" i="10"/>
  <c r="N18" i="10"/>
  <c r="T27" i="5"/>
  <c r="Z18" i="5"/>
  <c r="X18" i="4"/>
  <c r="P27" i="4"/>
  <c r="N18" i="4"/>
  <c r="H27" i="4"/>
  <c r="J21" i="105"/>
  <c r="L56" i="101"/>
  <c r="H59" i="101"/>
  <c r="N20" i="101"/>
  <c r="R20" i="101"/>
  <c r="T43" i="100"/>
  <c r="Z17" i="100"/>
  <c r="X17" i="100"/>
  <c r="J56" i="93"/>
  <c r="J46" i="93"/>
  <c r="J36" i="93"/>
  <c r="J32" i="93"/>
  <c r="J22" i="93"/>
  <c r="N12" i="93"/>
  <c r="J47" i="93"/>
  <c r="J27" i="93"/>
  <c r="J23" i="93"/>
  <c r="J21" i="93"/>
  <c r="J66" i="93"/>
  <c r="J62" i="93"/>
  <c r="J48" i="93"/>
  <c r="H19" i="93"/>
  <c r="J67" i="93"/>
  <c r="J57" i="93"/>
  <c r="J49" i="93"/>
  <c r="J37" i="93"/>
  <c r="J33" i="93"/>
  <c r="J68" i="93"/>
  <c r="J50" i="93"/>
  <c r="J38" i="93"/>
  <c r="J28" i="93"/>
  <c r="J24" i="93"/>
  <c r="J69" i="93"/>
  <c r="J63" i="93"/>
  <c r="J51" i="93"/>
  <c r="J39" i="93"/>
  <c r="J70" i="93"/>
  <c r="J58" i="93"/>
  <c r="J40" i="93"/>
  <c r="J34" i="93"/>
  <c r="J59" i="93"/>
  <c r="J41" i="93"/>
  <c r="J29" i="93"/>
  <c r="J25" i="93"/>
  <c r="J53" i="93"/>
  <c r="J43" i="93"/>
  <c r="J35" i="93"/>
  <c r="J76" i="93"/>
  <c r="J54" i="93"/>
  <c r="J44" i="93"/>
  <c r="J30" i="93"/>
  <c r="J26" i="93"/>
  <c r="J16" i="93"/>
  <c r="J65" i="93"/>
  <c r="J61" i="93"/>
  <c r="J55" i="93"/>
  <c r="J45" i="93"/>
  <c r="J31" i="93"/>
  <c r="J17" i="93"/>
  <c r="J52" i="93"/>
  <c r="J64" i="93"/>
  <c r="J72" i="93"/>
  <c r="J42" i="93"/>
  <c r="J60" i="93"/>
  <c r="N20" i="94"/>
  <c r="H65" i="94"/>
  <c r="L18" i="86"/>
  <c r="D28" i="86"/>
  <c r="D80" i="84"/>
  <c r="L20" i="84"/>
  <c r="N20" i="84" s="1"/>
  <c r="D29" i="83"/>
  <c r="L21" i="83"/>
  <c r="V57" i="79"/>
  <c r="J61" i="79"/>
  <c r="J53" i="79"/>
  <c r="J65" i="79"/>
  <c r="J59" i="79"/>
  <c r="J55" i="79"/>
  <c r="J57" i="79"/>
  <c r="J46" i="79"/>
  <c r="J38" i="79"/>
  <c r="J28" i="79"/>
  <c r="J47" i="79"/>
  <c r="J33" i="79"/>
  <c r="J29" i="79"/>
  <c r="J27" i="79"/>
  <c r="J48" i="79"/>
  <c r="H25" i="79"/>
  <c r="J20" i="79"/>
  <c r="J49" i="79"/>
  <c r="J39" i="79"/>
  <c r="J40" i="79"/>
  <c r="J34" i="79"/>
  <c r="J30" i="79"/>
  <c r="J54" i="79"/>
  <c r="J50" i="79"/>
  <c r="J41" i="79"/>
  <c r="J21" i="79"/>
  <c r="J58" i="79"/>
  <c r="J42" i="79"/>
  <c r="N12" i="79"/>
  <c r="J51" i="79"/>
  <c r="J43" i="79"/>
  <c r="J35" i="79"/>
  <c r="J31" i="79"/>
  <c r="J44" i="79"/>
  <c r="J36" i="79"/>
  <c r="J22" i="79"/>
  <c r="J60" i="79"/>
  <c r="J45" i="79"/>
  <c r="J37" i="79"/>
  <c r="J52" i="79"/>
  <c r="J32" i="79"/>
  <c r="J18" i="79"/>
  <c r="J23" i="79"/>
  <c r="J19" i="79"/>
  <c r="N52" i="77"/>
  <c r="H95" i="77"/>
  <c r="V65" i="76"/>
  <c r="V20" i="70"/>
  <c r="J57" i="71"/>
  <c r="X16" i="64"/>
  <c r="P92" i="64"/>
  <c r="V90" i="51"/>
  <c r="N111" i="42"/>
  <c r="N82" i="33"/>
  <c r="F67" i="30"/>
  <c r="R138" i="30"/>
  <c r="J114" i="24"/>
  <c r="J106" i="24"/>
  <c r="J96" i="24"/>
  <c r="J82" i="24"/>
  <c r="J78" i="24"/>
  <c r="J97" i="24"/>
  <c r="J69" i="24"/>
  <c r="J65" i="24"/>
  <c r="J61" i="24"/>
  <c r="J57" i="24"/>
  <c r="J53" i="24"/>
  <c r="J116" i="24"/>
  <c r="J98" i="24"/>
  <c r="J88" i="24"/>
  <c r="N12" i="24"/>
  <c r="J107" i="24"/>
  <c r="J99" i="24"/>
  <c r="J89" i="24"/>
  <c r="J83" i="24"/>
  <c r="J79" i="24"/>
  <c r="J120" i="24"/>
  <c r="J108" i="24"/>
  <c r="J100" i="24"/>
  <c r="J90" i="24"/>
  <c r="J70" i="24"/>
  <c r="J66" i="24"/>
  <c r="J62" i="24"/>
  <c r="J58" i="24"/>
  <c r="J54" i="24"/>
  <c r="J109" i="24"/>
  <c r="J101" i="24"/>
  <c r="J91" i="24"/>
  <c r="J110" i="24"/>
  <c r="J102" i="24"/>
  <c r="J92" i="24"/>
  <c r="J84" i="24"/>
  <c r="J80" i="24"/>
  <c r="J50" i="24"/>
  <c r="J111" i="24"/>
  <c r="J103" i="24"/>
  <c r="J93" i="24"/>
  <c r="J85" i="24"/>
  <c r="J71" i="24"/>
  <c r="J67" i="24"/>
  <c r="J63" i="24"/>
  <c r="J59" i="24"/>
  <c r="J55" i="24"/>
  <c r="J51" i="24"/>
  <c r="J81" i="24"/>
  <c r="J77" i="24"/>
  <c r="J75" i="24"/>
  <c r="J73" i="24"/>
  <c r="J112" i="24"/>
  <c r="J104" i="24"/>
  <c r="J86" i="24"/>
  <c r="J56" i="24"/>
  <c r="J76" i="24"/>
  <c r="H73" i="24"/>
  <c r="J94" i="24"/>
  <c r="J60" i="24"/>
  <c r="J105" i="24"/>
  <c r="J87" i="24"/>
  <c r="J64" i="24"/>
  <c r="J113" i="24"/>
  <c r="J95" i="24"/>
  <c r="J52" i="24"/>
  <c r="J68" i="24"/>
  <c r="J96" i="27"/>
  <c r="J104" i="27"/>
  <c r="J113" i="27"/>
  <c r="J107" i="27"/>
  <c r="J112" i="27"/>
  <c r="J108" i="27"/>
  <c r="J100" i="27"/>
  <c r="J92" i="27"/>
  <c r="J110" i="27"/>
  <c r="J101" i="27"/>
  <c r="J105" i="27"/>
  <c r="J93" i="27"/>
  <c r="J87" i="27"/>
  <c r="J82" i="27"/>
  <c r="J75" i="27"/>
  <c r="J61" i="27"/>
  <c r="J102" i="27"/>
  <c r="J70" i="27"/>
  <c r="J66" i="27"/>
  <c r="J62" i="27"/>
  <c r="J60" i="27"/>
  <c r="J83" i="27"/>
  <c r="J71" i="27"/>
  <c r="H58" i="27"/>
  <c r="J53" i="27"/>
  <c r="J49" i="27"/>
  <c r="J45" i="27"/>
  <c r="J88" i="27"/>
  <c r="J84" i="27"/>
  <c r="J76" i="27"/>
  <c r="J72" i="27"/>
  <c r="N12" i="27"/>
  <c r="J106" i="27"/>
  <c r="J89" i="27"/>
  <c r="J77" i="27"/>
  <c r="J67" i="27"/>
  <c r="J63" i="27"/>
  <c r="J41" i="27"/>
  <c r="J117" i="27"/>
  <c r="J103" i="27"/>
  <c r="J97" i="27"/>
  <c r="J94" i="27"/>
  <c r="J90" i="27"/>
  <c r="J78" i="27"/>
  <c r="J54" i="27"/>
  <c r="J50" i="27"/>
  <c r="J46" i="27"/>
  <c r="J42" i="27"/>
  <c r="J85" i="27"/>
  <c r="J79" i="27"/>
  <c r="J73" i="27"/>
  <c r="J98" i="27"/>
  <c r="J91" i="27"/>
  <c r="J80" i="27"/>
  <c r="J68" i="27"/>
  <c r="J64" i="27"/>
  <c r="J111" i="27"/>
  <c r="J86" i="27"/>
  <c r="J74" i="27"/>
  <c r="J99" i="27"/>
  <c r="J69" i="27"/>
  <c r="J65" i="27"/>
  <c r="J95" i="27"/>
  <c r="J81" i="27"/>
  <c r="J56" i="27"/>
  <c r="J52" i="27"/>
  <c r="J48" i="27"/>
  <c r="J44" i="27"/>
  <c r="J51" i="27"/>
  <c r="J43" i="27"/>
  <c r="J55" i="27"/>
  <c r="J47" i="27"/>
  <c r="V135" i="30"/>
  <c r="V119" i="30"/>
  <c r="V103" i="30"/>
  <c r="V83" i="30"/>
  <c r="V79" i="30"/>
  <c r="V134" i="30"/>
  <c r="V126" i="30"/>
  <c r="V114" i="30"/>
  <c r="V106" i="30"/>
  <c r="V94" i="30"/>
  <c r="V78" i="30"/>
  <c r="V74" i="30"/>
  <c r="V70" i="30"/>
  <c r="V139" i="30"/>
  <c r="V121" i="30"/>
  <c r="V113" i="30"/>
  <c r="V105" i="30"/>
  <c r="V93" i="30"/>
  <c r="V85" i="30"/>
  <c r="V69" i="30"/>
  <c r="V65" i="30"/>
  <c r="V61" i="30"/>
  <c r="V57" i="30"/>
  <c r="V53" i="30"/>
  <c r="V49" i="30"/>
  <c r="V45" i="30"/>
  <c r="V138" i="30"/>
  <c r="V136" i="30"/>
  <c r="V120" i="30"/>
  <c r="V108" i="30"/>
  <c r="V96" i="30"/>
  <c r="V84" i="30"/>
  <c r="V80" i="30"/>
  <c r="T67" i="30"/>
  <c r="Z12" i="30"/>
  <c r="V127" i="30"/>
  <c r="V123" i="30"/>
  <c r="V115" i="30"/>
  <c r="V107" i="30"/>
  <c r="V95" i="30"/>
  <c r="V87" i="30"/>
  <c r="V75" i="30"/>
  <c r="V71" i="30"/>
  <c r="V122" i="30"/>
  <c r="V110" i="30"/>
  <c r="V98" i="30"/>
  <c r="V86" i="30"/>
  <c r="V143" i="30"/>
  <c r="V129" i="30"/>
  <c r="V117" i="30"/>
  <c r="V109" i="30"/>
  <c r="V97" i="30"/>
  <c r="V89" i="30"/>
  <c r="V81" i="30"/>
  <c r="V128" i="30"/>
  <c r="V124" i="30"/>
  <c r="V116" i="30"/>
  <c r="V100" i="30"/>
  <c r="V88" i="30"/>
  <c r="V76" i="30"/>
  <c r="V72" i="30"/>
  <c r="V130" i="30"/>
  <c r="V118" i="30"/>
  <c r="V102" i="30"/>
  <c r="V90" i="30"/>
  <c r="V82" i="30"/>
  <c r="V133" i="30"/>
  <c r="V125" i="30"/>
  <c r="V101" i="30"/>
  <c r="V77" i="30"/>
  <c r="V73" i="30"/>
  <c r="V132" i="30"/>
  <c r="V112" i="30"/>
  <c r="V104" i="30"/>
  <c r="V92" i="30"/>
  <c r="V64" i="30"/>
  <c r="V60" i="30"/>
  <c r="V56" i="30"/>
  <c r="V52" i="30"/>
  <c r="V48" i="30"/>
  <c r="V44" i="30"/>
  <c r="V111" i="30"/>
  <c r="V55" i="30"/>
  <c r="V131" i="30"/>
  <c r="V43" i="30"/>
  <c r="V62" i="30"/>
  <c r="V46" i="30"/>
  <c r="V59" i="30"/>
  <c r="V54" i="30"/>
  <c r="V99" i="30"/>
  <c r="V51" i="30"/>
  <c r="V91" i="30"/>
  <c r="V63" i="30"/>
  <c r="V58" i="30"/>
  <c r="V50" i="30"/>
  <c r="V47" i="30"/>
  <c r="F154" i="15"/>
  <c r="L193" i="3"/>
  <c r="N193" i="3" s="1"/>
  <c r="D301" i="3"/>
  <c r="X16" i="6"/>
  <c r="L18" i="113"/>
  <c r="D27" i="113"/>
  <c r="D27" i="52"/>
  <c r="L18" i="52"/>
  <c r="L18" i="44"/>
  <c r="D27" i="44"/>
  <c r="T27" i="40"/>
  <c r="Z18" i="40"/>
  <c r="H27" i="38"/>
  <c r="N18" i="38"/>
  <c r="N18" i="40"/>
  <c r="H27" i="40"/>
  <c r="T27" i="26"/>
  <c r="Z18" i="26"/>
  <c r="X18" i="23"/>
  <c r="P27" i="23"/>
  <c r="H27" i="17"/>
  <c r="N18" i="17"/>
  <c r="X18" i="14"/>
  <c r="P27" i="14"/>
  <c r="X18" i="5"/>
  <c r="P27" i="5"/>
  <c r="H24" i="107"/>
  <c r="N16" i="107"/>
  <c r="L16" i="107"/>
  <c r="D24" i="107"/>
  <c r="P24" i="107"/>
  <c r="X16" i="107"/>
  <c r="D87" i="106"/>
  <c r="L83" i="106"/>
  <c r="R78" i="106"/>
  <c r="R77" i="106"/>
  <c r="R66" i="106"/>
  <c r="R65" i="106"/>
  <c r="R34" i="106"/>
  <c r="R33" i="106"/>
  <c r="R29" i="106"/>
  <c r="R25" i="106"/>
  <c r="P21" i="106"/>
  <c r="R60" i="106"/>
  <c r="R49" i="106"/>
  <c r="R48" i="106"/>
  <c r="R79" i="106"/>
  <c r="R71" i="106"/>
  <c r="R67" i="106"/>
  <c r="R39" i="106"/>
  <c r="R35" i="106"/>
  <c r="R81" i="106"/>
  <c r="R51" i="106"/>
  <c r="R50" i="106"/>
  <c r="R30" i="106"/>
  <c r="R26" i="106"/>
  <c r="R62" i="106"/>
  <c r="R61" i="106"/>
  <c r="R72" i="106"/>
  <c r="R68" i="106"/>
  <c r="R53" i="106"/>
  <c r="R52" i="106"/>
  <c r="R41" i="106"/>
  <c r="R40" i="106"/>
  <c r="R36" i="106"/>
  <c r="R17" i="106"/>
  <c r="X12" i="106"/>
  <c r="Z12" i="106" s="1"/>
  <c r="R85" i="106"/>
  <c r="R63" i="106"/>
  <c r="R31" i="106"/>
  <c r="R27" i="106"/>
  <c r="R74" i="106"/>
  <c r="R73" i="106"/>
  <c r="R69" i="106"/>
  <c r="R37" i="106"/>
  <c r="R64" i="106"/>
  <c r="R57" i="106"/>
  <c r="R56" i="106"/>
  <c r="R45" i="106"/>
  <c r="R44" i="106"/>
  <c r="R32" i="106"/>
  <c r="R28" i="106"/>
  <c r="R76" i="106"/>
  <c r="R75" i="106"/>
  <c r="R70" i="106"/>
  <c r="R59" i="106"/>
  <c r="R58" i="106"/>
  <c r="R47" i="106"/>
  <c r="R46" i="106"/>
  <c r="R38" i="106"/>
  <c r="R23" i="106"/>
  <c r="R21" i="106"/>
  <c r="R55" i="106"/>
  <c r="R42" i="106"/>
  <c r="R24" i="106"/>
  <c r="R43" i="106"/>
  <c r="R19" i="106"/>
  <c r="R54" i="106"/>
  <c r="R18" i="106"/>
  <c r="T48" i="103"/>
  <c r="Z16" i="103"/>
  <c r="D43" i="100"/>
  <c r="X16" i="99"/>
  <c r="R18" i="86"/>
  <c r="R73" i="81"/>
  <c r="V68" i="81"/>
  <c r="V56" i="81"/>
  <c r="V48" i="81"/>
  <c r="V36" i="81"/>
  <c r="V32" i="81"/>
  <c r="Z12" i="81"/>
  <c r="V67" i="81"/>
  <c r="V47" i="81"/>
  <c r="V31" i="81"/>
  <c r="V27" i="81"/>
  <c r="V23" i="81"/>
  <c r="V62" i="81"/>
  <c r="V50" i="81"/>
  <c r="V38" i="81"/>
  <c r="V22" i="81"/>
  <c r="V18" i="81"/>
  <c r="V71" i="81"/>
  <c r="V69" i="81"/>
  <c r="V57" i="81"/>
  <c r="V49" i="81"/>
  <c r="V37" i="81"/>
  <c r="V33" i="81"/>
  <c r="T20" i="81"/>
  <c r="V52" i="81"/>
  <c r="V40" i="81"/>
  <c r="V28" i="81"/>
  <c r="V24" i="81"/>
  <c r="V63" i="81"/>
  <c r="V59" i="81"/>
  <c r="V51" i="81"/>
  <c r="V39" i="81"/>
  <c r="V58" i="81"/>
  <c r="V42" i="81"/>
  <c r="V34" i="81"/>
  <c r="V75" i="81"/>
  <c r="V53" i="81"/>
  <c r="V41" i="81"/>
  <c r="V29" i="81"/>
  <c r="V25" i="81"/>
  <c r="V55" i="81"/>
  <c r="V43" i="81"/>
  <c r="V35" i="81"/>
  <c r="V66" i="81"/>
  <c r="V54" i="81"/>
  <c r="V46" i="81"/>
  <c r="V30" i="81"/>
  <c r="V26" i="81"/>
  <c r="V65" i="81"/>
  <c r="V61" i="81"/>
  <c r="V45" i="81"/>
  <c r="V17" i="81"/>
  <c r="V60" i="81"/>
  <c r="V44" i="81"/>
  <c r="V16" i="81"/>
  <c r="V64" i="81"/>
  <c r="T63" i="79"/>
  <c r="Z25" i="79"/>
  <c r="R20" i="84"/>
  <c r="J49" i="76"/>
  <c r="J58" i="76"/>
  <c r="J50" i="76"/>
  <c r="J42" i="76"/>
  <c r="J51" i="76"/>
  <c r="J37" i="76"/>
  <c r="J33" i="76"/>
  <c r="J52" i="76"/>
  <c r="J59" i="76"/>
  <c r="J53" i="76"/>
  <c r="J43" i="76"/>
  <c r="J60" i="76"/>
  <c r="J54" i="76"/>
  <c r="J38" i="76"/>
  <c r="J34" i="76"/>
  <c r="J62" i="76"/>
  <c r="J56" i="76"/>
  <c r="J44" i="76"/>
  <c r="N12" i="76"/>
  <c r="J63" i="76"/>
  <c r="J45" i="76"/>
  <c r="J39" i="76"/>
  <c r="J35" i="76"/>
  <c r="J66" i="76"/>
  <c r="J46" i="76"/>
  <c r="J40" i="76"/>
  <c r="J65" i="76"/>
  <c r="J57" i="76"/>
  <c r="J47" i="76"/>
  <c r="J41" i="76"/>
  <c r="J30" i="76"/>
  <c r="J31" i="76"/>
  <c r="J55" i="76"/>
  <c r="J26" i="76"/>
  <c r="J70" i="76"/>
  <c r="J32" i="76"/>
  <c r="J36" i="76"/>
  <c r="J61" i="76"/>
  <c r="H28" i="76"/>
  <c r="J48" i="76"/>
  <c r="J28" i="76"/>
  <c r="R101" i="75"/>
  <c r="R98" i="75"/>
  <c r="R93" i="75"/>
  <c r="R88" i="75"/>
  <c r="R87" i="75"/>
  <c r="R68" i="75"/>
  <c r="R67" i="75"/>
  <c r="R63" i="75"/>
  <c r="R52" i="75"/>
  <c r="R79" i="75"/>
  <c r="R78" i="75"/>
  <c r="R58" i="75"/>
  <c r="R54" i="75"/>
  <c r="P50" i="75"/>
  <c r="R50" i="75" s="1"/>
  <c r="R89" i="75"/>
  <c r="R70" i="75"/>
  <c r="R69" i="75"/>
  <c r="R45" i="75"/>
  <c r="R41" i="75"/>
  <c r="R37" i="75"/>
  <c r="R100" i="75"/>
  <c r="R81" i="75"/>
  <c r="R80" i="75"/>
  <c r="R64" i="75"/>
  <c r="X12" i="75"/>
  <c r="Z12" i="75" s="1"/>
  <c r="R94" i="75"/>
  <c r="R71" i="75"/>
  <c r="R59" i="75"/>
  <c r="R55" i="75"/>
  <c r="R95" i="75"/>
  <c r="R90" i="75"/>
  <c r="R83" i="75"/>
  <c r="R82" i="75"/>
  <c r="R46" i="75"/>
  <c r="R42" i="75"/>
  <c r="R38" i="75"/>
  <c r="R65" i="75"/>
  <c r="R34" i="75"/>
  <c r="R84" i="75"/>
  <c r="R73" i="75"/>
  <c r="R72" i="75"/>
  <c r="R60" i="75"/>
  <c r="R56" i="75"/>
  <c r="R97" i="75"/>
  <c r="R75" i="75"/>
  <c r="R74" i="75"/>
  <c r="R66" i="75"/>
  <c r="R86" i="75"/>
  <c r="R85" i="75"/>
  <c r="R62" i="75"/>
  <c r="R61" i="75"/>
  <c r="R57" i="75"/>
  <c r="R105" i="75"/>
  <c r="R92" i="75"/>
  <c r="R77" i="75"/>
  <c r="R76" i="75"/>
  <c r="R53" i="75"/>
  <c r="R48" i="75"/>
  <c r="R44" i="75"/>
  <c r="R40" i="75"/>
  <c r="R36" i="75"/>
  <c r="R91" i="75"/>
  <c r="R43" i="75"/>
  <c r="R35" i="75"/>
  <c r="R47" i="75"/>
  <c r="R96" i="75"/>
  <c r="R39" i="75"/>
  <c r="R24" i="73"/>
  <c r="T68" i="76"/>
  <c r="P81" i="74"/>
  <c r="X51" i="74"/>
  <c r="F51" i="74"/>
  <c r="F24" i="73"/>
  <c r="P71" i="58"/>
  <c r="X16" i="58"/>
  <c r="L16" i="56"/>
  <c r="D71" i="56"/>
  <c r="H71" i="58"/>
  <c r="N16" i="58"/>
  <c r="T66" i="48"/>
  <c r="Z17" i="48"/>
  <c r="V87" i="42"/>
  <c r="V83" i="42"/>
  <c r="V75" i="42"/>
  <c r="V47" i="42"/>
  <c r="V43" i="42"/>
  <c r="V106" i="42"/>
  <c r="V98" i="42"/>
  <c r="V94" i="42"/>
  <c r="V89" i="42"/>
  <c r="V77" i="42"/>
  <c r="V57" i="42"/>
  <c r="V49" i="42"/>
  <c r="V25" i="42"/>
  <c r="V114" i="42"/>
  <c r="V108" i="42"/>
  <c r="V100" i="42"/>
  <c r="V88" i="42"/>
  <c r="V84" i="42"/>
  <c r="V68" i="42"/>
  <c r="V48" i="42"/>
  <c r="V44" i="42"/>
  <c r="Z12" i="42"/>
  <c r="V113" i="42"/>
  <c r="V107" i="42"/>
  <c r="V99" i="42"/>
  <c r="V95" i="42"/>
  <c r="V91" i="42"/>
  <c r="V67" i="42"/>
  <c r="V112" i="42"/>
  <c r="V102" i="42"/>
  <c r="V90" i="42"/>
  <c r="V78" i="42"/>
  <c r="V70" i="42"/>
  <c r="V58" i="42"/>
  <c r="V50" i="42"/>
  <c r="V30" i="42"/>
  <c r="V26" i="42"/>
  <c r="V111" i="42"/>
  <c r="V109" i="42"/>
  <c r="V101" i="42"/>
  <c r="V85" i="42"/>
  <c r="V69" i="42"/>
  <c r="V61" i="42"/>
  <c r="V53" i="42"/>
  <c r="V45" i="42"/>
  <c r="V41" i="42"/>
  <c r="V118" i="42"/>
  <c r="V104" i="42"/>
  <c r="V96" i="42"/>
  <c r="V92" i="42"/>
  <c r="V80" i="42"/>
  <c r="V72" i="42"/>
  <c r="V60" i="42"/>
  <c r="V52" i="42"/>
  <c r="V40" i="42"/>
  <c r="V36" i="42"/>
  <c r="V32" i="42"/>
  <c r="V86" i="42"/>
  <c r="V74" i="42"/>
  <c r="V62" i="42"/>
  <c r="V54" i="42"/>
  <c r="V46" i="42"/>
  <c r="V42" i="42"/>
  <c r="V76" i="42"/>
  <c r="V64" i="42"/>
  <c r="V56" i="42"/>
  <c r="V24" i="42"/>
  <c r="V105" i="42"/>
  <c r="V93" i="42"/>
  <c r="V82" i="42"/>
  <c r="V39" i="42"/>
  <c r="V37" i="42"/>
  <c r="V73" i="42"/>
  <c r="V71" i="42"/>
  <c r="V65" i="42"/>
  <c r="V34" i="42"/>
  <c r="V79" i="42"/>
  <c r="V63" i="42"/>
  <c r="V97" i="42"/>
  <c r="V81" i="42"/>
  <c r="V55" i="42"/>
  <c r="V31" i="42"/>
  <c r="V38" i="42"/>
  <c r="V66" i="42"/>
  <c r="T28" i="42"/>
  <c r="V33" i="42"/>
  <c r="V59" i="42"/>
  <c r="V51" i="42"/>
  <c r="V35" i="42"/>
  <c r="V103" i="42"/>
  <c r="X111" i="42"/>
  <c r="Z111" i="42" s="1"/>
  <c r="R111" i="42"/>
  <c r="F93" i="36"/>
  <c r="F81" i="36"/>
  <c r="F120" i="36"/>
  <c r="F115" i="36"/>
  <c r="F114" i="36"/>
  <c r="F107" i="36"/>
  <c r="F106" i="36"/>
  <c r="F124" i="36"/>
  <c r="F119" i="36"/>
  <c r="F102" i="36"/>
  <c r="F98" i="36"/>
  <c r="F97" i="36"/>
  <c r="F109" i="36"/>
  <c r="F105" i="36"/>
  <c r="F94" i="36"/>
  <c r="F91" i="36"/>
  <c r="F75" i="36"/>
  <c r="F74" i="36"/>
  <c r="F39" i="36"/>
  <c r="F35" i="36"/>
  <c r="F88" i="36"/>
  <c r="F84" i="36"/>
  <c r="F66" i="36"/>
  <c r="F65" i="36"/>
  <c r="F58" i="36"/>
  <c r="F57" i="36"/>
  <c r="F103" i="36"/>
  <c r="F77" i="36"/>
  <c r="F76" i="36"/>
  <c r="F49" i="36"/>
  <c r="F45" i="36"/>
  <c r="F110" i="36"/>
  <c r="F101" i="36"/>
  <c r="F92" i="36"/>
  <c r="F68" i="36"/>
  <c r="F67" i="36"/>
  <c r="F40" i="36"/>
  <c r="F36" i="36"/>
  <c r="F117" i="36"/>
  <c r="F113" i="36"/>
  <c r="F95" i="36"/>
  <c r="F89" i="36"/>
  <c r="F79" i="36"/>
  <c r="F78" i="36"/>
  <c r="F59" i="36"/>
  <c r="F27" i="36"/>
  <c r="F26" i="36"/>
  <c r="F99" i="36"/>
  <c r="F85" i="36"/>
  <c r="F70" i="36"/>
  <c r="F69" i="36"/>
  <c r="F50" i="36"/>
  <c r="F46" i="36"/>
  <c r="F111" i="36"/>
  <c r="F96" i="36"/>
  <c r="F80" i="36"/>
  <c r="F41" i="36"/>
  <c r="F37" i="36"/>
  <c r="F104" i="36"/>
  <c r="F90" i="36"/>
  <c r="F86" i="36"/>
  <c r="F60" i="36"/>
  <c r="F52" i="36"/>
  <c r="F51" i="36"/>
  <c r="F28" i="36"/>
  <c r="F118" i="36"/>
  <c r="F71" i="36"/>
  <c r="F47" i="36"/>
  <c r="F108" i="36"/>
  <c r="F87" i="36"/>
  <c r="F82" i="36"/>
  <c r="F62" i="36"/>
  <c r="F61" i="36"/>
  <c r="F54" i="36"/>
  <c r="F53" i="36"/>
  <c r="F42" i="36"/>
  <c r="F38" i="36"/>
  <c r="F34" i="36"/>
  <c r="F33" i="36"/>
  <c r="F112" i="36"/>
  <c r="F64" i="36"/>
  <c r="F63" i="36"/>
  <c r="F56" i="36"/>
  <c r="F55" i="36"/>
  <c r="F48" i="36"/>
  <c r="F44" i="36"/>
  <c r="F43" i="36"/>
  <c r="D30" i="36"/>
  <c r="F32" i="36"/>
  <c r="F30" i="36"/>
  <c r="F72" i="36"/>
  <c r="F83" i="36"/>
  <c r="F73" i="36"/>
  <c r="L12" i="36"/>
  <c r="N12" i="36" s="1"/>
  <c r="F100" i="36"/>
  <c r="N67" i="30"/>
  <c r="H141" i="30"/>
  <c r="J67" i="30"/>
  <c r="N37" i="33"/>
  <c r="H89" i="33"/>
  <c r="J217" i="15"/>
  <c r="J205" i="15"/>
  <c r="J185" i="15"/>
  <c r="J175" i="15"/>
  <c r="J165" i="15"/>
  <c r="J161" i="15"/>
  <c r="J248" i="15"/>
  <c r="J236" i="15"/>
  <c r="J228" i="15"/>
  <c r="J224" i="15"/>
  <c r="J212" i="15"/>
  <c r="J206" i="15"/>
  <c r="J176" i="15"/>
  <c r="J152" i="15"/>
  <c r="J148" i="15"/>
  <c r="J144" i="15"/>
  <c r="J140" i="15"/>
  <c r="J136" i="15"/>
  <c r="J132" i="15"/>
  <c r="J128" i="15"/>
  <c r="J124" i="15"/>
  <c r="J120" i="15"/>
  <c r="J116" i="15"/>
  <c r="J112" i="15"/>
  <c r="J108" i="15"/>
  <c r="J247" i="15"/>
  <c r="J229" i="15"/>
  <c r="J207" i="15"/>
  <c r="J195" i="15"/>
  <c r="J177" i="15"/>
  <c r="J171" i="15"/>
  <c r="J157" i="15"/>
  <c r="J252" i="15"/>
  <c r="J246" i="15"/>
  <c r="J230" i="15"/>
  <c r="J218" i="15"/>
  <c r="J196" i="15"/>
  <c r="J186" i="15"/>
  <c r="J178" i="15"/>
  <c r="J166" i="15"/>
  <c r="J162" i="15"/>
  <c r="J158" i="15"/>
  <c r="J156" i="15"/>
  <c r="J104" i="15"/>
  <c r="J245" i="15"/>
  <c r="J237" i="15"/>
  <c r="J225" i="15"/>
  <c r="J219" i="15"/>
  <c r="J213" i="15"/>
  <c r="J197" i="15"/>
  <c r="J187" i="15"/>
  <c r="J179" i="15"/>
  <c r="J167" i="15"/>
  <c r="H154" i="15"/>
  <c r="J154" i="15" s="1"/>
  <c r="J149" i="15"/>
  <c r="J145" i="15"/>
  <c r="J141" i="15"/>
  <c r="J137" i="15"/>
  <c r="J133" i="15"/>
  <c r="J129" i="15"/>
  <c r="J125" i="15"/>
  <c r="J121" i="15"/>
  <c r="J117" i="15"/>
  <c r="J113" i="15"/>
  <c r="J109" i="15"/>
  <c r="J105" i="15"/>
  <c r="J244" i="15"/>
  <c r="J238" i="15"/>
  <c r="J220" i="15"/>
  <c r="J214" i="15"/>
  <c r="J208" i="15"/>
  <c r="J198" i="15"/>
  <c r="J188" i="15"/>
  <c r="J180" i="15"/>
  <c r="J172" i="15"/>
  <c r="J168" i="15"/>
  <c r="J243" i="15"/>
  <c r="J239" i="15"/>
  <c r="J231" i="15"/>
  <c r="J215" i="15"/>
  <c r="J199" i="15"/>
  <c r="J189" i="15"/>
  <c r="J181" i="15"/>
  <c r="J163" i="15"/>
  <c r="J159" i="15"/>
  <c r="J242" i="15"/>
  <c r="J232" i="15"/>
  <c r="J226" i="15"/>
  <c r="J200" i="15"/>
  <c r="J190" i="15"/>
  <c r="J182" i="15"/>
  <c r="J150" i="15"/>
  <c r="J146" i="15"/>
  <c r="J142" i="15"/>
  <c r="J138" i="15"/>
  <c r="J134" i="15"/>
  <c r="J130" i="15"/>
  <c r="J126" i="15"/>
  <c r="J122" i="15"/>
  <c r="J118" i="15"/>
  <c r="J114" i="15"/>
  <c r="J110" i="15"/>
  <c r="J106" i="15"/>
  <c r="J241" i="15"/>
  <c r="J233" i="15"/>
  <c r="J221" i="15"/>
  <c r="J209" i="15"/>
  <c r="J201" i="15"/>
  <c r="J191" i="15"/>
  <c r="J173" i="15"/>
  <c r="J169" i="15"/>
  <c r="J234" i="15"/>
  <c r="J222" i="15"/>
  <c r="J216" i="15"/>
  <c r="J210" i="15"/>
  <c r="J202" i="15"/>
  <c r="J192" i="15"/>
  <c r="J164" i="15"/>
  <c r="J160" i="15"/>
  <c r="J204" i="15"/>
  <c r="J194" i="15"/>
  <c r="J184" i="15"/>
  <c r="J174" i="15"/>
  <c r="J170" i="15"/>
  <c r="J139" i="15"/>
  <c r="J123" i="15"/>
  <c r="J131" i="15"/>
  <c r="J223" i="15"/>
  <c r="J211" i="15"/>
  <c r="J151" i="15"/>
  <c r="J111" i="15"/>
  <c r="J235" i="15"/>
  <c r="J183" i="15"/>
  <c r="J119" i="15"/>
  <c r="J143" i="15"/>
  <c r="J135" i="15"/>
  <c r="J127" i="15"/>
  <c r="J227" i="15"/>
  <c r="J203" i="15"/>
  <c r="J193" i="15"/>
  <c r="J107" i="15"/>
  <c r="L12" i="15"/>
  <c r="N12" i="15" s="1"/>
  <c r="J147" i="15"/>
  <c r="J115" i="15"/>
  <c r="T276" i="18"/>
  <c r="X12" i="12"/>
  <c r="Z12" i="12" s="1"/>
  <c r="Z193" i="3"/>
  <c r="T301" i="3"/>
  <c r="T27" i="44"/>
  <c r="Z18" i="44"/>
  <c r="L18" i="35"/>
  <c r="D27" i="35"/>
  <c r="X18" i="29"/>
  <c r="P27" i="29"/>
  <c r="H27" i="25"/>
  <c r="N18" i="25"/>
  <c r="H27" i="22"/>
  <c r="N18" i="22"/>
  <c r="T27" i="17"/>
  <c r="Z18" i="17"/>
  <c r="T27" i="16"/>
  <c r="Z18" i="16"/>
  <c r="T27" i="22"/>
  <c r="Z18" i="22"/>
  <c r="P27" i="19"/>
  <c r="X18" i="19"/>
  <c r="T27" i="10"/>
  <c r="Z18" i="10"/>
  <c r="P27" i="8"/>
  <c r="X18" i="8"/>
  <c r="L18" i="7"/>
  <c r="D27" i="7"/>
  <c r="T27" i="8"/>
  <c r="Z18" i="8"/>
  <c r="Z31" i="109"/>
  <c r="T83" i="106"/>
  <c r="J21" i="106"/>
  <c r="L22" i="102"/>
  <c r="N22" i="102" s="1"/>
  <c r="D79" i="102"/>
  <c r="P31" i="99"/>
  <c r="X27" i="99"/>
  <c r="V20" i="96"/>
  <c r="H85" i="92"/>
  <c r="N16" i="92"/>
  <c r="T65" i="94"/>
  <c r="Z21" i="83"/>
  <c r="T29" i="83"/>
  <c r="N53" i="85"/>
  <c r="H115" i="85"/>
  <c r="H81" i="74"/>
  <c r="N51" i="74"/>
  <c r="J51" i="74"/>
  <c r="N16" i="68"/>
  <c r="H54" i="68"/>
  <c r="L12" i="73"/>
  <c r="N12" i="73" s="1"/>
  <c r="D61" i="68"/>
  <c r="T114" i="71"/>
  <c r="L16" i="68"/>
  <c r="H49" i="60"/>
  <c r="L49" i="60" s="1"/>
  <c r="N16" i="60"/>
  <c r="Z16" i="54"/>
  <c r="T22" i="54"/>
  <c r="H22" i="54"/>
  <c r="N16" i="54"/>
  <c r="X88" i="64"/>
  <c r="Z88" i="64" s="1"/>
  <c r="T95" i="51"/>
  <c r="R66" i="51"/>
  <c r="R85" i="51"/>
  <c r="R74" i="51"/>
  <c r="R73" i="51"/>
  <c r="R61" i="51"/>
  <c r="R57" i="51"/>
  <c r="R48" i="51"/>
  <c r="R44" i="51"/>
  <c r="R40" i="51"/>
  <c r="R76" i="51"/>
  <c r="R75" i="51"/>
  <c r="R67" i="51"/>
  <c r="R93" i="51"/>
  <c r="R87" i="51"/>
  <c r="R86" i="51"/>
  <c r="R62" i="51"/>
  <c r="R58" i="51"/>
  <c r="R92" i="51"/>
  <c r="R78" i="51"/>
  <c r="R77" i="51"/>
  <c r="R49" i="51"/>
  <c r="R45" i="51"/>
  <c r="R41" i="51"/>
  <c r="R91" i="51"/>
  <c r="R88" i="51"/>
  <c r="R68" i="51"/>
  <c r="R37" i="51"/>
  <c r="X12" i="51"/>
  <c r="Z12" i="51" s="1"/>
  <c r="R97" i="51"/>
  <c r="R90" i="51"/>
  <c r="R80" i="51"/>
  <c r="R79" i="51"/>
  <c r="R63" i="51"/>
  <c r="R59" i="51"/>
  <c r="R82" i="51"/>
  <c r="R81" i="51"/>
  <c r="R70" i="51"/>
  <c r="R69" i="51"/>
  <c r="R54" i="51"/>
  <c r="R52" i="51"/>
  <c r="R65" i="51"/>
  <c r="R64" i="51"/>
  <c r="R60" i="51"/>
  <c r="R56" i="51"/>
  <c r="P52" i="51"/>
  <c r="R55" i="51"/>
  <c r="R42" i="51"/>
  <c r="R83" i="51"/>
  <c r="R46" i="51"/>
  <c r="R71" i="51"/>
  <c r="R50" i="51"/>
  <c r="R84" i="51"/>
  <c r="R39" i="51"/>
  <c r="R72" i="51"/>
  <c r="R43" i="51"/>
  <c r="R47" i="51"/>
  <c r="R38" i="51"/>
  <c r="P91" i="45"/>
  <c r="X24" i="45"/>
  <c r="J125" i="39"/>
  <c r="J121" i="39"/>
  <c r="J113" i="39"/>
  <c r="J103" i="39"/>
  <c r="J97" i="39"/>
  <c r="J91" i="39"/>
  <c r="J83" i="39"/>
  <c r="J73" i="39"/>
  <c r="J45" i="39"/>
  <c r="J41" i="39"/>
  <c r="J31" i="39"/>
  <c r="J130" i="39"/>
  <c r="J124" i="39"/>
  <c r="J114" i="39"/>
  <c r="J108" i="39"/>
  <c r="J104" i="39"/>
  <c r="J92" i="39"/>
  <c r="J84" i="39"/>
  <c r="J74" i="39"/>
  <c r="J64" i="39"/>
  <c r="J32" i="39"/>
  <c r="J123" i="39"/>
  <c r="J115" i="39"/>
  <c r="J85" i="39"/>
  <c r="J75" i="39"/>
  <c r="J55" i="39"/>
  <c r="J51" i="39"/>
  <c r="J116" i="39"/>
  <c r="J98" i="39"/>
  <c r="J86" i="39"/>
  <c r="J76" i="39"/>
  <c r="J56" i="39"/>
  <c r="J46" i="39"/>
  <c r="J42" i="39"/>
  <c r="J117" i="39"/>
  <c r="J109" i="39"/>
  <c r="J105" i="39"/>
  <c r="J93" i="39"/>
  <c r="J87" i="39"/>
  <c r="J77" i="39"/>
  <c r="J65" i="39"/>
  <c r="J57" i="39"/>
  <c r="J33" i="39"/>
  <c r="J99" i="39"/>
  <c r="J95" i="39"/>
  <c r="J67" i="39"/>
  <c r="J59" i="39"/>
  <c r="J47" i="39"/>
  <c r="J43" i="39"/>
  <c r="J39" i="39"/>
  <c r="J37" i="39"/>
  <c r="J35" i="39"/>
  <c r="J118" i="39"/>
  <c r="J110" i="39"/>
  <c r="J106" i="39"/>
  <c r="J100" i="39"/>
  <c r="J78" i="39"/>
  <c r="J68" i="39"/>
  <c r="J60" i="39"/>
  <c r="J48" i="39"/>
  <c r="H35" i="39"/>
  <c r="J101" i="39"/>
  <c r="J89" i="39"/>
  <c r="J79" i="39"/>
  <c r="J69" i="39"/>
  <c r="J61" i="39"/>
  <c r="J53" i="39"/>
  <c r="J49" i="39"/>
  <c r="J126" i="39"/>
  <c r="J120" i="39"/>
  <c r="J112" i="39"/>
  <c r="J102" i="39"/>
  <c r="J90" i="39"/>
  <c r="J82" i="39"/>
  <c r="J72" i="39"/>
  <c r="J54" i="39"/>
  <c r="J50" i="39"/>
  <c r="J63" i="39"/>
  <c r="J44" i="39"/>
  <c r="J94" i="39"/>
  <c r="J107" i="39"/>
  <c r="J96" i="39"/>
  <c r="J88" i="39"/>
  <c r="J70" i="39"/>
  <c r="J80" i="39"/>
  <c r="J62" i="39"/>
  <c r="J111" i="39"/>
  <c r="J66" i="39"/>
  <c r="J119" i="39"/>
  <c r="J58" i="39"/>
  <c r="J52" i="39"/>
  <c r="J38" i="39"/>
  <c r="J40" i="39"/>
  <c r="N12" i="39"/>
  <c r="J71" i="39"/>
  <c r="J81" i="39"/>
  <c r="V118" i="36"/>
  <c r="V108" i="36"/>
  <c r="V96" i="36"/>
  <c r="V84" i="36"/>
  <c r="V124" i="36"/>
  <c r="V93" i="36"/>
  <c r="V89" i="36"/>
  <c r="V119" i="36"/>
  <c r="V113" i="36"/>
  <c r="V105" i="36"/>
  <c r="V101" i="36"/>
  <c r="V97" i="36"/>
  <c r="V86" i="36"/>
  <c r="V85" i="36"/>
  <c r="V70" i="36"/>
  <c r="V50" i="36"/>
  <c r="V46" i="36"/>
  <c r="V61" i="36"/>
  <c r="V53" i="36"/>
  <c r="V41" i="36"/>
  <c r="V37" i="36"/>
  <c r="V33" i="36"/>
  <c r="V107" i="36"/>
  <c r="V99" i="36"/>
  <c r="V82" i="36"/>
  <c r="V81" i="36"/>
  <c r="V72" i="36"/>
  <c r="V60" i="36"/>
  <c r="V52" i="36"/>
  <c r="V32" i="36"/>
  <c r="V30" i="36"/>
  <c r="V28" i="36"/>
  <c r="V114" i="36"/>
  <c r="V111" i="36"/>
  <c r="V104" i="36"/>
  <c r="V71" i="36"/>
  <c r="V63" i="36"/>
  <c r="V55" i="36"/>
  <c r="V47" i="36"/>
  <c r="V43" i="36"/>
  <c r="T30" i="36"/>
  <c r="X30" i="36" s="1"/>
  <c r="V90" i="36"/>
  <c r="V74" i="36"/>
  <c r="V62" i="36"/>
  <c r="V54" i="36"/>
  <c r="V42" i="36"/>
  <c r="V38" i="36"/>
  <c r="V34" i="36"/>
  <c r="V102" i="36"/>
  <c r="V87" i="36"/>
  <c r="V83" i="36"/>
  <c r="V73" i="36"/>
  <c r="V65" i="36"/>
  <c r="V57" i="36"/>
  <c r="V100" i="36"/>
  <c r="V76" i="36"/>
  <c r="V64" i="36"/>
  <c r="V56" i="36"/>
  <c r="V48" i="36"/>
  <c r="V44" i="36"/>
  <c r="Z12" i="36"/>
  <c r="V120" i="36"/>
  <c r="V112" i="36"/>
  <c r="V91" i="36"/>
  <c r="V75" i="36"/>
  <c r="V67" i="36"/>
  <c r="V39" i="36"/>
  <c r="V35" i="36"/>
  <c r="V115" i="36"/>
  <c r="V109" i="36"/>
  <c r="V98" i="36"/>
  <c r="V78" i="36"/>
  <c r="V66" i="36"/>
  <c r="V58" i="36"/>
  <c r="V26" i="36"/>
  <c r="V110" i="36"/>
  <c r="V95" i="36"/>
  <c r="V94" i="36"/>
  <c r="V88" i="36"/>
  <c r="V77" i="36"/>
  <c r="V69" i="36"/>
  <c r="V49" i="36"/>
  <c r="V45" i="36"/>
  <c r="V117" i="36"/>
  <c r="V103" i="36"/>
  <c r="V79" i="36"/>
  <c r="V59" i="36"/>
  <c r="V51" i="36"/>
  <c r="V27" i="36"/>
  <c r="V106" i="36"/>
  <c r="V40" i="36"/>
  <c r="V80" i="36"/>
  <c r="V36" i="36"/>
  <c r="V68" i="36"/>
  <c r="V92" i="36"/>
  <c r="N27" i="21"/>
  <c r="H102" i="21"/>
  <c r="R252" i="15"/>
  <c r="R245" i="15"/>
  <c r="R230" i="15"/>
  <c r="R219" i="15"/>
  <c r="R218" i="15"/>
  <c r="R187" i="15"/>
  <c r="R186" i="15"/>
  <c r="R179" i="15"/>
  <c r="R178" i="15"/>
  <c r="R167" i="15"/>
  <c r="R166" i="15"/>
  <c r="R162" i="15"/>
  <c r="R158" i="15"/>
  <c r="P154" i="15"/>
  <c r="R244" i="15"/>
  <c r="R238" i="15"/>
  <c r="R237" i="15"/>
  <c r="R225" i="15"/>
  <c r="R214" i="15"/>
  <c r="R213" i="15"/>
  <c r="R198" i="15"/>
  <c r="R197" i="15"/>
  <c r="R149" i="15"/>
  <c r="R145" i="15"/>
  <c r="R141" i="15"/>
  <c r="R137" i="15"/>
  <c r="R133" i="15"/>
  <c r="R129" i="15"/>
  <c r="R125" i="15"/>
  <c r="R121" i="15"/>
  <c r="R117" i="15"/>
  <c r="R113" i="15"/>
  <c r="R109" i="15"/>
  <c r="R105" i="15"/>
  <c r="R243" i="15"/>
  <c r="R220" i="15"/>
  <c r="R208" i="15"/>
  <c r="R189" i="15"/>
  <c r="R188" i="15"/>
  <c r="R181" i="15"/>
  <c r="R180" i="15"/>
  <c r="R172" i="15"/>
  <c r="R168" i="15"/>
  <c r="X12" i="15"/>
  <c r="Z12" i="15" s="1"/>
  <c r="R242" i="15"/>
  <c r="R239" i="15"/>
  <c r="R232" i="15"/>
  <c r="R231" i="15"/>
  <c r="R215" i="15"/>
  <c r="R200" i="15"/>
  <c r="R199" i="15"/>
  <c r="R163" i="15"/>
  <c r="R159" i="15"/>
  <c r="R241" i="15"/>
  <c r="R226" i="15"/>
  <c r="R191" i="15"/>
  <c r="R190" i="15"/>
  <c r="R182" i="15"/>
  <c r="R150" i="15"/>
  <c r="R146" i="15"/>
  <c r="R142" i="15"/>
  <c r="R138" i="15"/>
  <c r="R134" i="15"/>
  <c r="R130" i="15"/>
  <c r="R126" i="15"/>
  <c r="R122" i="15"/>
  <c r="R118" i="15"/>
  <c r="R114" i="15"/>
  <c r="R110" i="15"/>
  <c r="R106" i="15"/>
  <c r="R234" i="15"/>
  <c r="R233" i="15"/>
  <c r="R222" i="15"/>
  <c r="R221" i="15"/>
  <c r="R210" i="15"/>
  <c r="R209" i="15"/>
  <c r="R202" i="15"/>
  <c r="R201" i="15"/>
  <c r="R173" i="15"/>
  <c r="R169" i="15"/>
  <c r="R216" i="15"/>
  <c r="R193" i="15"/>
  <c r="R192" i="15"/>
  <c r="R164" i="15"/>
  <c r="R160" i="15"/>
  <c r="R235" i="15"/>
  <c r="R227" i="15"/>
  <c r="R223" i="15"/>
  <c r="R211" i="15"/>
  <c r="R204" i="15"/>
  <c r="R203" i="15"/>
  <c r="R184" i="15"/>
  <c r="R183" i="15"/>
  <c r="R151" i="15"/>
  <c r="R147" i="15"/>
  <c r="R143" i="15"/>
  <c r="R139" i="15"/>
  <c r="R135" i="15"/>
  <c r="R131" i="15"/>
  <c r="R127" i="15"/>
  <c r="R123" i="15"/>
  <c r="R119" i="15"/>
  <c r="R115" i="15"/>
  <c r="R111" i="15"/>
  <c r="R107" i="15"/>
  <c r="R194" i="15"/>
  <c r="R175" i="15"/>
  <c r="R174" i="15"/>
  <c r="R170" i="15"/>
  <c r="R248" i="15"/>
  <c r="R217" i="15"/>
  <c r="R206" i="15"/>
  <c r="R205" i="15"/>
  <c r="R185" i="15"/>
  <c r="R165" i="15"/>
  <c r="R161" i="15"/>
  <c r="R246" i="15"/>
  <c r="R207" i="15"/>
  <c r="R196" i="15"/>
  <c r="R195" i="15"/>
  <c r="R171" i="15"/>
  <c r="R156" i="15"/>
  <c r="R154" i="15"/>
  <c r="R104" i="15"/>
  <c r="R177" i="15"/>
  <c r="R128" i="15"/>
  <c r="R228" i="15"/>
  <c r="R108" i="15"/>
  <c r="R247" i="15"/>
  <c r="R148" i="15"/>
  <c r="R116" i="15"/>
  <c r="R140" i="15"/>
  <c r="R176" i="15"/>
  <c r="R132" i="15"/>
  <c r="R124" i="15"/>
  <c r="R224" i="15"/>
  <c r="R212" i="15"/>
  <c r="R229" i="15"/>
  <c r="R152" i="15"/>
  <c r="R236" i="15"/>
  <c r="R136" i="15"/>
  <c r="R120" i="15"/>
  <c r="R157" i="15"/>
  <c r="R112" i="15"/>
  <c r="R144" i="15"/>
  <c r="V154" i="15"/>
  <c r="J160" i="12"/>
  <c r="H90" i="9"/>
  <c r="L90" i="9" s="1"/>
  <c r="N16" i="9"/>
  <c r="L289" i="3"/>
  <c r="N289" i="3" s="1"/>
  <c r="L18" i="53"/>
  <c r="D27" i="53"/>
  <c r="T27" i="52"/>
  <c r="Z18" i="52"/>
  <c r="H27" i="49"/>
  <c r="N18" i="49"/>
  <c r="L18" i="41"/>
  <c r="D27" i="41"/>
  <c r="T27" i="29"/>
  <c r="Z18" i="29"/>
  <c r="T27" i="23"/>
  <c r="Z18" i="23"/>
  <c r="H27" i="13"/>
  <c r="N18" i="13"/>
  <c r="T27" i="11"/>
  <c r="Z18" i="11"/>
  <c r="N22" i="104"/>
  <c r="H81" i="104"/>
  <c r="H79" i="102"/>
  <c r="P50" i="100"/>
  <c r="L20" i="98"/>
  <c r="N20" i="98" s="1"/>
  <c r="D81" i="98"/>
  <c r="Z20" i="95"/>
  <c r="T75" i="95"/>
  <c r="R77" i="96"/>
  <c r="R76" i="96"/>
  <c r="R72" i="96"/>
  <c r="R61" i="96"/>
  <c r="R60" i="96"/>
  <c r="R53" i="96"/>
  <c r="R52" i="96"/>
  <c r="R79" i="96"/>
  <c r="R78" i="96"/>
  <c r="R67" i="96"/>
  <c r="R66" i="96"/>
  <c r="R62" i="96"/>
  <c r="R55" i="96"/>
  <c r="R54" i="96"/>
  <c r="R73" i="96"/>
  <c r="R45" i="96"/>
  <c r="R81" i="96"/>
  <c r="R80" i="96"/>
  <c r="R69" i="96"/>
  <c r="R68" i="96"/>
  <c r="R57" i="96"/>
  <c r="R56" i="96"/>
  <c r="R63" i="96"/>
  <c r="R82" i="96"/>
  <c r="R74" i="96"/>
  <c r="R70" i="96"/>
  <c r="R58" i="96"/>
  <c r="R47" i="96"/>
  <c r="R46" i="96"/>
  <c r="R75" i="96"/>
  <c r="R71" i="96"/>
  <c r="R59" i="96"/>
  <c r="R88" i="96"/>
  <c r="R51" i="96"/>
  <c r="R50" i="96"/>
  <c r="R65" i="96"/>
  <c r="R43" i="96"/>
  <c r="R30" i="96"/>
  <c r="R26" i="96"/>
  <c r="R17" i="96"/>
  <c r="R36" i="96"/>
  <c r="X12" i="96"/>
  <c r="Z12" i="96" s="1"/>
  <c r="R48" i="96"/>
  <c r="R44" i="96"/>
  <c r="R32" i="96"/>
  <c r="R31" i="96"/>
  <c r="R27" i="96"/>
  <c r="R23" i="96"/>
  <c r="R18" i="96"/>
  <c r="R64" i="96"/>
  <c r="R38" i="96"/>
  <c r="R37" i="96"/>
  <c r="R33" i="96"/>
  <c r="R22" i="96"/>
  <c r="R84" i="96"/>
  <c r="R49" i="96"/>
  <c r="R28" i="96"/>
  <c r="R24" i="96"/>
  <c r="P20" i="96"/>
  <c r="R20" i="96" s="1"/>
  <c r="R42" i="96"/>
  <c r="R41" i="96"/>
  <c r="R29" i="96"/>
  <c r="R25" i="96"/>
  <c r="R35" i="96"/>
  <c r="R16" i="96"/>
  <c r="R39" i="96"/>
  <c r="R40" i="96"/>
  <c r="R34" i="96"/>
  <c r="J20" i="95"/>
  <c r="J20" i="94"/>
  <c r="T78" i="93"/>
  <c r="J20" i="88"/>
  <c r="X21" i="83"/>
  <c r="P29" i="83"/>
  <c r="V70" i="80"/>
  <c r="V36" i="80"/>
  <c r="V32" i="80"/>
  <c r="Z12" i="80"/>
  <c r="V54" i="80"/>
  <c r="V38" i="80"/>
  <c r="V22" i="80"/>
  <c r="V20" i="80"/>
  <c r="V18" i="80"/>
  <c r="V61" i="80"/>
  <c r="V49" i="80"/>
  <c r="V41" i="80"/>
  <c r="V33" i="80"/>
  <c r="T20" i="80"/>
  <c r="V60" i="80"/>
  <c r="V56" i="80"/>
  <c r="V48" i="80"/>
  <c r="V40" i="80"/>
  <c r="V28" i="80"/>
  <c r="V24" i="80"/>
  <c r="V62" i="80"/>
  <c r="V50" i="80"/>
  <c r="V42" i="80"/>
  <c r="V34" i="80"/>
  <c r="V57" i="80"/>
  <c r="V45" i="80"/>
  <c r="V29" i="80"/>
  <c r="V25" i="80"/>
  <c r="V35" i="80"/>
  <c r="V31" i="80"/>
  <c r="V58" i="80"/>
  <c r="V46" i="80"/>
  <c r="V30" i="80"/>
  <c r="V26" i="80"/>
  <c r="V53" i="80"/>
  <c r="V37" i="80"/>
  <c r="V66" i="80"/>
  <c r="V63" i="80"/>
  <c r="V27" i="80"/>
  <c r="V51" i="80"/>
  <c r="V44" i="80"/>
  <c r="V16" i="80"/>
  <c r="V55" i="80"/>
  <c r="V59" i="80"/>
  <c r="V43" i="80"/>
  <c r="V47" i="80"/>
  <c r="V64" i="80"/>
  <c r="V52" i="80"/>
  <c r="V39" i="80"/>
  <c r="V23" i="80"/>
  <c r="V17" i="80"/>
  <c r="Z20" i="84"/>
  <c r="T80" i="84"/>
  <c r="H29" i="83"/>
  <c r="N21" i="83"/>
  <c r="V83" i="77"/>
  <c r="V71" i="77"/>
  <c r="V47" i="77"/>
  <c r="V43" i="77"/>
  <c r="V39" i="77"/>
  <c r="V74" i="77"/>
  <c r="V66" i="77"/>
  <c r="V85" i="77"/>
  <c r="V73" i="77"/>
  <c r="V61" i="77"/>
  <c r="V57" i="77"/>
  <c r="V76" i="77"/>
  <c r="V48" i="77"/>
  <c r="V44" i="77"/>
  <c r="V40" i="77"/>
  <c r="V93" i="77"/>
  <c r="V87" i="77"/>
  <c r="V75" i="77"/>
  <c r="V67" i="77"/>
  <c r="V92" i="77"/>
  <c r="V86" i="77"/>
  <c r="V78" i="77"/>
  <c r="V62" i="77"/>
  <c r="V58" i="77"/>
  <c r="V91" i="77"/>
  <c r="V77" i="77"/>
  <c r="V49" i="77"/>
  <c r="V45" i="77"/>
  <c r="V41" i="77"/>
  <c r="V37" i="77"/>
  <c r="V90" i="77"/>
  <c r="V88" i="77"/>
  <c r="V80" i="77"/>
  <c r="V68" i="77"/>
  <c r="Z12" i="77"/>
  <c r="V97" i="77"/>
  <c r="V79" i="77"/>
  <c r="V63" i="77"/>
  <c r="V59" i="77"/>
  <c r="V55" i="77"/>
  <c r="V82" i="77"/>
  <c r="V70" i="77"/>
  <c r="V54" i="77"/>
  <c r="V50" i="77"/>
  <c r="V46" i="77"/>
  <c r="V42" i="77"/>
  <c r="V38" i="77"/>
  <c r="V81" i="77"/>
  <c r="V69" i="77"/>
  <c r="V65" i="77"/>
  <c r="T52" i="77"/>
  <c r="V52" i="77" s="1"/>
  <c r="V64" i="77"/>
  <c r="V72" i="77"/>
  <c r="V60" i="77"/>
  <c r="V56" i="77"/>
  <c r="V84" i="77"/>
  <c r="D103" i="75"/>
  <c r="L50" i="75"/>
  <c r="X90" i="77"/>
  <c r="Z90" i="77" s="1"/>
  <c r="D95" i="77"/>
  <c r="L52" i="77"/>
  <c r="X28" i="76"/>
  <c r="Z28" i="76" s="1"/>
  <c r="P68" i="76"/>
  <c r="P49" i="60"/>
  <c r="X16" i="60"/>
  <c r="P114" i="71"/>
  <c r="X57" i="71"/>
  <c r="Z57" i="71" s="1"/>
  <c r="Z16" i="68"/>
  <c r="T54" i="68"/>
  <c r="T107" i="69"/>
  <c r="P69" i="59"/>
  <c r="J24" i="45"/>
  <c r="J82" i="33"/>
  <c r="T119" i="27"/>
  <c r="X27" i="21"/>
  <c r="P102" i="21"/>
  <c r="T27" i="112"/>
  <c r="Z18" i="112"/>
  <c r="L18" i="43"/>
  <c r="D27" i="43"/>
  <c r="T27" i="46"/>
  <c r="Z18" i="46"/>
  <c r="H27" i="47"/>
  <c r="N18" i="47"/>
  <c r="H27" i="41"/>
  <c r="N18" i="41"/>
  <c r="T27" i="38"/>
  <c r="Z18" i="38"/>
  <c r="X18" i="38"/>
  <c r="P27" i="38"/>
  <c r="N18" i="32"/>
  <c r="H27" i="32"/>
  <c r="X18" i="25"/>
  <c r="P27" i="25"/>
  <c r="L18" i="25"/>
  <c r="D27" i="25"/>
  <c r="L18" i="20"/>
  <c r="D27" i="20"/>
  <c r="X18" i="10"/>
  <c r="P27" i="10"/>
  <c r="L18" i="11"/>
  <c r="D27" i="11"/>
  <c r="L18" i="10"/>
  <c r="D27" i="10"/>
  <c r="D27" i="8"/>
  <c r="L18" i="8"/>
  <c r="L18" i="5"/>
  <c r="D27" i="5"/>
  <c r="T59" i="101" l="1"/>
  <c r="Z27" i="38"/>
  <c r="T31" i="38"/>
  <c r="P33" i="83"/>
  <c r="X29" i="83"/>
  <c r="Z29" i="83" s="1"/>
  <c r="R29" i="83"/>
  <c r="N27" i="13"/>
  <c r="H31" i="13"/>
  <c r="H58" i="68"/>
  <c r="L54" i="68"/>
  <c r="N54" i="68" s="1"/>
  <c r="X27" i="29"/>
  <c r="P31" i="29"/>
  <c r="T72" i="76"/>
  <c r="V68" i="76"/>
  <c r="T67" i="79"/>
  <c r="V63" i="79"/>
  <c r="H28" i="107"/>
  <c r="N24" i="107"/>
  <c r="L301" i="3"/>
  <c r="D305" i="3"/>
  <c r="F301" i="3"/>
  <c r="Z27" i="5"/>
  <c r="T31" i="5"/>
  <c r="D107" i="69"/>
  <c r="L65" i="69"/>
  <c r="N65" i="69" s="1"/>
  <c r="N75" i="95"/>
  <c r="H79" i="95"/>
  <c r="L75" i="95"/>
  <c r="J75" i="95"/>
  <c r="N27" i="16"/>
  <c r="H31" i="16"/>
  <c r="D99" i="51"/>
  <c r="F95" i="51"/>
  <c r="X27" i="20"/>
  <c r="P31" i="20"/>
  <c r="X27" i="49"/>
  <c r="P31" i="49"/>
  <c r="X20" i="101"/>
  <c r="Z20" i="101" s="1"/>
  <c r="P55" i="61"/>
  <c r="X51" i="61"/>
  <c r="Z51" i="61" s="1"/>
  <c r="T31" i="99"/>
  <c r="Z27" i="99"/>
  <c r="P31" i="22"/>
  <c r="X27" i="22"/>
  <c r="P115" i="27"/>
  <c r="X58" i="27"/>
  <c r="Z58" i="27" s="1"/>
  <c r="N27" i="26"/>
  <c r="H31" i="26"/>
  <c r="L27" i="46"/>
  <c r="D31" i="46"/>
  <c r="L27" i="34"/>
  <c r="D31" i="34"/>
  <c r="P72" i="70"/>
  <c r="X68" i="70"/>
  <c r="R68" i="70"/>
  <c r="X85" i="92"/>
  <c r="Z85" i="92" s="1"/>
  <c r="P89" i="92"/>
  <c r="T111" i="69"/>
  <c r="V107" i="69"/>
  <c r="L27" i="53"/>
  <c r="D31" i="53"/>
  <c r="D72" i="70"/>
  <c r="L68" i="70"/>
  <c r="F68" i="70"/>
  <c r="Z27" i="49"/>
  <c r="T31" i="49"/>
  <c r="L27" i="20"/>
  <c r="D31" i="20"/>
  <c r="T122" i="27"/>
  <c r="V119" i="27"/>
  <c r="T58" i="68"/>
  <c r="D107" i="75"/>
  <c r="F103" i="75"/>
  <c r="L81" i="98"/>
  <c r="D85" i="98"/>
  <c r="F81" i="98"/>
  <c r="T33" i="83"/>
  <c r="V29" i="83"/>
  <c r="X27" i="19"/>
  <c r="P31" i="19"/>
  <c r="T70" i="48"/>
  <c r="V66" i="48"/>
  <c r="X27" i="5"/>
  <c r="P31" i="5"/>
  <c r="L29" i="83"/>
  <c r="N29" i="83" s="1"/>
  <c r="D33" i="83"/>
  <c r="F29" i="83"/>
  <c r="T47" i="100"/>
  <c r="X43" i="100"/>
  <c r="Z43" i="100" s="1"/>
  <c r="P31" i="6"/>
  <c r="P126" i="36"/>
  <c r="R122" i="36"/>
  <c r="D118" i="71"/>
  <c r="L114" i="71"/>
  <c r="N114" i="71" s="1"/>
  <c r="F114" i="71"/>
  <c r="H55" i="103"/>
  <c r="Z27" i="31"/>
  <c r="T31" i="31"/>
  <c r="L52" i="51"/>
  <c r="P74" i="93"/>
  <c r="X19" i="93"/>
  <c r="Z19" i="93" s="1"/>
  <c r="P83" i="108"/>
  <c r="X21" i="108"/>
  <c r="Z21" i="108" s="1"/>
  <c r="Z27" i="4"/>
  <c r="T31" i="4"/>
  <c r="H95" i="45"/>
  <c r="J91" i="45"/>
  <c r="P80" i="73"/>
  <c r="X76" i="73"/>
  <c r="R76" i="73"/>
  <c r="N27" i="29"/>
  <c r="H31" i="29"/>
  <c r="D31" i="47"/>
  <c r="L27" i="47"/>
  <c r="D77" i="81"/>
  <c r="L73" i="81"/>
  <c r="F73" i="81"/>
  <c r="X17" i="110"/>
  <c r="P66" i="110"/>
  <c r="D31" i="37"/>
  <c r="L27" i="37"/>
  <c r="Z17" i="110"/>
  <c r="T66" i="110"/>
  <c r="X27" i="7"/>
  <c r="P31" i="7"/>
  <c r="L27" i="35"/>
  <c r="D31" i="35"/>
  <c r="N27" i="38"/>
  <c r="H31" i="38"/>
  <c r="P96" i="64"/>
  <c r="X92" i="64"/>
  <c r="Z92" i="64" s="1"/>
  <c r="N27" i="10"/>
  <c r="H31" i="10"/>
  <c r="D118" i="24"/>
  <c r="L73" i="24"/>
  <c r="D70" i="48"/>
  <c r="F66" i="48"/>
  <c r="T80" i="73"/>
  <c r="Z76" i="73"/>
  <c r="V76" i="73"/>
  <c r="H31" i="31"/>
  <c r="N27" i="31"/>
  <c r="N27" i="111"/>
  <c r="H31" i="111"/>
  <c r="T118" i="24"/>
  <c r="D72" i="80"/>
  <c r="F68" i="80"/>
  <c r="T31" i="7"/>
  <c r="Z27" i="7"/>
  <c r="P26" i="54"/>
  <c r="X22" i="54"/>
  <c r="L27" i="31"/>
  <c r="D31" i="31"/>
  <c r="D31" i="50"/>
  <c r="L27" i="50"/>
  <c r="H47" i="100"/>
  <c r="T31" i="25"/>
  <c r="Z27" i="25"/>
  <c r="N27" i="43"/>
  <c r="H31" i="43"/>
  <c r="L66" i="57"/>
  <c r="D69" i="57"/>
  <c r="X70" i="89"/>
  <c r="P74" i="89"/>
  <c r="R70" i="89"/>
  <c r="F56" i="105"/>
  <c r="X27" i="43"/>
  <c r="P31" i="43"/>
  <c r="H264" i="12"/>
  <c r="J260" i="12"/>
  <c r="N50" i="75"/>
  <c r="H103" i="75"/>
  <c r="L65" i="94"/>
  <c r="D69" i="94"/>
  <c r="F65" i="94"/>
  <c r="N27" i="37"/>
  <c r="H31" i="37"/>
  <c r="P31" i="11"/>
  <c r="X27" i="11"/>
  <c r="X27" i="10"/>
  <c r="P31" i="10"/>
  <c r="P85" i="74"/>
  <c r="R81" i="74"/>
  <c r="L27" i="111"/>
  <c r="D31" i="111"/>
  <c r="Z27" i="19"/>
  <c r="T31" i="19"/>
  <c r="L27" i="5"/>
  <c r="D31" i="5"/>
  <c r="L27" i="25"/>
  <c r="D31" i="25"/>
  <c r="H33" i="83"/>
  <c r="J29" i="83"/>
  <c r="N90" i="9"/>
  <c r="H94" i="9"/>
  <c r="T31" i="22"/>
  <c r="Z27" i="22"/>
  <c r="H75" i="58"/>
  <c r="X27" i="14"/>
  <c r="P31" i="14"/>
  <c r="D84" i="84"/>
  <c r="L80" i="84"/>
  <c r="F80" i="84"/>
  <c r="N81" i="98"/>
  <c r="H85" i="98"/>
  <c r="J81" i="98"/>
  <c r="L27" i="19"/>
  <c r="D31" i="19"/>
  <c r="L31" i="55"/>
  <c r="N31" i="55" s="1"/>
  <c r="D35" i="55"/>
  <c r="X65" i="94"/>
  <c r="Z65" i="94" s="1"/>
  <c r="P69" i="94"/>
  <c r="R65" i="94"/>
  <c r="H31" i="23"/>
  <c r="N27" i="23"/>
  <c r="P31" i="53"/>
  <c r="X27" i="53"/>
  <c r="X80" i="84"/>
  <c r="P84" i="84"/>
  <c r="R80" i="84"/>
  <c r="D85" i="104"/>
  <c r="L81" i="104"/>
  <c r="F81" i="104"/>
  <c r="D90" i="96"/>
  <c r="L86" i="96"/>
  <c r="N86" i="96" s="1"/>
  <c r="F86" i="96"/>
  <c r="H87" i="106"/>
  <c r="L87" i="106" s="1"/>
  <c r="N83" i="106"/>
  <c r="J83" i="106"/>
  <c r="P94" i="9"/>
  <c r="X90" i="9"/>
  <c r="H69" i="59"/>
  <c r="H66" i="110"/>
  <c r="L17" i="110"/>
  <c r="N17" i="110" s="1"/>
  <c r="N27" i="46"/>
  <c r="H31" i="46"/>
  <c r="Z22" i="104"/>
  <c r="T81" i="104"/>
  <c r="X27" i="50"/>
  <c r="P31" i="50"/>
  <c r="P80" i="81"/>
  <c r="R77" i="81"/>
  <c r="T280" i="18"/>
  <c r="V276" i="18"/>
  <c r="Z70" i="89"/>
  <c r="T74" i="89"/>
  <c r="V70" i="89"/>
  <c r="X27" i="44"/>
  <c r="P31" i="44"/>
  <c r="H95" i="51"/>
  <c r="L95" i="51" s="1"/>
  <c r="N52" i="51"/>
  <c r="H31" i="47"/>
  <c r="N27" i="47"/>
  <c r="X114" i="71"/>
  <c r="P118" i="71"/>
  <c r="R114" i="71"/>
  <c r="Z80" i="84"/>
  <c r="T84" i="84"/>
  <c r="V80" i="84"/>
  <c r="T31" i="29"/>
  <c r="Z27" i="29"/>
  <c r="H85" i="74"/>
  <c r="J81" i="74"/>
  <c r="T69" i="94"/>
  <c r="V65" i="94"/>
  <c r="L71" i="56"/>
  <c r="N71" i="56" s="1"/>
  <c r="D75" i="56"/>
  <c r="H68" i="76"/>
  <c r="T31" i="40"/>
  <c r="Z27" i="40"/>
  <c r="H63" i="79"/>
  <c r="H74" i="93"/>
  <c r="N19" i="93"/>
  <c r="N59" i="101"/>
  <c r="H63" i="101"/>
  <c r="D31" i="29"/>
  <c r="L27" i="29"/>
  <c r="D280" i="18"/>
  <c r="F276" i="18"/>
  <c r="P75" i="56"/>
  <c r="X71" i="56"/>
  <c r="Z27" i="34"/>
  <c r="T31" i="34"/>
  <c r="H31" i="6"/>
  <c r="N26" i="6"/>
  <c r="L27" i="22"/>
  <c r="D31" i="22"/>
  <c r="Z22" i="6"/>
  <c r="T26" i="6"/>
  <c r="X26" i="6" s="1"/>
  <c r="H78" i="56"/>
  <c r="H111" i="69"/>
  <c r="J107" i="69"/>
  <c r="L25" i="79"/>
  <c r="N25" i="79" s="1"/>
  <c r="D63" i="79"/>
  <c r="H31" i="99"/>
  <c r="N27" i="99"/>
  <c r="H305" i="3"/>
  <c r="N301" i="3"/>
  <c r="J301" i="3"/>
  <c r="H66" i="48"/>
  <c r="N17" i="48"/>
  <c r="T75" i="56"/>
  <c r="Z71" i="56"/>
  <c r="L81" i="74"/>
  <c r="N81" i="74" s="1"/>
  <c r="D85" i="74"/>
  <c r="F81" i="74"/>
  <c r="Z27" i="28"/>
  <c r="T31" i="28"/>
  <c r="H31" i="44"/>
  <c r="N27" i="44"/>
  <c r="H38" i="55"/>
  <c r="P58" i="68"/>
  <c r="X54" i="68"/>
  <c r="Z54" i="68" s="1"/>
  <c r="D89" i="92"/>
  <c r="L85" i="92"/>
  <c r="D73" i="110"/>
  <c r="F70" i="110"/>
  <c r="H31" i="50"/>
  <c r="N27" i="50"/>
  <c r="H90" i="96"/>
  <c r="J86" i="96"/>
  <c r="V20" i="101"/>
  <c r="L53" i="60"/>
  <c r="D56" i="60"/>
  <c r="T99" i="64"/>
  <c r="N27" i="25"/>
  <c r="H31" i="25"/>
  <c r="N27" i="40"/>
  <c r="H31" i="40"/>
  <c r="H31" i="41"/>
  <c r="N27" i="41"/>
  <c r="T26" i="54"/>
  <c r="Z22" i="54"/>
  <c r="T87" i="106"/>
  <c r="V83" i="106"/>
  <c r="X27" i="25"/>
  <c r="P31" i="25"/>
  <c r="T81" i="93"/>
  <c r="V78" i="93"/>
  <c r="H83" i="102"/>
  <c r="J79" i="102"/>
  <c r="L27" i="41"/>
  <c r="D31" i="41"/>
  <c r="N49" i="60"/>
  <c r="H53" i="60"/>
  <c r="T31" i="8"/>
  <c r="Z27" i="8"/>
  <c r="T31" i="16"/>
  <c r="Z27" i="16"/>
  <c r="Z27" i="44"/>
  <c r="T31" i="44"/>
  <c r="H93" i="33"/>
  <c r="J89" i="33"/>
  <c r="L27" i="44"/>
  <c r="D31" i="44"/>
  <c r="D32" i="86"/>
  <c r="F28" i="86"/>
  <c r="X27" i="47"/>
  <c r="P31" i="47"/>
  <c r="D254" i="15"/>
  <c r="F250" i="15"/>
  <c r="T93" i="33"/>
  <c r="V89" i="33"/>
  <c r="D87" i="108"/>
  <c r="L83" i="108"/>
  <c r="F83" i="108"/>
  <c r="X27" i="35"/>
  <c r="P31" i="35"/>
  <c r="L71" i="58"/>
  <c r="N71" i="58" s="1"/>
  <c r="D75" i="58"/>
  <c r="T82" i="88"/>
  <c r="X82" i="88" s="1"/>
  <c r="Z20" i="88"/>
  <c r="T39" i="109"/>
  <c r="Z35" i="109"/>
  <c r="N27" i="8"/>
  <c r="H31" i="8"/>
  <c r="N27" i="11"/>
  <c r="H31" i="11"/>
  <c r="Z27" i="35"/>
  <c r="T31" i="35"/>
  <c r="F82" i="95"/>
  <c r="N83" i="108"/>
  <c r="H87" i="108"/>
  <c r="J83" i="108"/>
  <c r="D31" i="32"/>
  <c r="L27" i="32"/>
  <c r="Z27" i="53"/>
  <c r="T31" i="53"/>
  <c r="X27" i="46"/>
  <c r="P31" i="46"/>
  <c r="N24" i="73"/>
  <c r="H76" i="73"/>
  <c r="L27" i="99"/>
  <c r="H31" i="35"/>
  <c r="N27" i="35"/>
  <c r="H31" i="53"/>
  <c r="N27" i="53"/>
  <c r="L27" i="14"/>
  <c r="D31" i="14"/>
  <c r="Z27" i="47"/>
  <c r="T31" i="47"/>
  <c r="H28" i="86"/>
  <c r="N18" i="86"/>
  <c r="T83" i="102"/>
  <c r="V79" i="102"/>
  <c r="T31" i="10"/>
  <c r="Z27" i="10"/>
  <c r="X27" i="31"/>
  <c r="P31" i="31"/>
  <c r="P49" i="105"/>
  <c r="X21" i="105"/>
  <c r="Z21" i="105" s="1"/>
  <c r="D116" i="42"/>
  <c r="L28" i="42"/>
  <c r="N28" i="42" s="1"/>
  <c r="P63" i="101"/>
  <c r="X59" i="101"/>
  <c r="R59" i="101"/>
  <c r="Z68" i="70"/>
  <c r="T72" i="70"/>
  <c r="V68" i="70"/>
  <c r="D31" i="8"/>
  <c r="L27" i="8"/>
  <c r="Z27" i="46"/>
  <c r="T31" i="46"/>
  <c r="P53" i="60"/>
  <c r="X49" i="60"/>
  <c r="T122" i="36"/>
  <c r="X122" i="36" s="1"/>
  <c r="Z30" i="36"/>
  <c r="P95" i="45"/>
  <c r="R91" i="45"/>
  <c r="H89" i="92"/>
  <c r="N85" i="92"/>
  <c r="L27" i="7"/>
  <c r="D31" i="7"/>
  <c r="T305" i="3"/>
  <c r="Z301" i="3"/>
  <c r="V301" i="3"/>
  <c r="D122" i="36"/>
  <c r="L30" i="36"/>
  <c r="N30" i="36" s="1"/>
  <c r="D47" i="100"/>
  <c r="L43" i="100"/>
  <c r="N43" i="100" s="1"/>
  <c r="D90" i="106"/>
  <c r="F87" i="106"/>
  <c r="N27" i="17"/>
  <c r="H31" i="17"/>
  <c r="J25" i="79"/>
  <c r="L154" i="15"/>
  <c r="D145" i="30"/>
  <c r="L141" i="30"/>
  <c r="F141" i="30"/>
  <c r="N27" i="19"/>
  <c r="H31" i="19"/>
  <c r="X31" i="55"/>
  <c r="P35" i="55"/>
  <c r="D68" i="76"/>
  <c r="L28" i="76"/>
  <c r="N28" i="76" s="1"/>
  <c r="P32" i="86"/>
  <c r="X28" i="86"/>
  <c r="Z28" i="86" s="1"/>
  <c r="R28" i="86"/>
  <c r="P79" i="95"/>
  <c r="X75" i="95"/>
  <c r="R75" i="95"/>
  <c r="L27" i="23"/>
  <c r="D31" i="23"/>
  <c r="P88" i="98"/>
  <c r="R85" i="98"/>
  <c r="P31" i="16"/>
  <c r="X27" i="16"/>
  <c r="H66" i="57"/>
  <c r="N62" i="57"/>
  <c r="Z27" i="13"/>
  <c r="T31" i="13"/>
  <c r="D106" i="21"/>
  <c r="L102" i="21"/>
  <c r="N102" i="21" s="1"/>
  <c r="F102" i="21"/>
  <c r="L31" i="99"/>
  <c r="D34" i="99"/>
  <c r="H116" i="42"/>
  <c r="T53" i="105"/>
  <c r="V49" i="105"/>
  <c r="L27" i="16"/>
  <c r="D31" i="16"/>
  <c r="H276" i="18"/>
  <c r="N178" i="18"/>
  <c r="T91" i="45"/>
  <c r="Z24" i="45"/>
  <c r="H96" i="64"/>
  <c r="D31" i="112"/>
  <c r="L27" i="112"/>
  <c r="Z20" i="98"/>
  <c r="T81" i="98"/>
  <c r="X20" i="98"/>
  <c r="H128" i="39"/>
  <c r="L27" i="43"/>
  <c r="D31" i="43"/>
  <c r="X68" i="76"/>
  <c r="Z68" i="76" s="1"/>
  <c r="P72" i="76"/>
  <c r="R68" i="76"/>
  <c r="T95" i="77"/>
  <c r="Z52" i="77"/>
  <c r="H85" i="104"/>
  <c r="N81" i="104"/>
  <c r="J81" i="104"/>
  <c r="T31" i="17"/>
  <c r="Z27" i="17"/>
  <c r="T116" i="42"/>
  <c r="P75" i="58"/>
  <c r="X71" i="58"/>
  <c r="Z71" i="58" s="1"/>
  <c r="P31" i="23"/>
  <c r="X27" i="23"/>
  <c r="Z67" i="30"/>
  <c r="T141" i="30"/>
  <c r="H115" i="27"/>
  <c r="N58" i="27"/>
  <c r="N65" i="94"/>
  <c r="H69" i="94"/>
  <c r="J65" i="94"/>
  <c r="H31" i="4"/>
  <c r="N27" i="4"/>
  <c r="X27" i="111"/>
  <c r="P31" i="111"/>
  <c r="T58" i="61"/>
  <c r="H77" i="81"/>
  <c r="N73" i="81"/>
  <c r="J73" i="81"/>
  <c r="P31" i="26"/>
  <c r="X27" i="26"/>
  <c r="P305" i="3"/>
  <c r="X301" i="3"/>
  <c r="R301" i="3"/>
  <c r="D78" i="93"/>
  <c r="L74" i="93"/>
  <c r="F74" i="93"/>
  <c r="P42" i="109"/>
  <c r="X39" i="109"/>
  <c r="Z27" i="14"/>
  <c r="T31" i="14"/>
  <c r="D26" i="6"/>
  <c r="L22" i="6"/>
  <c r="Z62" i="59"/>
  <c r="T66" i="59"/>
  <c r="X62" i="59"/>
  <c r="F25" i="79"/>
  <c r="T32" i="86"/>
  <c r="V28" i="86"/>
  <c r="N27" i="34"/>
  <c r="H31" i="34"/>
  <c r="X27" i="34"/>
  <c r="P31" i="34"/>
  <c r="R58" i="27"/>
  <c r="D115" i="27"/>
  <c r="L58" i="27"/>
  <c r="T128" i="39"/>
  <c r="L59" i="101"/>
  <c r="D63" i="101"/>
  <c r="X27" i="52"/>
  <c r="P31" i="52"/>
  <c r="X141" i="30"/>
  <c r="P145" i="30"/>
  <c r="R141" i="30"/>
  <c r="L51" i="61"/>
  <c r="D55" i="61"/>
  <c r="J50" i="75"/>
  <c r="J24" i="73"/>
  <c r="H39" i="109"/>
  <c r="N27" i="7"/>
  <c r="H31" i="7"/>
  <c r="L27" i="38"/>
  <c r="D31" i="38"/>
  <c r="H31" i="112"/>
  <c r="N27" i="112"/>
  <c r="P95" i="77"/>
  <c r="X52" i="77"/>
  <c r="L115" i="85"/>
  <c r="D119" i="85"/>
  <c r="F115" i="85"/>
  <c r="P115" i="85"/>
  <c r="X53" i="85"/>
  <c r="L82" i="88"/>
  <c r="N82" i="88" s="1"/>
  <c r="D86" i="88"/>
  <c r="F82" i="88"/>
  <c r="N27" i="52"/>
  <c r="H31" i="52"/>
  <c r="T28" i="107"/>
  <c r="Z20" i="81"/>
  <c r="T73" i="81"/>
  <c r="X20" i="81"/>
  <c r="X116" i="42"/>
  <c r="P120" i="42"/>
  <c r="R116" i="42"/>
  <c r="T107" i="75"/>
  <c r="V103" i="75"/>
  <c r="X27" i="113"/>
  <c r="P31" i="113"/>
  <c r="P276" i="18"/>
  <c r="X178" i="18"/>
  <c r="Z178" i="18" s="1"/>
  <c r="N27" i="32"/>
  <c r="H31" i="32"/>
  <c r="T68" i="80"/>
  <c r="X20" i="96"/>
  <c r="Z20" i="96" s="1"/>
  <c r="P86" i="96"/>
  <c r="H31" i="49"/>
  <c r="N27" i="49"/>
  <c r="X154" i="15"/>
  <c r="Z154" i="15" s="1"/>
  <c r="P250" i="15"/>
  <c r="P95" i="51"/>
  <c r="X52" i="51"/>
  <c r="Z52" i="51" s="1"/>
  <c r="T99" i="51"/>
  <c r="V95" i="51"/>
  <c r="T118" i="71"/>
  <c r="Z114" i="71"/>
  <c r="V114" i="71"/>
  <c r="H145" i="30"/>
  <c r="N141" i="30"/>
  <c r="J141" i="30"/>
  <c r="V20" i="81"/>
  <c r="Z48" i="103"/>
  <c r="T52" i="103"/>
  <c r="P83" i="106"/>
  <c r="X21" i="106"/>
  <c r="Z21" i="106" s="1"/>
  <c r="P28" i="107"/>
  <c r="X24" i="107"/>
  <c r="Z24" i="107" s="1"/>
  <c r="D31" i="52"/>
  <c r="L27" i="52"/>
  <c r="H118" i="24"/>
  <c r="N73" i="24"/>
  <c r="J19" i="93"/>
  <c r="L22" i="54"/>
  <c r="D26" i="54"/>
  <c r="F65" i="69"/>
  <c r="D80" i="73"/>
  <c r="L76" i="73"/>
  <c r="F76" i="73"/>
  <c r="N27" i="14"/>
  <c r="H31" i="14"/>
  <c r="X27" i="41"/>
  <c r="P31" i="41"/>
  <c r="P66" i="57"/>
  <c r="X62" i="57"/>
  <c r="L19" i="93"/>
  <c r="T83" i="108"/>
  <c r="L27" i="13"/>
  <c r="D31" i="13"/>
  <c r="D128" i="39"/>
  <c r="L35" i="39"/>
  <c r="N35" i="39" s="1"/>
  <c r="T53" i="60"/>
  <c r="Z49" i="60"/>
  <c r="T90" i="96"/>
  <c r="V86" i="96"/>
  <c r="D39" i="109"/>
  <c r="L35" i="109"/>
  <c r="N35" i="109" s="1"/>
  <c r="Z27" i="50"/>
  <c r="T31" i="50"/>
  <c r="X63" i="79"/>
  <c r="Z63" i="79" s="1"/>
  <c r="P67" i="79"/>
  <c r="R63" i="79"/>
  <c r="H31" i="20"/>
  <c r="N27" i="20"/>
  <c r="X67" i="30"/>
  <c r="L92" i="64"/>
  <c r="N92" i="64" s="1"/>
  <c r="D96" i="64"/>
  <c r="H70" i="89"/>
  <c r="L20" i="89"/>
  <c r="N20" i="89" s="1"/>
  <c r="Z27" i="32"/>
  <c r="T31" i="32"/>
  <c r="D31" i="40"/>
  <c r="L27" i="40"/>
  <c r="Z31" i="55"/>
  <c r="T35" i="55"/>
  <c r="X20" i="88"/>
  <c r="P31" i="17"/>
  <c r="X27" i="17"/>
  <c r="T260" i="12"/>
  <c r="Z160" i="12"/>
  <c r="P89" i="33"/>
  <c r="X37" i="33"/>
  <c r="Z37" i="33" s="1"/>
  <c r="P106" i="21"/>
  <c r="R102" i="21"/>
  <c r="T79" i="95"/>
  <c r="Z75" i="95"/>
  <c r="V75" i="95"/>
  <c r="D97" i="9"/>
  <c r="D31" i="4"/>
  <c r="L27" i="4"/>
  <c r="T31" i="41"/>
  <c r="Z27" i="41"/>
  <c r="Z27" i="23"/>
  <c r="T31" i="23"/>
  <c r="L27" i="10"/>
  <c r="D31" i="10"/>
  <c r="L27" i="11"/>
  <c r="D31" i="11"/>
  <c r="X27" i="38"/>
  <c r="P31" i="38"/>
  <c r="H119" i="85"/>
  <c r="N115" i="85"/>
  <c r="J115" i="85"/>
  <c r="P34" i="99"/>
  <c r="X31" i="99"/>
  <c r="X27" i="8"/>
  <c r="P31" i="8"/>
  <c r="H31" i="22"/>
  <c r="N27" i="22"/>
  <c r="N154" i="15"/>
  <c r="H250" i="15"/>
  <c r="D28" i="107"/>
  <c r="L24" i="107"/>
  <c r="D31" i="113"/>
  <c r="L27" i="113"/>
  <c r="V67" i="30"/>
  <c r="X27" i="4"/>
  <c r="P31" i="4"/>
  <c r="X73" i="24"/>
  <c r="Z73" i="24" s="1"/>
  <c r="P118" i="24"/>
  <c r="H126" i="36"/>
  <c r="J122" i="36"/>
  <c r="X27" i="13"/>
  <c r="P31" i="13"/>
  <c r="N27" i="28"/>
  <c r="H31" i="28"/>
  <c r="L27" i="49"/>
  <c r="D31" i="49"/>
  <c r="T94" i="9"/>
  <c r="Z90" i="9"/>
  <c r="P68" i="80"/>
  <c r="X20" i="80"/>
  <c r="Z20" i="80" s="1"/>
  <c r="H86" i="88"/>
  <c r="J82" i="88"/>
  <c r="H53" i="105"/>
  <c r="J49" i="105"/>
  <c r="L49" i="105"/>
  <c r="N49" i="105" s="1"/>
  <c r="N27" i="5"/>
  <c r="H31" i="5"/>
  <c r="Z27" i="37"/>
  <c r="T31" i="37"/>
  <c r="F35" i="39"/>
  <c r="X48" i="103"/>
  <c r="Z27" i="20"/>
  <c r="T31" i="20"/>
  <c r="X27" i="37"/>
  <c r="P31" i="37"/>
  <c r="X66" i="48"/>
  <c r="Z66" i="48" s="1"/>
  <c r="P70" i="48"/>
  <c r="R66" i="48"/>
  <c r="L27" i="17"/>
  <c r="D31" i="17"/>
  <c r="Z62" i="57"/>
  <c r="T66" i="57"/>
  <c r="Z51" i="74"/>
  <c r="T81" i="74"/>
  <c r="D52" i="103"/>
  <c r="L48" i="103"/>
  <c r="N48" i="103" s="1"/>
  <c r="X27" i="112"/>
  <c r="P31" i="112"/>
  <c r="Z27" i="111"/>
  <c r="T31" i="111"/>
  <c r="H72" i="70"/>
  <c r="N68" i="70"/>
  <c r="J68" i="70"/>
  <c r="Z53" i="85"/>
  <c r="T115" i="85"/>
  <c r="P86" i="88"/>
  <c r="R82" i="88"/>
  <c r="P264" i="12"/>
  <c r="X260" i="12"/>
  <c r="R260" i="12"/>
  <c r="L24" i="45"/>
  <c r="N24" i="45" s="1"/>
  <c r="D91" i="45"/>
  <c r="H84" i="84"/>
  <c r="N80" i="84"/>
  <c r="J80" i="84"/>
  <c r="P86" i="102"/>
  <c r="X83" i="102"/>
  <c r="R83" i="102"/>
  <c r="H26" i="54"/>
  <c r="N22" i="54"/>
  <c r="P85" i="104"/>
  <c r="R81" i="104"/>
  <c r="Z27" i="113"/>
  <c r="T31" i="113"/>
  <c r="Z27" i="112"/>
  <c r="T31" i="112"/>
  <c r="D99" i="77"/>
  <c r="L95" i="77"/>
  <c r="N95" i="77" s="1"/>
  <c r="F95" i="77"/>
  <c r="T31" i="11"/>
  <c r="Z27" i="11"/>
  <c r="T31" i="52"/>
  <c r="Z27" i="52"/>
  <c r="H106" i="21"/>
  <c r="J102" i="21"/>
  <c r="L79" i="102"/>
  <c r="N79" i="102" s="1"/>
  <c r="D83" i="102"/>
  <c r="F79" i="102"/>
  <c r="V28" i="42"/>
  <c r="P103" i="75"/>
  <c r="X50" i="75"/>
  <c r="Z50" i="75" s="1"/>
  <c r="T31" i="26"/>
  <c r="Z27" i="26"/>
  <c r="J58" i="27"/>
  <c r="H99" i="77"/>
  <c r="J95" i="77"/>
  <c r="N27" i="113"/>
  <c r="H31" i="113"/>
  <c r="X28" i="42"/>
  <c r="Z28" i="42" s="1"/>
  <c r="P31" i="40"/>
  <c r="X27" i="40"/>
  <c r="Z27" i="21"/>
  <c r="T102" i="21"/>
  <c r="X102" i="21" s="1"/>
  <c r="P128" i="39"/>
  <c r="X35" i="39"/>
  <c r="Z35" i="39" s="1"/>
  <c r="F28" i="42"/>
  <c r="H55" i="61"/>
  <c r="N51" i="61"/>
  <c r="P55" i="103"/>
  <c r="X52" i="103"/>
  <c r="L27" i="28"/>
  <c r="D31" i="28"/>
  <c r="H118" i="71"/>
  <c r="J114" i="71"/>
  <c r="Z27" i="43"/>
  <c r="T31" i="43"/>
  <c r="D264" i="12"/>
  <c r="L260" i="12"/>
  <c r="N260" i="12" s="1"/>
  <c r="F260" i="12"/>
  <c r="P111" i="69"/>
  <c r="X107" i="69"/>
  <c r="Z107" i="69" s="1"/>
  <c r="R107" i="69"/>
  <c r="D77" i="89"/>
  <c r="F74" i="89"/>
  <c r="L27" i="26"/>
  <c r="D31" i="26"/>
  <c r="D93" i="33"/>
  <c r="L89" i="33"/>
  <c r="N89" i="33" s="1"/>
  <c r="F89" i="33"/>
  <c r="X27" i="32"/>
  <c r="P31" i="32"/>
  <c r="D66" i="59"/>
  <c r="L62" i="59"/>
  <c r="N62" i="59" s="1"/>
  <c r="H68" i="80"/>
  <c r="N20" i="80"/>
  <c r="R53" i="85"/>
  <c r="V22" i="104"/>
  <c r="X27" i="28"/>
  <c r="P31" i="28"/>
  <c r="T254" i="15"/>
  <c r="V250" i="15"/>
  <c r="V24" i="45"/>
  <c r="X79" i="102"/>
  <c r="Z79" i="102" s="1"/>
  <c r="L264" i="12" l="1"/>
  <c r="N264" i="12" s="1"/>
  <c r="D267" i="12"/>
  <c r="F264" i="12"/>
  <c r="Z81" i="104"/>
  <c r="T85" i="104"/>
  <c r="V81" i="104"/>
  <c r="X31" i="52"/>
  <c r="P36" i="52"/>
  <c r="P36" i="16"/>
  <c r="X31" i="16"/>
  <c r="Z31" i="49"/>
  <c r="T36" i="49"/>
  <c r="Z36" i="49" s="1"/>
  <c r="T36" i="11"/>
  <c r="Z36" i="11" s="1"/>
  <c r="Z31" i="11"/>
  <c r="X81" i="104"/>
  <c r="Z31" i="111"/>
  <c r="T36" i="111"/>
  <c r="Z36" i="111" s="1"/>
  <c r="H89" i="88"/>
  <c r="J86" i="88"/>
  <c r="H254" i="15"/>
  <c r="L254" i="15" s="1"/>
  <c r="J250" i="15"/>
  <c r="X31" i="38"/>
  <c r="P36" i="38"/>
  <c r="Z31" i="32"/>
  <c r="T36" i="32"/>
  <c r="Z36" i="32" s="1"/>
  <c r="T121" i="71"/>
  <c r="V118" i="71"/>
  <c r="T72" i="80"/>
  <c r="V68" i="80"/>
  <c r="T110" i="75"/>
  <c r="V107" i="75"/>
  <c r="H36" i="112"/>
  <c r="N36" i="112" s="1"/>
  <c r="N31" i="112"/>
  <c r="P148" i="30"/>
  <c r="R145" i="30"/>
  <c r="T36" i="14"/>
  <c r="Z36" i="14" s="1"/>
  <c r="Z31" i="14"/>
  <c r="H99" i="64"/>
  <c r="X79" i="95"/>
  <c r="P82" i="95"/>
  <c r="R79" i="95"/>
  <c r="D148" i="30"/>
  <c r="L145" i="30"/>
  <c r="F145" i="30"/>
  <c r="P66" i="101"/>
  <c r="R63" i="101"/>
  <c r="H36" i="35"/>
  <c r="N36" i="35" s="1"/>
  <c r="N31" i="35"/>
  <c r="Z39" i="109"/>
  <c r="T42" i="109"/>
  <c r="X42" i="109" s="1"/>
  <c r="L31" i="41"/>
  <c r="D36" i="41"/>
  <c r="T90" i="106"/>
  <c r="V87" i="106"/>
  <c r="H36" i="50"/>
  <c r="N36" i="50" s="1"/>
  <c r="N31" i="50"/>
  <c r="Z31" i="28"/>
  <c r="T36" i="28"/>
  <c r="Z36" i="28" s="1"/>
  <c r="H66" i="101"/>
  <c r="L75" i="56"/>
  <c r="N75" i="56" s="1"/>
  <c r="D78" i="56"/>
  <c r="L78" i="56" s="1"/>
  <c r="H88" i="98"/>
  <c r="J85" i="98"/>
  <c r="L31" i="5"/>
  <c r="D36" i="5"/>
  <c r="H107" i="75"/>
  <c r="J103" i="75"/>
  <c r="L118" i="24"/>
  <c r="D122" i="24"/>
  <c r="F118" i="24"/>
  <c r="Z31" i="4"/>
  <c r="T36" i="4"/>
  <c r="Z36" i="4" s="1"/>
  <c r="T36" i="83"/>
  <c r="Z33" i="83"/>
  <c r="V33" i="83"/>
  <c r="L31" i="20"/>
  <c r="D36" i="20"/>
  <c r="X89" i="92"/>
  <c r="Z89" i="92" s="1"/>
  <c r="P92" i="92"/>
  <c r="X92" i="92" s="1"/>
  <c r="Z92" i="92" s="1"/>
  <c r="X31" i="49"/>
  <c r="P36" i="49"/>
  <c r="L86" i="88"/>
  <c r="N86" i="88" s="1"/>
  <c r="D89" i="88"/>
  <c r="F86" i="88"/>
  <c r="N31" i="7"/>
  <c r="H36" i="7"/>
  <c r="N36" i="7" s="1"/>
  <c r="P35" i="86"/>
  <c r="X32" i="86"/>
  <c r="Z32" i="86" s="1"/>
  <c r="R32" i="86"/>
  <c r="N31" i="17"/>
  <c r="H36" i="17"/>
  <c r="N36" i="17" s="1"/>
  <c r="L31" i="7"/>
  <c r="D36" i="7"/>
  <c r="T36" i="46"/>
  <c r="Z36" i="46" s="1"/>
  <c r="Z31" i="46"/>
  <c r="Z31" i="35"/>
  <c r="T36" i="35"/>
  <c r="Z36" i="35" s="1"/>
  <c r="D78" i="58"/>
  <c r="L75" i="58"/>
  <c r="L250" i="15"/>
  <c r="N250" i="15" s="1"/>
  <c r="L85" i="74"/>
  <c r="D88" i="74"/>
  <c r="F85" i="74"/>
  <c r="Z31" i="34"/>
  <c r="T36" i="34"/>
  <c r="Z36" i="34" s="1"/>
  <c r="H78" i="93"/>
  <c r="N74" i="93"/>
  <c r="J74" i="93"/>
  <c r="H36" i="46"/>
  <c r="N36" i="46" s="1"/>
  <c r="N31" i="46"/>
  <c r="H36" i="23"/>
  <c r="N36" i="23" s="1"/>
  <c r="N31" i="23"/>
  <c r="H267" i="12"/>
  <c r="J264" i="12"/>
  <c r="X26" i="54"/>
  <c r="P31" i="54"/>
  <c r="X31" i="54" s="1"/>
  <c r="X66" i="110"/>
  <c r="P70" i="110"/>
  <c r="R66" i="110"/>
  <c r="P87" i="108"/>
  <c r="X83" i="108"/>
  <c r="R83" i="108"/>
  <c r="D121" i="71"/>
  <c r="L118" i="71"/>
  <c r="F118" i="71"/>
  <c r="X31" i="5"/>
  <c r="P36" i="5"/>
  <c r="Z31" i="5"/>
  <c r="T36" i="5"/>
  <c r="Z36" i="5" s="1"/>
  <c r="P36" i="83"/>
  <c r="X33" i="83"/>
  <c r="R33" i="83"/>
  <c r="H129" i="36"/>
  <c r="J126" i="36"/>
  <c r="X28" i="107"/>
  <c r="P31" i="107"/>
  <c r="H32" i="86"/>
  <c r="J28" i="86"/>
  <c r="H34" i="99"/>
  <c r="N34" i="99" s="1"/>
  <c r="N31" i="99"/>
  <c r="L93" i="33"/>
  <c r="D96" i="33"/>
  <c r="F93" i="33"/>
  <c r="X31" i="112"/>
  <c r="P36" i="112"/>
  <c r="X89" i="33"/>
  <c r="Z89" i="33" s="1"/>
  <c r="P93" i="33"/>
  <c r="R89" i="33"/>
  <c r="P123" i="42"/>
  <c r="R120" i="42"/>
  <c r="Z31" i="47"/>
  <c r="T36" i="47"/>
  <c r="Z36" i="47" s="1"/>
  <c r="T31" i="54"/>
  <c r="Z26" i="54"/>
  <c r="H97" i="9"/>
  <c r="H58" i="61"/>
  <c r="D86" i="102"/>
  <c r="L83" i="102"/>
  <c r="N83" i="102" s="1"/>
  <c r="F83" i="102"/>
  <c r="X31" i="37"/>
  <c r="P36" i="37"/>
  <c r="H36" i="5"/>
  <c r="N36" i="5" s="1"/>
  <c r="N31" i="5"/>
  <c r="T97" i="9"/>
  <c r="X31" i="8"/>
  <c r="P36" i="8"/>
  <c r="L31" i="10"/>
  <c r="D36" i="10"/>
  <c r="Z260" i="12"/>
  <c r="T264" i="12"/>
  <c r="V260" i="12"/>
  <c r="H74" i="89"/>
  <c r="N70" i="89"/>
  <c r="L70" i="89"/>
  <c r="J70" i="89"/>
  <c r="D42" i="109"/>
  <c r="L39" i="109"/>
  <c r="Z52" i="103"/>
  <c r="T55" i="103"/>
  <c r="H36" i="32"/>
  <c r="N36" i="32" s="1"/>
  <c r="N31" i="32"/>
  <c r="L63" i="101"/>
  <c r="N63" i="101" s="1"/>
  <c r="D66" i="101"/>
  <c r="H280" i="18"/>
  <c r="J276" i="18"/>
  <c r="L106" i="21"/>
  <c r="D109" i="21"/>
  <c r="F106" i="21"/>
  <c r="R88" i="98"/>
  <c r="X49" i="105"/>
  <c r="Z49" i="105" s="1"/>
  <c r="P53" i="105"/>
  <c r="R49" i="105"/>
  <c r="L31" i="14"/>
  <c r="D36" i="14"/>
  <c r="X31" i="46"/>
  <c r="P36" i="46"/>
  <c r="P36" i="47"/>
  <c r="X31" i="47"/>
  <c r="H86" i="102"/>
  <c r="J83" i="102"/>
  <c r="H36" i="41"/>
  <c r="N36" i="41" s="1"/>
  <c r="N31" i="41"/>
  <c r="T72" i="94"/>
  <c r="V69" i="94"/>
  <c r="T283" i="18"/>
  <c r="V280" i="18"/>
  <c r="L84" i="84"/>
  <c r="D87" i="84"/>
  <c r="F84" i="84"/>
  <c r="L31" i="111"/>
  <c r="D36" i="111"/>
  <c r="H36" i="31"/>
  <c r="N36" i="31" s="1"/>
  <c r="N31" i="31"/>
  <c r="P99" i="64"/>
  <c r="X99" i="64" s="1"/>
  <c r="Z99" i="64" s="1"/>
  <c r="X96" i="64"/>
  <c r="Z96" i="64" s="1"/>
  <c r="P75" i="70"/>
  <c r="X72" i="70"/>
  <c r="R72" i="70"/>
  <c r="P36" i="22"/>
  <c r="X31" i="22"/>
  <c r="X31" i="29"/>
  <c r="P36" i="29"/>
  <c r="Z31" i="38"/>
  <c r="T36" i="38"/>
  <c r="Z36" i="38" s="1"/>
  <c r="N31" i="34"/>
  <c r="H36" i="34"/>
  <c r="N36" i="34" s="1"/>
  <c r="L33" i="83"/>
  <c r="D36" i="83"/>
  <c r="F33" i="83"/>
  <c r="L31" i="11"/>
  <c r="D36" i="11"/>
  <c r="T95" i="45"/>
  <c r="V91" i="45"/>
  <c r="D111" i="69"/>
  <c r="L107" i="69"/>
  <c r="N107" i="69" s="1"/>
  <c r="F107" i="69"/>
  <c r="X31" i="4"/>
  <c r="P36" i="4"/>
  <c r="L26" i="54"/>
  <c r="D31" i="54"/>
  <c r="L31" i="54" s="1"/>
  <c r="X95" i="51"/>
  <c r="Z95" i="51" s="1"/>
  <c r="P99" i="51"/>
  <c r="R95" i="51"/>
  <c r="T77" i="81"/>
  <c r="V73" i="81"/>
  <c r="X73" i="81"/>
  <c r="Z73" i="81" s="1"/>
  <c r="X115" i="85"/>
  <c r="P119" i="85"/>
  <c r="R115" i="85"/>
  <c r="N39" i="109"/>
  <c r="H42" i="109"/>
  <c r="T35" i="86"/>
  <c r="V32" i="86"/>
  <c r="X31" i="111"/>
  <c r="P36" i="111"/>
  <c r="P36" i="23"/>
  <c r="X31" i="23"/>
  <c r="T85" i="98"/>
  <c r="X81" i="98"/>
  <c r="Z81" i="98" s="1"/>
  <c r="V81" i="98"/>
  <c r="L31" i="16"/>
  <c r="D36" i="16"/>
  <c r="Z31" i="13"/>
  <c r="T36" i="13"/>
  <c r="Z36" i="13" s="1"/>
  <c r="D72" i="76"/>
  <c r="L68" i="76"/>
  <c r="F68" i="76"/>
  <c r="X31" i="31"/>
  <c r="P36" i="31"/>
  <c r="N31" i="11"/>
  <c r="H36" i="11"/>
  <c r="N36" i="11" s="1"/>
  <c r="X31" i="35"/>
  <c r="P36" i="35"/>
  <c r="T36" i="16"/>
  <c r="Z36" i="16" s="1"/>
  <c r="Z31" i="16"/>
  <c r="N31" i="40"/>
  <c r="H36" i="40"/>
  <c r="N36" i="40" s="1"/>
  <c r="L89" i="92"/>
  <c r="D92" i="92"/>
  <c r="H67" i="79"/>
  <c r="J63" i="79"/>
  <c r="H36" i="47"/>
  <c r="N36" i="47" s="1"/>
  <c r="N31" i="47"/>
  <c r="L90" i="96"/>
  <c r="N90" i="96" s="1"/>
  <c r="D93" i="96"/>
  <c r="F90" i="96"/>
  <c r="X69" i="94"/>
  <c r="Z69" i="94" s="1"/>
  <c r="P72" i="94"/>
  <c r="R69" i="94"/>
  <c r="X31" i="14"/>
  <c r="P36" i="14"/>
  <c r="N31" i="37"/>
  <c r="H36" i="37"/>
  <c r="N36" i="37" s="1"/>
  <c r="X31" i="43"/>
  <c r="P36" i="43"/>
  <c r="T36" i="25"/>
  <c r="Z36" i="25" s="1"/>
  <c r="Z31" i="25"/>
  <c r="T36" i="7"/>
  <c r="Z36" i="7" s="1"/>
  <c r="Z31" i="7"/>
  <c r="N31" i="38"/>
  <c r="H36" i="38"/>
  <c r="N36" i="38" s="1"/>
  <c r="X74" i="93"/>
  <c r="Z74" i="93" s="1"/>
  <c r="P78" i="93"/>
  <c r="R74" i="93"/>
  <c r="L107" i="75"/>
  <c r="D110" i="75"/>
  <c r="F107" i="75"/>
  <c r="L31" i="34"/>
  <c r="D36" i="34"/>
  <c r="L31" i="38"/>
  <c r="D36" i="38"/>
  <c r="P36" i="53"/>
  <c r="X31" i="53"/>
  <c r="X55" i="103"/>
  <c r="T102" i="51"/>
  <c r="V99" i="51"/>
  <c r="Z141" i="30"/>
  <c r="T145" i="30"/>
  <c r="V141" i="30"/>
  <c r="T310" i="3"/>
  <c r="V305" i="3"/>
  <c r="Z31" i="44"/>
  <c r="T36" i="44"/>
  <c r="Z36" i="44" s="1"/>
  <c r="X118" i="71"/>
  <c r="Z118" i="71" s="1"/>
  <c r="P121" i="71"/>
  <c r="R118" i="71"/>
  <c r="N31" i="43"/>
  <c r="H36" i="43"/>
  <c r="N36" i="43" s="1"/>
  <c r="X31" i="20"/>
  <c r="P36" i="20"/>
  <c r="L52" i="103"/>
  <c r="N52" i="103" s="1"/>
  <c r="D55" i="103"/>
  <c r="L55" i="103" s="1"/>
  <c r="Z31" i="20"/>
  <c r="T36" i="20"/>
  <c r="Z36" i="20" s="1"/>
  <c r="P36" i="17"/>
  <c r="X31" i="17"/>
  <c r="T93" i="96"/>
  <c r="V90" i="96"/>
  <c r="P254" i="15"/>
  <c r="X250" i="15"/>
  <c r="Z250" i="15" s="1"/>
  <c r="R250" i="15"/>
  <c r="D81" i="93"/>
  <c r="L78" i="93"/>
  <c r="F78" i="93"/>
  <c r="T99" i="77"/>
  <c r="V95" i="77"/>
  <c r="X35" i="55"/>
  <c r="P38" i="55"/>
  <c r="N89" i="92"/>
  <c r="H92" i="92"/>
  <c r="D36" i="8"/>
  <c r="L31" i="8"/>
  <c r="Z31" i="53"/>
  <c r="T36" i="53"/>
  <c r="Z36" i="53" s="1"/>
  <c r="V81" i="93"/>
  <c r="T78" i="56"/>
  <c r="H114" i="69"/>
  <c r="J111" i="69"/>
  <c r="P78" i="56"/>
  <c r="X78" i="56" s="1"/>
  <c r="X75" i="56"/>
  <c r="Z75" i="56" s="1"/>
  <c r="N85" i="74"/>
  <c r="H88" i="74"/>
  <c r="J85" i="74"/>
  <c r="H70" i="110"/>
  <c r="N66" i="110"/>
  <c r="J66" i="110"/>
  <c r="L66" i="110"/>
  <c r="H50" i="100"/>
  <c r="P129" i="36"/>
  <c r="R126" i="36"/>
  <c r="L103" i="75"/>
  <c r="N103" i="75" s="1"/>
  <c r="L72" i="70"/>
  <c r="D75" i="70"/>
  <c r="F72" i="70"/>
  <c r="T34" i="99"/>
  <c r="Z34" i="99" s="1"/>
  <c r="Z31" i="99"/>
  <c r="D102" i="51"/>
  <c r="F99" i="51"/>
  <c r="L305" i="3"/>
  <c r="N305" i="3" s="1"/>
  <c r="D310" i="3"/>
  <c r="F305" i="3"/>
  <c r="T63" i="101"/>
  <c r="X63" i="101" s="1"/>
  <c r="Z59" i="101"/>
  <c r="V59" i="101"/>
  <c r="D132" i="39"/>
  <c r="L128" i="39"/>
  <c r="F128" i="39"/>
  <c r="H96" i="33"/>
  <c r="N93" i="33"/>
  <c r="J93" i="33"/>
  <c r="T36" i="22"/>
  <c r="Z36" i="22" s="1"/>
  <c r="Z31" i="22"/>
  <c r="D36" i="47"/>
  <c r="L31" i="47"/>
  <c r="N26" i="54"/>
  <c r="H31" i="54"/>
  <c r="L97" i="9"/>
  <c r="H88" i="104"/>
  <c r="J85" i="104"/>
  <c r="Z31" i="19"/>
  <c r="T36" i="19"/>
  <c r="Z36" i="19" s="1"/>
  <c r="L99" i="77"/>
  <c r="N99" i="77" s="1"/>
  <c r="D102" i="77"/>
  <c r="F99" i="77"/>
  <c r="H36" i="22"/>
  <c r="N36" i="22" s="1"/>
  <c r="N31" i="22"/>
  <c r="X86" i="102"/>
  <c r="R86" i="102"/>
  <c r="T85" i="74"/>
  <c r="V81" i="74"/>
  <c r="Z31" i="23"/>
  <c r="T36" i="23"/>
  <c r="Z36" i="23" s="1"/>
  <c r="N68" i="80"/>
  <c r="H72" i="80"/>
  <c r="J68" i="80"/>
  <c r="P132" i="39"/>
  <c r="X128" i="39"/>
  <c r="R128" i="39"/>
  <c r="T119" i="85"/>
  <c r="Z115" i="85"/>
  <c r="V115" i="85"/>
  <c r="N31" i="28"/>
  <c r="H36" i="28"/>
  <c r="N36" i="28" s="1"/>
  <c r="X34" i="99"/>
  <c r="X276" i="18"/>
  <c r="Z276" i="18" s="1"/>
  <c r="P280" i="18"/>
  <c r="R276" i="18"/>
  <c r="L119" i="85"/>
  <c r="D122" i="85"/>
  <c r="F119" i="85"/>
  <c r="Z128" i="39"/>
  <c r="T132" i="39"/>
  <c r="V128" i="39"/>
  <c r="P78" i="58"/>
  <c r="X78" i="58" s="1"/>
  <c r="Z78" i="58" s="1"/>
  <c r="X75" i="58"/>
  <c r="Z75" i="58" s="1"/>
  <c r="F90" i="106"/>
  <c r="L28" i="86"/>
  <c r="N28" i="86" s="1"/>
  <c r="T36" i="8"/>
  <c r="Z36" i="8" s="1"/>
  <c r="Z31" i="8"/>
  <c r="N31" i="25"/>
  <c r="H36" i="25"/>
  <c r="N36" i="25" s="1"/>
  <c r="X58" i="68"/>
  <c r="P61" i="68"/>
  <c r="N78" i="56"/>
  <c r="H99" i="51"/>
  <c r="N95" i="51"/>
  <c r="J95" i="51"/>
  <c r="R80" i="81"/>
  <c r="L35" i="55"/>
  <c r="N35" i="55" s="1"/>
  <c r="D38" i="55"/>
  <c r="L38" i="55" s="1"/>
  <c r="N38" i="55" s="1"/>
  <c r="X81" i="74"/>
  <c r="Z81" i="74" s="1"/>
  <c r="L68" i="80"/>
  <c r="T83" i="73"/>
  <c r="V80" i="73"/>
  <c r="L31" i="35"/>
  <c r="D36" i="35"/>
  <c r="L77" i="81"/>
  <c r="D80" i="81"/>
  <c r="F77" i="81"/>
  <c r="T73" i="48"/>
  <c r="V70" i="48"/>
  <c r="L31" i="53"/>
  <c r="D36" i="53"/>
  <c r="N31" i="16"/>
  <c r="H36" i="16"/>
  <c r="N36" i="16" s="1"/>
  <c r="H61" i="68"/>
  <c r="L58" i="68"/>
  <c r="N58" i="68" s="1"/>
  <c r="D36" i="4"/>
  <c r="L31" i="4"/>
  <c r="H132" i="39"/>
  <c r="N128" i="39"/>
  <c r="J128" i="39"/>
  <c r="P56" i="60"/>
  <c r="X53" i="60"/>
  <c r="Z53" i="60" s="1"/>
  <c r="X31" i="28"/>
  <c r="P36" i="28"/>
  <c r="X70" i="48"/>
  <c r="Z70" i="48" s="1"/>
  <c r="P73" i="48"/>
  <c r="R70" i="48"/>
  <c r="L31" i="13"/>
  <c r="D36" i="13"/>
  <c r="T86" i="88"/>
  <c r="Z82" i="88"/>
  <c r="V82" i="88"/>
  <c r="L63" i="79"/>
  <c r="N63" i="79" s="1"/>
  <c r="D67" i="79"/>
  <c r="F63" i="79"/>
  <c r="H90" i="106"/>
  <c r="L90" i="106" s="1"/>
  <c r="N87" i="106"/>
  <c r="J87" i="106"/>
  <c r="P119" i="27"/>
  <c r="X115" i="27"/>
  <c r="Z115" i="27" s="1"/>
  <c r="R115" i="27"/>
  <c r="P122" i="24"/>
  <c r="X118" i="24"/>
  <c r="R118" i="24"/>
  <c r="X83" i="106"/>
  <c r="Z83" i="106" s="1"/>
  <c r="P87" i="106"/>
  <c r="R83" i="106"/>
  <c r="X86" i="88"/>
  <c r="P89" i="88"/>
  <c r="R86" i="88"/>
  <c r="T87" i="108"/>
  <c r="Z83" i="108"/>
  <c r="V83" i="108"/>
  <c r="Z102" i="21"/>
  <c r="T106" i="21"/>
  <c r="V102" i="21"/>
  <c r="H102" i="77"/>
  <c r="J99" i="77"/>
  <c r="N106" i="21"/>
  <c r="H109" i="21"/>
  <c r="J106" i="21"/>
  <c r="Z31" i="113"/>
  <c r="T36" i="113"/>
  <c r="Z36" i="113" s="1"/>
  <c r="N84" i="84"/>
  <c r="H87" i="84"/>
  <c r="J84" i="84"/>
  <c r="Z66" i="57"/>
  <c r="T69" i="57"/>
  <c r="H56" i="105"/>
  <c r="J53" i="105"/>
  <c r="L53" i="105"/>
  <c r="N53" i="105" s="1"/>
  <c r="Z35" i="55"/>
  <c r="T38" i="55"/>
  <c r="P69" i="57"/>
  <c r="X66" i="57"/>
  <c r="X31" i="113"/>
  <c r="P36" i="113"/>
  <c r="T31" i="107"/>
  <c r="Z28" i="107"/>
  <c r="T69" i="59"/>
  <c r="Z66" i="59"/>
  <c r="X66" i="59"/>
  <c r="H36" i="4"/>
  <c r="N36" i="4" s="1"/>
  <c r="N31" i="4"/>
  <c r="Z116" i="42"/>
  <c r="T120" i="42"/>
  <c r="X120" i="42" s="1"/>
  <c r="V116" i="42"/>
  <c r="P75" i="76"/>
  <c r="X72" i="76"/>
  <c r="R72" i="76"/>
  <c r="L31" i="23"/>
  <c r="D36" i="23"/>
  <c r="N31" i="19"/>
  <c r="H36" i="19"/>
  <c r="N36" i="19" s="1"/>
  <c r="P98" i="45"/>
  <c r="X95" i="45"/>
  <c r="R95" i="45"/>
  <c r="Z72" i="70"/>
  <c r="T75" i="70"/>
  <c r="V72" i="70"/>
  <c r="T36" i="10"/>
  <c r="Z36" i="10" s="1"/>
  <c r="Z31" i="10"/>
  <c r="D35" i="86"/>
  <c r="L32" i="86"/>
  <c r="F32" i="86"/>
  <c r="X31" i="25"/>
  <c r="P36" i="25"/>
  <c r="H93" i="96"/>
  <c r="J90" i="96"/>
  <c r="H70" i="48"/>
  <c r="L70" i="48" s="1"/>
  <c r="J66" i="48"/>
  <c r="L276" i="18"/>
  <c r="N276" i="18" s="1"/>
  <c r="X31" i="44"/>
  <c r="P36" i="44"/>
  <c r="L85" i="104"/>
  <c r="N85" i="104" s="1"/>
  <c r="D88" i="104"/>
  <c r="F85" i="104"/>
  <c r="N33" i="83"/>
  <c r="H36" i="83"/>
  <c r="J33" i="83"/>
  <c r="X85" i="74"/>
  <c r="P88" i="74"/>
  <c r="R85" i="74"/>
  <c r="L69" i="94"/>
  <c r="N69" i="94" s="1"/>
  <c r="D72" i="94"/>
  <c r="F69" i="94"/>
  <c r="D75" i="80"/>
  <c r="L72" i="80"/>
  <c r="F72" i="80"/>
  <c r="X80" i="73"/>
  <c r="Z80" i="73" s="1"/>
  <c r="P83" i="73"/>
  <c r="R80" i="73"/>
  <c r="X31" i="6"/>
  <c r="X31" i="19"/>
  <c r="P36" i="19"/>
  <c r="T61" i="68"/>
  <c r="Z58" i="68"/>
  <c r="T257" i="15"/>
  <c r="V254" i="15"/>
  <c r="H119" i="27"/>
  <c r="J115" i="27"/>
  <c r="N31" i="111"/>
  <c r="H36" i="111"/>
  <c r="N36" i="111" s="1"/>
  <c r="Z31" i="43"/>
  <c r="T36" i="43"/>
  <c r="Z36" i="43" s="1"/>
  <c r="Z31" i="37"/>
  <c r="T36" i="37"/>
  <c r="Z36" i="37" s="1"/>
  <c r="H80" i="81"/>
  <c r="N77" i="81"/>
  <c r="J77" i="81"/>
  <c r="D257" i="15"/>
  <c r="F254" i="15"/>
  <c r="D36" i="37"/>
  <c r="L31" i="37"/>
  <c r="L94" i="9"/>
  <c r="N94" i="9" s="1"/>
  <c r="D99" i="64"/>
  <c r="L96" i="64"/>
  <c r="N96" i="64" s="1"/>
  <c r="F77" i="89"/>
  <c r="X31" i="13"/>
  <c r="P36" i="13"/>
  <c r="D36" i="113"/>
  <c r="L31" i="113"/>
  <c r="T36" i="41"/>
  <c r="Z36" i="41" s="1"/>
  <c r="Z31" i="41"/>
  <c r="T82" i="95"/>
  <c r="Z79" i="95"/>
  <c r="V79" i="95"/>
  <c r="H36" i="20"/>
  <c r="N36" i="20" s="1"/>
  <c r="N31" i="20"/>
  <c r="T56" i="60"/>
  <c r="X31" i="41"/>
  <c r="P36" i="41"/>
  <c r="N118" i="24"/>
  <c r="H122" i="24"/>
  <c r="J118" i="24"/>
  <c r="H148" i="30"/>
  <c r="N145" i="30"/>
  <c r="J145" i="30"/>
  <c r="H36" i="49"/>
  <c r="N36" i="49" s="1"/>
  <c r="N31" i="49"/>
  <c r="L55" i="61"/>
  <c r="N55" i="61" s="1"/>
  <c r="D58" i="61"/>
  <c r="L58" i="61" s="1"/>
  <c r="D119" i="27"/>
  <c r="L115" i="27"/>
  <c r="N115" i="27" s="1"/>
  <c r="F115" i="27"/>
  <c r="X305" i="3"/>
  <c r="Z305" i="3" s="1"/>
  <c r="P310" i="3"/>
  <c r="R305" i="3"/>
  <c r="T56" i="105"/>
  <c r="V53" i="105"/>
  <c r="D50" i="100"/>
  <c r="L50" i="100" s="1"/>
  <c r="L47" i="100"/>
  <c r="N47" i="100" s="1"/>
  <c r="X91" i="45"/>
  <c r="Z91" i="45" s="1"/>
  <c r="D36" i="32"/>
  <c r="L31" i="32"/>
  <c r="N31" i="8"/>
  <c r="H36" i="8"/>
  <c r="N36" i="8" s="1"/>
  <c r="D90" i="108"/>
  <c r="L87" i="108"/>
  <c r="F87" i="108"/>
  <c r="L31" i="44"/>
  <c r="D36" i="44"/>
  <c r="Z26" i="6"/>
  <c r="T31" i="6"/>
  <c r="L280" i="18"/>
  <c r="D283" i="18"/>
  <c r="F280" i="18"/>
  <c r="Z31" i="40"/>
  <c r="T36" i="40"/>
  <c r="Z36" i="40" s="1"/>
  <c r="Z31" i="29"/>
  <c r="T36" i="29"/>
  <c r="Z36" i="29" s="1"/>
  <c r="L31" i="19"/>
  <c r="D36" i="19"/>
  <c r="X31" i="10"/>
  <c r="P36" i="10"/>
  <c r="D36" i="50"/>
  <c r="L31" i="50"/>
  <c r="L66" i="48"/>
  <c r="N66" i="48" s="1"/>
  <c r="X31" i="7"/>
  <c r="P36" i="7"/>
  <c r="Z31" i="31"/>
  <c r="T36" i="31"/>
  <c r="Z36" i="31" s="1"/>
  <c r="L31" i="46"/>
  <c r="D36" i="46"/>
  <c r="H31" i="107"/>
  <c r="N31" i="107" s="1"/>
  <c r="N28" i="107"/>
  <c r="Z31" i="50"/>
  <c r="T36" i="50"/>
  <c r="Z36" i="50" s="1"/>
  <c r="N31" i="10"/>
  <c r="H36" i="10"/>
  <c r="N36" i="10" s="1"/>
  <c r="D120" i="42"/>
  <c r="L116" i="42"/>
  <c r="F116" i="42"/>
  <c r="F73" i="110"/>
  <c r="P36" i="11"/>
  <c r="X31" i="11"/>
  <c r="Z72" i="76"/>
  <c r="T75" i="76"/>
  <c r="V72" i="76"/>
  <c r="X264" i="12"/>
  <c r="P267" i="12"/>
  <c r="R264" i="12"/>
  <c r="L31" i="49"/>
  <c r="D36" i="49"/>
  <c r="Z31" i="112"/>
  <c r="T36" i="112"/>
  <c r="Z36" i="112" s="1"/>
  <c r="L66" i="59"/>
  <c r="N66" i="59" s="1"/>
  <c r="D69" i="59"/>
  <c r="L69" i="59" s="1"/>
  <c r="N69" i="59" s="1"/>
  <c r="X31" i="32"/>
  <c r="P36" i="32"/>
  <c r="P114" i="69"/>
  <c r="X111" i="69"/>
  <c r="R111" i="69"/>
  <c r="H121" i="71"/>
  <c r="N118" i="71"/>
  <c r="J118" i="71"/>
  <c r="T36" i="52"/>
  <c r="Z36" i="52" s="1"/>
  <c r="Z31" i="52"/>
  <c r="L31" i="17"/>
  <c r="D36" i="17"/>
  <c r="N119" i="85"/>
  <c r="H122" i="85"/>
  <c r="J119" i="85"/>
  <c r="P90" i="96"/>
  <c r="X86" i="96"/>
  <c r="Z86" i="96" s="1"/>
  <c r="R86" i="96"/>
  <c r="X95" i="77"/>
  <c r="Z95" i="77" s="1"/>
  <c r="P99" i="77"/>
  <c r="R95" i="77"/>
  <c r="H72" i="94"/>
  <c r="J69" i="94"/>
  <c r="L31" i="43"/>
  <c r="D36" i="43"/>
  <c r="D36" i="112"/>
  <c r="L31" i="112"/>
  <c r="H120" i="42"/>
  <c r="N116" i="42"/>
  <c r="J116" i="42"/>
  <c r="N66" i="57"/>
  <c r="H69" i="57"/>
  <c r="L69" i="57" s="1"/>
  <c r="Z83" i="102"/>
  <c r="T86" i="102"/>
  <c r="V83" i="102"/>
  <c r="H36" i="53"/>
  <c r="N36" i="53" s="1"/>
  <c r="N31" i="53"/>
  <c r="N53" i="60"/>
  <c r="H56" i="60"/>
  <c r="L56" i="60" s="1"/>
  <c r="X84" i="84"/>
  <c r="P87" i="84"/>
  <c r="R84" i="84"/>
  <c r="N75" i="58"/>
  <c r="H78" i="58"/>
  <c r="L31" i="25"/>
  <c r="D36" i="25"/>
  <c r="X74" i="89"/>
  <c r="Z74" i="89" s="1"/>
  <c r="P77" i="89"/>
  <c r="R74" i="89"/>
  <c r="L31" i="31"/>
  <c r="D36" i="31"/>
  <c r="D73" i="48"/>
  <c r="F70" i="48"/>
  <c r="H98" i="45"/>
  <c r="J95" i="45"/>
  <c r="Z111" i="69"/>
  <c r="T114" i="69"/>
  <c r="V111" i="69"/>
  <c r="P58" i="61"/>
  <c r="X58" i="61" s="1"/>
  <c r="Z58" i="61" s="1"/>
  <c r="X55" i="61"/>
  <c r="Z55" i="61" s="1"/>
  <c r="P107" i="75"/>
  <c r="X103" i="75"/>
  <c r="Z103" i="75" s="1"/>
  <c r="R103" i="75"/>
  <c r="N31" i="113"/>
  <c r="H36" i="113"/>
  <c r="N36" i="113" s="1"/>
  <c r="P72" i="80"/>
  <c r="X68" i="80"/>
  <c r="Z68" i="80" s="1"/>
  <c r="R68" i="80"/>
  <c r="N76" i="73"/>
  <c r="H80" i="73"/>
  <c r="J76" i="73"/>
  <c r="H36" i="29"/>
  <c r="N36" i="29" s="1"/>
  <c r="N31" i="29"/>
  <c r="D88" i="98"/>
  <c r="L85" i="98"/>
  <c r="N85" i="98" s="1"/>
  <c r="F85" i="98"/>
  <c r="L31" i="26"/>
  <c r="D36" i="26"/>
  <c r="D83" i="73"/>
  <c r="L80" i="73"/>
  <c r="F80" i="73"/>
  <c r="L31" i="28"/>
  <c r="D36" i="28"/>
  <c r="P36" i="40"/>
  <c r="X31" i="40"/>
  <c r="T36" i="26"/>
  <c r="Z36" i="26" s="1"/>
  <c r="Z31" i="26"/>
  <c r="X85" i="104"/>
  <c r="P88" i="104"/>
  <c r="R85" i="104"/>
  <c r="D95" i="45"/>
  <c r="L91" i="45"/>
  <c r="N91" i="45" s="1"/>
  <c r="F91" i="45"/>
  <c r="N72" i="70"/>
  <c r="H75" i="70"/>
  <c r="J72" i="70"/>
  <c r="D31" i="107"/>
  <c r="L31" i="107" s="1"/>
  <c r="L28" i="107"/>
  <c r="X106" i="21"/>
  <c r="P109" i="21"/>
  <c r="R106" i="21"/>
  <c r="D36" i="40"/>
  <c r="L31" i="40"/>
  <c r="X67" i="79"/>
  <c r="P70" i="79"/>
  <c r="R67" i="79"/>
  <c r="H36" i="14"/>
  <c r="N36" i="14" s="1"/>
  <c r="N31" i="14"/>
  <c r="D36" i="52"/>
  <c r="L31" i="52"/>
  <c r="N31" i="52"/>
  <c r="H36" i="52"/>
  <c r="N36" i="52" s="1"/>
  <c r="X31" i="34"/>
  <c r="P36" i="34"/>
  <c r="L26" i="6"/>
  <c r="D31" i="6"/>
  <c r="L31" i="6" s="1"/>
  <c r="N31" i="6" s="1"/>
  <c r="P36" i="26"/>
  <c r="X31" i="26"/>
  <c r="T36" i="17"/>
  <c r="Z36" i="17" s="1"/>
  <c r="Z31" i="17"/>
  <c r="D126" i="36"/>
  <c r="L122" i="36"/>
  <c r="N122" i="36" s="1"/>
  <c r="F122" i="36"/>
  <c r="T126" i="36"/>
  <c r="X126" i="36" s="1"/>
  <c r="Z122" i="36"/>
  <c r="V122" i="36"/>
  <c r="H90" i="108"/>
  <c r="N87" i="108"/>
  <c r="J87" i="108"/>
  <c r="T96" i="33"/>
  <c r="V93" i="33"/>
  <c r="H36" i="44"/>
  <c r="N36" i="44" s="1"/>
  <c r="N31" i="44"/>
  <c r="H310" i="3"/>
  <c r="J305" i="3"/>
  <c r="D36" i="22"/>
  <c r="L31" i="22"/>
  <c r="D36" i="29"/>
  <c r="L31" i="29"/>
  <c r="H72" i="76"/>
  <c r="N68" i="76"/>
  <c r="J68" i="76"/>
  <c r="Z84" i="84"/>
  <c r="T87" i="84"/>
  <c r="V84" i="84"/>
  <c r="T77" i="89"/>
  <c r="V74" i="89"/>
  <c r="X31" i="50"/>
  <c r="P36" i="50"/>
  <c r="P97" i="9"/>
  <c r="X97" i="9" s="1"/>
  <c r="X94" i="9"/>
  <c r="Z94" i="9" s="1"/>
  <c r="T122" i="24"/>
  <c r="Z118" i="24"/>
  <c r="V118" i="24"/>
  <c r="Z66" i="110"/>
  <c r="T70" i="110"/>
  <c r="V66" i="110"/>
  <c r="N55" i="103"/>
  <c r="Z47" i="100"/>
  <c r="T50" i="100"/>
  <c r="X47" i="100"/>
  <c r="V122" i="27"/>
  <c r="N31" i="26"/>
  <c r="H36" i="26"/>
  <c r="N36" i="26" s="1"/>
  <c r="N79" i="95"/>
  <c r="H82" i="95"/>
  <c r="J79" i="95"/>
  <c r="L79" i="95"/>
  <c r="Z67" i="79"/>
  <c r="T70" i="79"/>
  <c r="V67" i="79"/>
  <c r="N31" i="13"/>
  <c r="H36" i="13"/>
  <c r="N36" i="13" s="1"/>
  <c r="X36" i="11" l="1"/>
  <c r="L36" i="50"/>
  <c r="L36" i="37"/>
  <c r="X36" i="19"/>
  <c r="X36" i="7"/>
  <c r="L36" i="32"/>
  <c r="X36" i="20"/>
  <c r="X36" i="113"/>
  <c r="X36" i="46"/>
  <c r="L36" i="40"/>
  <c r="X36" i="13"/>
  <c r="X36" i="40"/>
  <c r="L36" i="17"/>
  <c r="X36" i="32"/>
  <c r="X36" i="50"/>
  <c r="L36" i="34"/>
  <c r="X36" i="35"/>
  <c r="L36" i="49"/>
  <c r="L36" i="46"/>
  <c r="X36" i="14"/>
  <c r="X36" i="111"/>
  <c r="L36" i="23"/>
  <c r="L36" i="35"/>
  <c r="L36" i="43"/>
  <c r="L36" i="22"/>
  <c r="L36" i="31"/>
  <c r="L36" i="10"/>
  <c r="L36" i="52"/>
  <c r="L36" i="112"/>
  <c r="L36" i="19"/>
  <c r="L36" i="11"/>
  <c r="L36" i="25"/>
  <c r="X36" i="47"/>
  <c r="L36" i="7"/>
  <c r="L36" i="47"/>
  <c r="X36" i="4"/>
  <c r="L36" i="28"/>
  <c r="X36" i="49"/>
  <c r="P110" i="75"/>
  <c r="X107" i="75"/>
  <c r="Z107" i="75" s="1"/>
  <c r="R107" i="75"/>
  <c r="L36" i="29"/>
  <c r="L88" i="98"/>
  <c r="F88" i="98"/>
  <c r="X50" i="100"/>
  <c r="Z50" i="100" s="1"/>
  <c r="J90" i="108"/>
  <c r="X36" i="26"/>
  <c r="J98" i="45"/>
  <c r="P93" i="96"/>
  <c r="X90" i="96"/>
  <c r="Z90" i="96" s="1"/>
  <c r="R90" i="96"/>
  <c r="J121" i="71"/>
  <c r="Z31" i="6"/>
  <c r="X36" i="41"/>
  <c r="L36" i="113"/>
  <c r="X280" i="18"/>
  <c r="Z280" i="18" s="1"/>
  <c r="P283" i="18"/>
  <c r="R280" i="18"/>
  <c r="N72" i="80"/>
  <c r="H75" i="80"/>
  <c r="J72" i="80"/>
  <c r="L102" i="77"/>
  <c r="F102" i="77"/>
  <c r="L310" i="3"/>
  <c r="F310" i="3"/>
  <c r="P257" i="15"/>
  <c r="X254" i="15"/>
  <c r="Z254" i="15" s="1"/>
  <c r="R254" i="15"/>
  <c r="L93" i="96"/>
  <c r="F93" i="96"/>
  <c r="L36" i="16"/>
  <c r="X36" i="22"/>
  <c r="L36" i="111"/>
  <c r="H81" i="93"/>
  <c r="N78" i="93"/>
  <c r="J78" i="93"/>
  <c r="L36" i="20"/>
  <c r="L34" i="99"/>
  <c r="X129" i="36"/>
  <c r="R129" i="36"/>
  <c r="X70" i="79"/>
  <c r="R70" i="79"/>
  <c r="J75" i="70"/>
  <c r="J122" i="85"/>
  <c r="R267" i="12"/>
  <c r="L75" i="80"/>
  <c r="F75" i="80"/>
  <c r="Z106" i="21"/>
  <c r="T109" i="21"/>
  <c r="V106" i="21"/>
  <c r="X56" i="60"/>
  <c r="H102" i="51"/>
  <c r="J99" i="51"/>
  <c r="N50" i="100"/>
  <c r="J114" i="69"/>
  <c r="X38" i="55"/>
  <c r="Z145" i="30"/>
  <c r="T148" i="30"/>
  <c r="V145" i="30"/>
  <c r="X36" i="43"/>
  <c r="L36" i="83"/>
  <c r="F36" i="83"/>
  <c r="J86" i="102"/>
  <c r="Z55" i="103"/>
  <c r="N58" i="61"/>
  <c r="N32" i="86"/>
  <c r="H35" i="86"/>
  <c r="J32" i="86"/>
  <c r="X36" i="5"/>
  <c r="X87" i="106"/>
  <c r="Z87" i="106" s="1"/>
  <c r="P90" i="106"/>
  <c r="R87" i="106"/>
  <c r="L86" i="102"/>
  <c r="N86" i="102" s="1"/>
  <c r="F86" i="102"/>
  <c r="N254" i="15"/>
  <c r="H257" i="15"/>
  <c r="J254" i="15"/>
  <c r="V77" i="89"/>
  <c r="Z126" i="36"/>
  <c r="T129" i="36"/>
  <c r="V126" i="36"/>
  <c r="X36" i="34"/>
  <c r="F73" i="48"/>
  <c r="Z86" i="102"/>
  <c r="V86" i="102"/>
  <c r="X114" i="69"/>
  <c r="R114" i="69"/>
  <c r="Z56" i="60"/>
  <c r="J80" i="81"/>
  <c r="V257" i="15"/>
  <c r="X36" i="25"/>
  <c r="X75" i="76"/>
  <c r="Z75" i="76" s="1"/>
  <c r="R75" i="76"/>
  <c r="J87" i="84"/>
  <c r="L36" i="53"/>
  <c r="L99" i="51"/>
  <c r="N99" i="51" s="1"/>
  <c r="V93" i="96"/>
  <c r="F110" i="75"/>
  <c r="X75" i="70"/>
  <c r="R75" i="70"/>
  <c r="L87" i="84"/>
  <c r="N87" i="84" s="1"/>
  <c r="F87" i="84"/>
  <c r="X36" i="8"/>
  <c r="N107" i="75"/>
  <c r="H110" i="75"/>
  <c r="J107" i="75"/>
  <c r="T75" i="80"/>
  <c r="V72" i="80"/>
  <c r="X36" i="16"/>
  <c r="N93" i="96"/>
  <c r="J93" i="96"/>
  <c r="L67" i="79"/>
  <c r="D70" i="79"/>
  <c r="F67" i="79"/>
  <c r="R123" i="42"/>
  <c r="T73" i="110"/>
  <c r="V70" i="110"/>
  <c r="N310" i="3"/>
  <c r="J310" i="3"/>
  <c r="N80" i="73"/>
  <c r="H83" i="73"/>
  <c r="J80" i="73"/>
  <c r="J72" i="94"/>
  <c r="L72" i="94"/>
  <c r="N72" i="94" s="1"/>
  <c r="F72" i="94"/>
  <c r="L88" i="104"/>
  <c r="N88" i="104" s="1"/>
  <c r="F88" i="104"/>
  <c r="V83" i="73"/>
  <c r="J96" i="33"/>
  <c r="L102" i="51"/>
  <c r="F102" i="51"/>
  <c r="X119" i="85"/>
  <c r="P122" i="85"/>
  <c r="R119" i="85"/>
  <c r="L109" i="21"/>
  <c r="F109" i="21"/>
  <c r="N97" i="9"/>
  <c r="X93" i="33"/>
  <c r="Z93" i="33" s="1"/>
  <c r="P96" i="33"/>
  <c r="R93" i="33"/>
  <c r="X31" i="107"/>
  <c r="L88" i="74"/>
  <c r="F88" i="74"/>
  <c r="V36" i="83"/>
  <c r="L36" i="5"/>
  <c r="N89" i="88"/>
  <c r="J89" i="88"/>
  <c r="X36" i="52"/>
  <c r="D122" i="27"/>
  <c r="L119" i="27"/>
  <c r="F119" i="27"/>
  <c r="N42" i="109"/>
  <c r="J82" i="95"/>
  <c r="L82" i="95"/>
  <c r="N82" i="95" s="1"/>
  <c r="Z87" i="84"/>
  <c r="V87" i="84"/>
  <c r="N69" i="57"/>
  <c r="V75" i="76"/>
  <c r="L36" i="44"/>
  <c r="R98" i="45"/>
  <c r="Z120" i="42"/>
  <c r="T123" i="42"/>
  <c r="V120" i="42"/>
  <c r="X69" i="57"/>
  <c r="Z69" i="57" s="1"/>
  <c r="P125" i="24"/>
  <c r="X122" i="24"/>
  <c r="R122" i="24"/>
  <c r="Z86" i="88"/>
  <c r="T89" i="88"/>
  <c r="V86" i="88"/>
  <c r="H135" i="39"/>
  <c r="J132" i="39"/>
  <c r="J88" i="104"/>
  <c r="Z78" i="56"/>
  <c r="Z99" i="77"/>
  <c r="T102" i="77"/>
  <c r="V99" i="77"/>
  <c r="X36" i="17"/>
  <c r="V102" i="51"/>
  <c r="N67" i="79"/>
  <c r="H70" i="79"/>
  <c r="J67" i="79"/>
  <c r="X36" i="31"/>
  <c r="Z85" i="98"/>
  <c r="T88" i="98"/>
  <c r="V85" i="98"/>
  <c r="X85" i="98"/>
  <c r="L42" i="109"/>
  <c r="J267" i="12"/>
  <c r="R66" i="101"/>
  <c r="Z121" i="71"/>
  <c r="V121" i="71"/>
  <c r="L120" i="42"/>
  <c r="D123" i="42"/>
  <c r="F120" i="42"/>
  <c r="L126" i="36"/>
  <c r="N126" i="36" s="1"/>
  <c r="D129" i="36"/>
  <c r="F126" i="36"/>
  <c r="D98" i="45"/>
  <c r="L95" i="45"/>
  <c r="N95" i="45" s="1"/>
  <c r="F95" i="45"/>
  <c r="L83" i="73"/>
  <c r="F83" i="73"/>
  <c r="X87" i="84"/>
  <c r="R87" i="84"/>
  <c r="X99" i="77"/>
  <c r="P102" i="77"/>
  <c r="R99" i="77"/>
  <c r="V56" i="105"/>
  <c r="L99" i="64"/>
  <c r="N99" i="64" s="1"/>
  <c r="X36" i="44"/>
  <c r="Z38" i="55"/>
  <c r="L36" i="13"/>
  <c r="Z73" i="48"/>
  <c r="V73" i="48"/>
  <c r="X61" i="68"/>
  <c r="Z61" i="68" s="1"/>
  <c r="T135" i="39"/>
  <c r="V132" i="39"/>
  <c r="Z85" i="74"/>
  <c r="T88" i="74"/>
  <c r="V85" i="74"/>
  <c r="X121" i="71"/>
  <c r="R121" i="71"/>
  <c r="X78" i="93"/>
  <c r="Z78" i="93" s="1"/>
  <c r="P81" i="93"/>
  <c r="R78" i="93"/>
  <c r="V283" i="18"/>
  <c r="Z97" i="9"/>
  <c r="X36" i="112"/>
  <c r="L121" i="71"/>
  <c r="N121" i="71" s="1"/>
  <c r="F121" i="71"/>
  <c r="L89" i="88"/>
  <c r="F89" i="88"/>
  <c r="X148" i="30"/>
  <c r="R148" i="30"/>
  <c r="Z75" i="70"/>
  <c r="V75" i="70"/>
  <c r="X109" i="21"/>
  <c r="R109" i="21"/>
  <c r="L36" i="26"/>
  <c r="R88" i="74"/>
  <c r="L36" i="4"/>
  <c r="T122" i="85"/>
  <c r="Z119" i="85"/>
  <c r="V119" i="85"/>
  <c r="L132" i="39"/>
  <c r="N132" i="39" s="1"/>
  <c r="D135" i="39"/>
  <c r="F132" i="39"/>
  <c r="N70" i="110"/>
  <c r="H73" i="110"/>
  <c r="J70" i="110"/>
  <c r="L70" i="110"/>
  <c r="L92" i="92"/>
  <c r="N92" i="92" s="1"/>
  <c r="X36" i="23"/>
  <c r="L111" i="69"/>
  <c r="N111" i="69" s="1"/>
  <c r="D114" i="69"/>
  <c r="F111" i="69"/>
  <c r="J129" i="36"/>
  <c r="N88" i="98"/>
  <c r="J88" i="98"/>
  <c r="V90" i="106"/>
  <c r="X145" i="30"/>
  <c r="Z85" i="104"/>
  <c r="T88" i="104"/>
  <c r="V85" i="104"/>
  <c r="Z114" i="69"/>
  <c r="V114" i="69"/>
  <c r="J148" i="30"/>
  <c r="Z82" i="95"/>
  <c r="V82" i="95"/>
  <c r="N109" i="21"/>
  <c r="J109" i="21"/>
  <c r="T90" i="108"/>
  <c r="V87" i="108"/>
  <c r="X119" i="27"/>
  <c r="Z119" i="27" s="1"/>
  <c r="P122" i="27"/>
  <c r="R119" i="27"/>
  <c r="N31" i="54"/>
  <c r="L75" i="70"/>
  <c r="N75" i="70" s="1"/>
  <c r="F75" i="70"/>
  <c r="Z77" i="81"/>
  <c r="T80" i="81"/>
  <c r="V77" i="81"/>
  <c r="X77" i="81"/>
  <c r="L36" i="14"/>
  <c r="H283" i="18"/>
  <c r="N280" i="18"/>
  <c r="J280" i="18"/>
  <c r="L122" i="24"/>
  <c r="D125" i="24"/>
  <c r="F122" i="24"/>
  <c r="L148" i="30"/>
  <c r="N148" i="30" s="1"/>
  <c r="F148" i="30"/>
  <c r="Z31" i="107"/>
  <c r="T125" i="24"/>
  <c r="Z122" i="24"/>
  <c r="V122" i="24"/>
  <c r="V96" i="33"/>
  <c r="X88" i="104"/>
  <c r="R88" i="104"/>
  <c r="P75" i="80"/>
  <c r="X72" i="80"/>
  <c r="Z72" i="80" s="1"/>
  <c r="R72" i="80"/>
  <c r="H75" i="76"/>
  <c r="J72" i="76"/>
  <c r="X77" i="89"/>
  <c r="Z77" i="89" s="1"/>
  <c r="R77" i="89"/>
  <c r="H123" i="42"/>
  <c r="N120" i="42"/>
  <c r="J120" i="42"/>
  <c r="L90" i="108"/>
  <c r="N90" i="108" s="1"/>
  <c r="F90" i="108"/>
  <c r="X310" i="3"/>
  <c r="Z310" i="3" s="1"/>
  <c r="R310" i="3"/>
  <c r="L35" i="86"/>
  <c r="F35" i="86"/>
  <c r="X73" i="48"/>
  <c r="R73" i="48"/>
  <c r="L61" i="68"/>
  <c r="N61" i="68" s="1"/>
  <c r="L122" i="85"/>
  <c r="N122" i="85" s="1"/>
  <c r="F122" i="85"/>
  <c r="N88" i="74"/>
  <c r="J88" i="74"/>
  <c r="L81" i="93"/>
  <c r="F81" i="93"/>
  <c r="X36" i="53"/>
  <c r="X72" i="94"/>
  <c r="R72" i="94"/>
  <c r="L72" i="76"/>
  <c r="N72" i="76" s="1"/>
  <c r="D75" i="76"/>
  <c r="F72" i="76"/>
  <c r="Z95" i="45"/>
  <c r="T98" i="45"/>
  <c r="V95" i="45"/>
  <c r="X36" i="29"/>
  <c r="Z72" i="94"/>
  <c r="V72" i="94"/>
  <c r="H77" i="89"/>
  <c r="J74" i="89"/>
  <c r="L74" i="89"/>
  <c r="N74" i="89" s="1"/>
  <c r="X36" i="37"/>
  <c r="Z31" i="54"/>
  <c r="L96" i="33"/>
  <c r="N96" i="33" s="1"/>
  <c r="F96" i="33"/>
  <c r="X87" i="108"/>
  <c r="Z87" i="108" s="1"/>
  <c r="P90" i="108"/>
  <c r="R87" i="108"/>
  <c r="X35" i="86"/>
  <c r="Z35" i="86" s="1"/>
  <c r="R35" i="86"/>
  <c r="L36" i="41"/>
  <c r="X36" i="38"/>
  <c r="Z70" i="79"/>
  <c r="V70" i="79"/>
  <c r="N56" i="60"/>
  <c r="X36" i="10"/>
  <c r="L283" i="18"/>
  <c r="F283" i="18"/>
  <c r="N122" i="24"/>
  <c r="H125" i="24"/>
  <c r="J122" i="24"/>
  <c r="X83" i="73"/>
  <c r="Z83" i="73" s="1"/>
  <c r="R83" i="73"/>
  <c r="N36" i="83"/>
  <c r="J36" i="83"/>
  <c r="J56" i="105"/>
  <c r="L56" i="105"/>
  <c r="N56" i="105" s="1"/>
  <c r="X89" i="88"/>
  <c r="R89" i="88"/>
  <c r="P135" i="39"/>
  <c r="X132" i="39"/>
  <c r="Z132" i="39" s="1"/>
  <c r="R132" i="39"/>
  <c r="T66" i="101"/>
  <c r="X66" i="101" s="1"/>
  <c r="Z63" i="101"/>
  <c r="V63" i="101"/>
  <c r="L36" i="38"/>
  <c r="L66" i="101"/>
  <c r="L78" i="58"/>
  <c r="N78" i="58" s="1"/>
  <c r="X82" i="95"/>
  <c r="R82" i="95"/>
  <c r="L267" i="12"/>
  <c r="N267" i="12" s="1"/>
  <c r="F267" i="12"/>
  <c r="L257" i="15"/>
  <c r="F257" i="15"/>
  <c r="H122" i="27"/>
  <c r="N119" i="27"/>
  <c r="J119" i="27"/>
  <c r="H73" i="48"/>
  <c r="L73" i="48" s="1"/>
  <c r="N70" i="48"/>
  <c r="J70" i="48"/>
  <c r="X69" i="59"/>
  <c r="Z69" i="59" s="1"/>
  <c r="N102" i="77"/>
  <c r="J102" i="77"/>
  <c r="N90" i="106"/>
  <c r="J90" i="106"/>
  <c r="X36" i="28"/>
  <c r="L80" i="81"/>
  <c r="N80" i="81" s="1"/>
  <c r="F80" i="81"/>
  <c r="L36" i="8"/>
  <c r="V310" i="3"/>
  <c r="V35" i="86"/>
  <c r="P102" i="51"/>
  <c r="X99" i="51"/>
  <c r="Z99" i="51" s="1"/>
  <c r="R99" i="51"/>
  <c r="X53" i="105"/>
  <c r="Z53" i="105" s="1"/>
  <c r="P56" i="105"/>
  <c r="R53" i="105"/>
  <c r="T267" i="12"/>
  <c r="X267" i="12" s="1"/>
  <c r="Z264" i="12"/>
  <c r="V264" i="12"/>
  <c r="X36" i="83"/>
  <c r="Z36" i="83" s="1"/>
  <c r="R36" i="83"/>
  <c r="X70" i="110"/>
  <c r="Z70" i="110" s="1"/>
  <c r="P73" i="110"/>
  <c r="R70" i="110"/>
  <c r="N66" i="101"/>
  <c r="Z42" i="109"/>
  <c r="V110" i="75"/>
  <c r="J75" i="76" l="1"/>
  <c r="X125" i="24"/>
  <c r="R125" i="24"/>
  <c r="V73" i="110"/>
  <c r="V75" i="80"/>
  <c r="Z148" i="30"/>
  <c r="V148" i="30"/>
  <c r="N73" i="110"/>
  <c r="J73" i="110"/>
  <c r="L73" i="110"/>
  <c r="X102" i="77"/>
  <c r="R102" i="77"/>
  <c r="V88" i="98"/>
  <c r="X88" i="98"/>
  <c r="Z88" i="98" s="1"/>
  <c r="X257" i="15"/>
  <c r="Z257" i="15" s="1"/>
  <c r="R257" i="15"/>
  <c r="Z135" i="39"/>
  <c r="V135" i="39"/>
  <c r="L123" i="42"/>
  <c r="N123" i="42" s="1"/>
  <c r="F123" i="42"/>
  <c r="J110" i="75"/>
  <c r="N35" i="86"/>
  <c r="J35" i="86"/>
  <c r="L125" i="24"/>
  <c r="N125" i="24" s="1"/>
  <c r="F125" i="24"/>
  <c r="V123" i="42"/>
  <c r="X122" i="85"/>
  <c r="R122" i="85"/>
  <c r="X123" i="42"/>
  <c r="Z123" i="42" s="1"/>
  <c r="N257" i="15"/>
  <c r="J257" i="15"/>
  <c r="J122" i="27"/>
  <c r="X102" i="51"/>
  <c r="Z102" i="51" s="1"/>
  <c r="R102" i="51"/>
  <c r="L135" i="39"/>
  <c r="F135" i="39"/>
  <c r="J77" i="89"/>
  <c r="L77" i="89"/>
  <c r="N77" i="89" s="1"/>
  <c r="Z98" i="45"/>
  <c r="V98" i="45"/>
  <c r="X81" i="93"/>
  <c r="Z81" i="93" s="1"/>
  <c r="R81" i="93"/>
  <c r="J70" i="79"/>
  <c r="N135" i="39"/>
  <c r="J135" i="39"/>
  <c r="L70" i="79"/>
  <c r="N70" i="79" s="1"/>
  <c r="F70" i="79"/>
  <c r="N81" i="93"/>
  <c r="J81" i="93"/>
  <c r="X90" i="108"/>
  <c r="Z90" i="108" s="1"/>
  <c r="R90" i="108"/>
  <c r="X98" i="45"/>
  <c r="J125" i="24"/>
  <c r="X75" i="80"/>
  <c r="Z75" i="80" s="1"/>
  <c r="R75" i="80"/>
  <c r="J123" i="42"/>
  <c r="N283" i="18"/>
  <c r="J283" i="18"/>
  <c r="X122" i="27"/>
  <c r="Z122" i="27" s="1"/>
  <c r="R122" i="27"/>
  <c r="L114" i="69"/>
  <c r="N114" i="69" s="1"/>
  <c r="F114" i="69"/>
  <c r="N83" i="73"/>
  <c r="J83" i="73"/>
  <c r="Z66" i="101"/>
  <c r="V66" i="101"/>
  <c r="L75" i="76"/>
  <c r="N75" i="76" s="1"/>
  <c r="F75" i="76"/>
  <c r="Z122" i="85"/>
  <c r="V122" i="85"/>
  <c r="Z89" i="88"/>
  <c r="V89" i="88"/>
  <c r="X90" i="106"/>
  <c r="Z90" i="106" s="1"/>
  <c r="R90" i="106"/>
  <c r="N102" i="51"/>
  <c r="J102" i="51"/>
  <c r="N75" i="80"/>
  <c r="J75" i="80"/>
  <c r="X73" i="110"/>
  <c r="Z73" i="110" s="1"/>
  <c r="R73" i="110"/>
  <c r="N73" i="48"/>
  <c r="J73" i="48"/>
  <c r="Z88" i="104"/>
  <c r="V88" i="104"/>
  <c r="L98" i="45"/>
  <c r="N98" i="45" s="1"/>
  <c r="F98" i="45"/>
  <c r="X96" i="33"/>
  <c r="Z96" i="33" s="1"/>
  <c r="R96" i="33"/>
  <c r="X135" i="39"/>
  <c r="R135" i="39"/>
  <c r="Z125" i="24"/>
  <c r="V125" i="24"/>
  <c r="V90" i="108"/>
  <c r="Z88" i="74"/>
  <c r="V88" i="74"/>
  <c r="L122" i="27"/>
  <c r="N122" i="27" s="1"/>
  <c r="F122" i="27"/>
  <c r="L110" i="75"/>
  <c r="N110" i="75" s="1"/>
  <c r="Z129" i="36"/>
  <c r="V129" i="36"/>
  <c r="X93" i="96"/>
  <c r="Z93" i="96" s="1"/>
  <c r="R93" i="96"/>
  <c r="X56" i="105"/>
  <c r="Z56" i="105" s="1"/>
  <c r="R56" i="105"/>
  <c r="Z267" i="12"/>
  <c r="V267" i="12"/>
  <c r="Z80" i="81"/>
  <c r="V80" i="81"/>
  <c r="X80" i="81"/>
  <c r="X88" i="74"/>
  <c r="L129" i="36"/>
  <c r="N129" i="36" s="1"/>
  <c r="F129" i="36"/>
  <c r="Z102" i="77"/>
  <c r="V102" i="77"/>
  <c r="Z109" i="21"/>
  <c r="V109" i="21"/>
  <c r="X283" i="18"/>
  <c r="Z283" i="18" s="1"/>
  <c r="R283" i="18"/>
  <c r="X110" i="75"/>
  <c r="Z110" i="75" s="1"/>
  <c r="R110" i="75"/>
</calcChain>
</file>

<file path=xl/sharedStrings.xml><?xml version="1.0" encoding="utf-8"?>
<sst xmlns="http://schemas.openxmlformats.org/spreadsheetml/2006/main" count="2948" uniqueCount="314">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</sst>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167" fontId="2" fillId="0" borderId="0" xfId="3" applyNumberFormat="1" applyFont="1" applyFill="1" applyBorder="1"/>
    <xf numFmtId="168" fontId="2" fillId="2" borderId="3" xfId="2" applyNumberFormat="1" applyFont="1" applyFill="1" applyBorder="1"/>
    <xf numFmtId="168" fontId="2" fillId="2" borderId="4" xfId="2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0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167" fontId="0" fillId="0" borderId="0" xfId="3" applyNumberFormat="1" applyFont="1" applyAlignment="1">
      <alignment horizontal="centerContinuous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0" applyNumberFormat="1" applyFill="1"/>
    <xf numFmtId="167" fontId="0" fillId="0" borderId="0" xfId="3" applyNumberFormat="1" applyFont="1"/>
    <xf numFmtId="49" fontId="2" fillId="0" borderId="0" xfId="0" applyNumberFormat="1" applyFont="1" applyFill="1"/>
    <xf numFmtId="49" fontId="2" fillId="2" borderId="1" xfId="0" applyNumberFormat="1" applyFont="1" applyFill="1" applyBorder="1" applyAlignment="1">
      <alignment horizontal="center"/>
    </xf>
    <xf numFmtId="0" fontId="0" fillId="0" borderId="0" xfId="0" applyBorder="1"/>
    <xf numFmtId="0" fontId="2" fillId="0" borderId="0" xfId="0" applyFont="1" applyAlignment="1">
      <alignment horizontal="left"/>
    </xf>
    <xf numFmtId="166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/>
    <xf numFmtId="0" fontId="2" fillId="0" borderId="0" xfId="0" applyFont="1" applyFill="1" applyBorder="1"/>
    <xf numFmtId="165" fontId="0" fillId="0" borderId="0" xfId="0" applyNumberFormat="1"/>
    <xf numFmtId="0" fontId="5" fillId="0" borderId="0" xfId="0" applyFont="1" applyFill="1"/>
    <xf numFmtId="0" fontId="0" fillId="0" borderId="0" xfId="0" applyFill="1" applyAlignment="1">
      <alignment horizontal="centerContinuous"/>
    </xf>
    <xf numFmtId="164" fontId="2" fillId="0" borderId="0" xfId="1" applyNumberFormat="1" applyFont="1" applyFill="1" applyAlignment="1">
      <alignment horizontal="centerContinuous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307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307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308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308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311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311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305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305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304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304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5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301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301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302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302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303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303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309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309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312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312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15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F318" sqref="F318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295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4008767.4699999993</v>
      </c>
      <c r="E12" s="4"/>
      <c r="F12" s="12"/>
      <c r="G12" s="4"/>
      <c r="H12" s="4">
        <f>SUM(OSRRefH13x_0)</f>
        <v>4037246.4100000006</v>
      </c>
      <c r="I12" s="4"/>
      <c r="J12" s="12"/>
      <c r="K12" s="4"/>
      <c r="L12" s="4">
        <f t="shared" ref="L12:L132" si="0">+D12-H12</f>
        <v>-28478.940000001341</v>
      </c>
      <c r="M12" s="4"/>
      <c r="N12" s="12">
        <f t="shared" ref="N12:N132" si="1">IF(H12=0,0,L12/H12)</f>
        <v>-7.0540504858610641E-3</v>
      </c>
      <c r="O12" s="10"/>
      <c r="P12" s="4">
        <f>SUM(OSRRefP13x_0)</f>
        <v>9733974.3999999966</v>
      </c>
      <c r="Q12" s="4"/>
      <c r="R12" s="12"/>
      <c r="S12" s="4"/>
      <c r="T12" s="4">
        <f>SUM(OSRRefT13x_0)</f>
        <v>10036018.100000003</v>
      </c>
      <c r="U12" s="4"/>
      <c r="V12" s="12"/>
      <c r="W12" s="4"/>
      <c r="X12" s="4">
        <f t="shared" ref="X12:X132" si="2">+P12-T12</f>
        <v>-302043.70000000671</v>
      </c>
      <c r="Y12" s="4"/>
      <c r="Z12" s="12">
        <f t="shared" ref="Z12:Z132" si="3">IF(T12=0,0,X12/T12)</f>
        <v>-3.009597003417188E-2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--336733.45</f>
        <v>336733.45</v>
      </c>
      <c r="E13" s="2"/>
      <c r="F13" s="19"/>
      <c r="G13" s="2"/>
      <c r="H13" s="2">
        <f>--387172.58</f>
        <v>387172.58</v>
      </c>
      <c r="I13" s="2"/>
      <c r="J13" s="19"/>
      <c r="K13" s="2"/>
      <c r="L13" s="2">
        <f t="shared" si="0"/>
        <v>-50439.130000000005</v>
      </c>
      <c r="M13" s="2"/>
      <c r="N13" s="19">
        <f t="shared" si="1"/>
        <v>-0.13027557375059981</v>
      </c>
      <c r="O13" s="11"/>
      <c r="P13" s="2">
        <f>--1463955.42</f>
        <v>1463955.42</v>
      </c>
      <c r="Q13" s="2"/>
      <c r="R13" s="19"/>
      <c r="S13" s="2"/>
      <c r="T13" s="2">
        <f>--1790410.26</f>
        <v>1790410.26</v>
      </c>
      <c r="U13" s="2"/>
      <c r="V13" s="19"/>
      <c r="W13" s="2"/>
      <c r="X13" s="2">
        <f t="shared" si="2"/>
        <v>-326454.84000000008</v>
      </c>
      <c r="Y13" s="2"/>
      <c r="Z13" s="19">
        <f t="shared" si="3"/>
        <v>-0.1823352151701812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--101849.66</f>
        <v>101849.66</v>
      </c>
      <c r="E14" s="2"/>
      <c r="F14" s="19"/>
      <c r="G14" s="2"/>
      <c r="H14" s="2">
        <f>--112136.18</f>
        <v>112136.18</v>
      </c>
      <c r="I14" s="2"/>
      <c r="J14" s="19"/>
      <c r="K14" s="2"/>
      <c r="L14" s="2">
        <f t="shared" si="0"/>
        <v>-10286.51999999999</v>
      </c>
      <c r="M14" s="2"/>
      <c r="N14" s="19">
        <f t="shared" si="1"/>
        <v>-9.1732391811456301E-2</v>
      </c>
      <c r="O14" s="11"/>
      <c r="P14" s="2">
        <f>--657310.58</f>
        <v>657310.57999999996</v>
      </c>
      <c r="Q14" s="2"/>
      <c r="R14" s="19"/>
      <c r="S14" s="2"/>
      <c r="T14" s="2">
        <f>--729460.37</f>
        <v>729460.37</v>
      </c>
      <c r="U14" s="2"/>
      <c r="V14" s="19"/>
      <c r="W14" s="2"/>
      <c r="X14" s="2">
        <f t="shared" si="2"/>
        <v>-72149.790000000037</v>
      </c>
      <c r="Y14" s="2"/>
      <c r="Z14" s="19">
        <f t="shared" si="3"/>
        <v>-9.8908443785643951E-2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--2800.64</f>
        <v>2800.64</v>
      </c>
      <c r="E15" s="2"/>
      <c r="F15" s="19"/>
      <c r="G15" s="2"/>
      <c r="H15" s="2">
        <f>--4333.45</f>
        <v>4333.45</v>
      </c>
      <c r="I15" s="2"/>
      <c r="J15" s="19"/>
      <c r="K15" s="2"/>
      <c r="L15" s="2">
        <f t="shared" si="0"/>
        <v>-1532.81</v>
      </c>
      <c r="M15" s="2"/>
      <c r="N15" s="19">
        <f t="shared" si="1"/>
        <v>-0.35371586149603662</v>
      </c>
      <c r="O15" s="11"/>
      <c r="P15" s="2">
        <f>--15536.69</f>
        <v>15536.69</v>
      </c>
      <c r="Q15" s="2"/>
      <c r="R15" s="19"/>
      <c r="S15" s="2"/>
      <c r="T15" s="2">
        <f>--9859.25</f>
        <v>9859.25</v>
      </c>
      <c r="U15" s="2"/>
      <c r="V15" s="19"/>
      <c r="W15" s="2"/>
      <c r="X15" s="2">
        <f t="shared" si="2"/>
        <v>5677.4400000000005</v>
      </c>
      <c r="Y15" s="2"/>
      <c r="Z15" s="19">
        <f t="shared" si="3"/>
        <v>0.57584907574105537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--7290.37</f>
        <v>7290.37</v>
      </c>
      <c r="E16" s="2"/>
      <c r="F16" s="19"/>
      <c r="G16" s="2"/>
      <c r="H16" s="2">
        <f>--4736.66</f>
        <v>4736.66</v>
      </c>
      <c r="I16" s="2"/>
      <c r="J16" s="19"/>
      <c r="K16" s="2"/>
      <c r="L16" s="2">
        <f t="shared" si="0"/>
        <v>2553.71</v>
      </c>
      <c r="M16" s="2"/>
      <c r="N16" s="19">
        <f t="shared" si="1"/>
        <v>0.53913728238885628</v>
      </c>
      <c r="O16" s="11"/>
      <c r="P16" s="2">
        <f>--29700.44</f>
        <v>29700.44</v>
      </c>
      <c r="Q16" s="2"/>
      <c r="R16" s="19"/>
      <c r="S16" s="2"/>
      <c r="T16" s="2">
        <f>--42099.8</f>
        <v>42099.8</v>
      </c>
      <c r="U16" s="2"/>
      <c r="V16" s="19"/>
      <c r="W16" s="2"/>
      <c r="X16" s="2">
        <f t="shared" si="2"/>
        <v>-12399.360000000004</v>
      </c>
      <c r="Y16" s="2"/>
      <c r="Z16" s="19">
        <f t="shared" si="3"/>
        <v>-0.29452301436111344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--9.6</f>
        <v>9.6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9.6</v>
      </c>
      <c r="M17" s="2"/>
      <c r="N17" s="19">
        <f t="shared" si="1"/>
        <v>0</v>
      </c>
      <c r="O17" s="11"/>
      <c r="P17" s="2">
        <f>--9.6</f>
        <v>9.6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9.6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--29.95</f>
        <v>29.95</v>
      </c>
      <c r="E18" s="2"/>
      <c r="F18" s="19"/>
      <c r="G18" s="2"/>
      <c r="H18" s="2">
        <f>--187.31</f>
        <v>187.31</v>
      </c>
      <c r="I18" s="2"/>
      <c r="J18" s="19"/>
      <c r="K18" s="2"/>
      <c r="L18" s="2">
        <f t="shared" si="0"/>
        <v>-157.36000000000001</v>
      </c>
      <c r="M18" s="2"/>
      <c r="N18" s="19">
        <f t="shared" si="1"/>
        <v>-0.84010463936789281</v>
      </c>
      <c r="O18" s="11"/>
      <c r="P18" s="2">
        <f>--140.76</f>
        <v>140.76</v>
      </c>
      <c r="Q18" s="2"/>
      <c r="R18" s="19"/>
      <c r="S18" s="2"/>
      <c r="T18" s="2">
        <f>--1272.98</f>
        <v>1272.98</v>
      </c>
      <c r="U18" s="2"/>
      <c r="V18" s="19"/>
      <c r="W18" s="2"/>
      <c r="X18" s="2">
        <f t="shared" si="2"/>
        <v>-1132.22</v>
      </c>
      <c r="Y18" s="2"/>
      <c r="Z18" s="19">
        <f t="shared" si="3"/>
        <v>-0.88942481421546293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--97.44</f>
        <v>97.44</v>
      </c>
      <c r="E19" s="2"/>
      <c r="F19" s="19"/>
      <c r="G19" s="2"/>
      <c r="H19" s="2">
        <f>--240.36</f>
        <v>240.36</v>
      </c>
      <c r="I19" s="2"/>
      <c r="J19" s="19"/>
      <c r="K19" s="2"/>
      <c r="L19" s="2">
        <f t="shared" si="0"/>
        <v>-142.92000000000002</v>
      </c>
      <c r="M19" s="2"/>
      <c r="N19" s="19">
        <f t="shared" si="1"/>
        <v>-0.59460808786819774</v>
      </c>
      <c r="O19" s="11"/>
      <c r="P19" s="2">
        <f>--523.09</f>
        <v>523.09</v>
      </c>
      <c r="Q19" s="2"/>
      <c r="R19" s="19"/>
      <c r="S19" s="2"/>
      <c r="T19" s="2">
        <f>--587.87</f>
        <v>587.87</v>
      </c>
      <c r="U19" s="2"/>
      <c r="V19" s="19"/>
      <c r="W19" s="2"/>
      <c r="X19" s="2">
        <f t="shared" si="2"/>
        <v>-64.779999999999973</v>
      </c>
      <c r="Y19" s="2"/>
      <c r="Z19" s="19">
        <f t="shared" si="3"/>
        <v>-0.11019443074149042</v>
      </c>
    </row>
    <row r="20" spans="1:26" s="24" customFormat="1" hidden="1" outlineLevel="1" x14ac:dyDescent="0.25">
      <c r="A20" s="44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--65.39</f>
        <v>65.39</v>
      </c>
      <c r="E20" s="2"/>
      <c r="F20" s="19"/>
      <c r="G20" s="2"/>
      <c r="H20" s="2">
        <f>--8.94</f>
        <v>8.94</v>
      </c>
      <c r="I20" s="2"/>
      <c r="J20" s="19"/>
      <c r="K20" s="2"/>
      <c r="L20" s="2">
        <f t="shared" si="0"/>
        <v>56.45</v>
      </c>
      <c r="M20" s="2"/>
      <c r="N20" s="19">
        <f t="shared" si="1"/>
        <v>6.3143176733780768</v>
      </c>
      <c r="O20" s="11"/>
      <c r="P20" s="2">
        <f>--222.69</f>
        <v>222.69</v>
      </c>
      <c r="Q20" s="2"/>
      <c r="R20" s="19"/>
      <c r="S20" s="2"/>
      <c r="T20" s="2">
        <f>--609.29</f>
        <v>609.29</v>
      </c>
      <c r="U20" s="2"/>
      <c r="V20" s="19"/>
      <c r="W20" s="2"/>
      <c r="X20" s="2">
        <f t="shared" si="2"/>
        <v>-386.59999999999997</v>
      </c>
      <c r="Y20" s="2"/>
      <c r="Z20" s="19">
        <f t="shared" si="3"/>
        <v>-0.63450901869388954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--696.02</f>
        <v>696.02</v>
      </c>
      <c r="E21" s="2"/>
      <c r="F21" s="19"/>
      <c r="G21" s="2"/>
      <c r="H21" s="2">
        <f>--796.54</f>
        <v>796.54</v>
      </c>
      <c r="I21" s="2"/>
      <c r="J21" s="19"/>
      <c r="K21" s="2"/>
      <c r="L21" s="2">
        <f t="shared" si="0"/>
        <v>-100.51999999999998</v>
      </c>
      <c r="M21" s="2"/>
      <c r="N21" s="19">
        <f t="shared" si="1"/>
        <v>-0.1261957968212519</v>
      </c>
      <c r="O21" s="11"/>
      <c r="P21" s="2">
        <f>--2060.15</f>
        <v>2060.15</v>
      </c>
      <c r="Q21" s="2"/>
      <c r="R21" s="19"/>
      <c r="S21" s="2"/>
      <c r="T21" s="2">
        <f>--2826.61</f>
        <v>2826.61</v>
      </c>
      <c r="U21" s="2"/>
      <c r="V21" s="19"/>
      <c r="W21" s="2"/>
      <c r="X21" s="2">
        <f t="shared" si="2"/>
        <v>-766.46</v>
      </c>
      <c r="Y21" s="2"/>
      <c r="Z21" s="19">
        <f t="shared" si="3"/>
        <v>-0.27115873785205602</v>
      </c>
    </row>
    <row r="22" spans="1:26" s="24" customFormat="1" hidden="1" outlineLevel="1" x14ac:dyDescent="0.25">
      <c r="A22" s="44"/>
      <c r="B22" s="11" t="str">
        <f>CONCATENATE("          ", "4019", " - ", "TAXABLE SALES-BOOK RELATED")</f>
        <v xml:space="preserve">          4019 - TAXABLE SALES-BOOK RELATED</v>
      </c>
      <c r="C22" s="11"/>
      <c r="D22" s="2">
        <f>0</f>
        <v>0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--14.95</f>
        <v>14.95</v>
      </c>
      <c r="Q22" s="2"/>
      <c r="R22" s="19"/>
      <c r="S22" s="2"/>
      <c r="T22" s="2">
        <f>--39.9</f>
        <v>39.9</v>
      </c>
      <c r="U22" s="2"/>
      <c r="V22" s="19"/>
      <c r="W22" s="2"/>
      <c r="X22" s="2">
        <f t="shared" si="2"/>
        <v>-24.95</v>
      </c>
      <c r="Y22" s="2"/>
      <c r="Z22" s="19">
        <f t="shared" si="3"/>
        <v>-0.62531328320802004</v>
      </c>
    </row>
    <row r="23" spans="1:26" s="24" customFormat="1" hidden="1" outlineLevel="1" x14ac:dyDescent="0.25">
      <c r="A23" s="44"/>
      <c r="B23" s="11" t="str">
        <f>CONCATENATE("          ", "4025", " - ", "TAXABLE SALES-TEST FORMS")</f>
        <v xml:space="preserve">          4025 - TAXABLE SALES-TEST FORMS</v>
      </c>
      <c r="C23" s="11"/>
      <c r="D23" s="2">
        <f>--11837.54</f>
        <v>11837.54</v>
      </c>
      <c r="E23" s="2"/>
      <c r="F23" s="19"/>
      <c r="G23" s="2"/>
      <c r="H23" s="2">
        <f>--11411.77</f>
        <v>11411.77</v>
      </c>
      <c r="I23" s="2"/>
      <c r="J23" s="19"/>
      <c r="K23" s="2"/>
      <c r="L23" s="2">
        <f t="shared" si="0"/>
        <v>425.77000000000044</v>
      </c>
      <c r="M23" s="2"/>
      <c r="N23" s="19">
        <f t="shared" si="1"/>
        <v>3.7309724959405981E-2</v>
      </c>
      <c r="O23" s="11"/>
      <c r="P23" s="2">
        <f>--16296.07</f>
        <v>16296.07</v>
      </c>
      <c r="Q23" s="2"/>
      <c r="R23" s="19"/>
      <c r="S23" s="2"/>
      <c r="T23" s="2">
        <f>--16299.42</f>
        <v>16299.42</v>
      </c>
      <c r="U23" s="2"/>
      <c r="V23" s="19"/>
      <c r="W23" s="2"/>
      <c r="X23" s="2">
        <f t="shared" si="2"/>
        <v>-3.3500000000003638</v>
      </c>
      <c r="Y23" s="2"/>
      <c r="Z23" s="19">
        <f t="shared" si="3"/>
        <v>-2.0552878568687498E-4</v>
      </c>
    </row>
    <row r="24" spans="1:26" s="24" customFormat="1" hidden="1" outlineLevel="1" x14ac:dyDescent="0.25">
      <c r="A24" s="44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>--11722.76</f>
        <v>11722.76</v>
      </c>
      <c r="E24" s="2"/>
      <c r="F24" s="19"/>
      <c r="G24" s="2"/>
      <c r="H24" s="2">
        <f>--10857.34</f>
        <v>10857.34</v>
      </c>
      <c r="I24" s="2"/>
      <c r="J24" s="19"/>
      <c r="K24" s="2"/>
      <c r="L24" s="2">
        <f t="shared" si="0"/>
        <v>865.42000000000007</v>
      </c>
      <c r="M24" s="2"/>
      <c r="N24" s="19">
        <f t="shared" si="1"/>
        <v>7.9708289507374741E-2</v>
      </c>
      <c r="O24" s="11"/>
      <c r="P24" s="2">
        <f>--24499.3</f>
        <v>24499.3</v>
      </c>
      <c r="Q24" s="2"/>
      <c r="R24" s="19"/>
      <c r="S24" s="2"/>
      <c r="T24" s="2">
        <f>--23460.2</f>
        <v>23460.2</v>
      </c>
      <c r="U24" s="2"/>
      <c r="V24" s="19"/>
      <c r="W24" s="2"/>
      <c r="X24" s="2">
        <f t="shared" si="2"/>
        <v>1039.0999999999985</v>
      </c>
      <c r="Y24" s="2"/>
      <c r="Z24" s="19">
        <f t="shared" si="3"/>
        <v>4.4292035021014253E-2</v>
      </c>
    </row>
    <row r="25" spans="1:26" s="24" customFormat="1" hidden="1" outlineLevel="1" x14ac:dyDescent="0.25">
      <c r="A25" s="44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--44221.34</f>
        <v>44221.34</v>
      </c>
      <c r="E25" s="2"/>
      <c r="F25" s="19"/>
      <c r="G25" s="2"/>
      <c r="H25" s="2">
        <f>--41690.67</f>
        <v>41690.67</v>
      </c>
      <c r="I25" s="2"/>
      <c r="J25" s="19"/>
      <c r="K25" s="2"/>
      <c r="L25" s="2">
        <f t="shared" si="0"/>
        <v>2530.6699999999983</v>
      </c>
      <c r="M25" s="2"/>
      <c r="N25" s="19">
        <f t="shared" si="1"/>
        <v>6.070111130380007E-2</v>
      </c>
      <c r="O25" s="11"/>
      <c r="P25" s="2">
        <f>--123320.59</f>
        <v>123320.59</v>
      </c>
      <c r="Q25" s="2"/>
      <c r="R25" s="19"/>
      <c r="S25" s="2"/>
      <c r="T25" s="2">
        <f>--114994.05</f>
        <v>114994.05</v>
      </c>
      <c r="U25" s="2"/>
      <c r="V25" s="19"/>
      <c r="W25" s="2"/>
      <c r="X25" s="2">
        <f t="shared" si="2"/>
        <v>8326.5399999999936</v>
      </c>
      <c r="Y25" s="2"/>
      <c r="Z25" s="19">
        <f t="shared" si="3"/>
        <v>7.2408442001999182E-2</v>
      </c>
    </row>
    <row r="26" spans="1:26" s="24" customFormat="1" hidden="1" outlineLevel="1" x14ac:dyDescent="0.25">
      <c r="A26" s="44"/>
      <c r="B26" s="11" t="str">
        <f>CONCATENATE("          ", "4028", " - ", "TAXABLE SALES-ART/TECH")</f>
        <v xml:space="preserve">          4028 - TAXABLE SALES-ART/TECH</v>
      </c>
      <c r="C26" s="11"/>
      <c r="D26" s="2">
        <f>--51812.13</f>
        <v>51812.13</v>
      </c>
      <c r="E26" s="2"/>
      <c r="F26" s="19"/>
      <c r="G26" s="2"/>
      <c r="H26" s="2">
        <f>--51988.15</f>
        <v>51988.15</v>
      </c>
      <c r="I26" s="2"/>
      <c r="J26" s="19"/>
      <c r="K26" s="2"/>
      <c r="L26" s="2">
        <f t="shared" si="0"/>
        <v>-176.02000000000407</v>
      </c>
      <c r="M26" s="2"/>
      <c r="N26" s="19">
        <f t="shared" si="1"/>
        <v>-3.3857715652510058E-3</v>
      </c>
      <c r="O26" s="11"/>
      <c r="P26" s="2">
        <f>--100727.68</f>
        <v>100727.67999999999</v>
      </c>
      <c r="Q26" s="2"/>
      <c r="R26" s="19"/>
      <c r="S26" s="2"/>
      <c r="T26" s="2">
        <f>--99687.8</f>
        <v>99687.8</v>
      </c>
      <c r="U26" s="2"/>
      <c r="V26" s="19"/>
      <c r="W26" s="2"/>
      <c r="X26" s="2">
        <f t="shared" si="2"/>
        <v>1039.8799999999901</v>
      </c>
      <c r="Y26" s="2"/>
      <c r="Z26" s="19">
        <f t="shared" si="3"/>
        <v>1.0431366726921349E-2</v>
      </c>
    </row>
    <row r="27" spans="1:26" s="24" customFormat="1" hidden="1" outlineLevel="1" x14ac:dyDescent="0.25">
      <c r="A27" s="44"/>
      <c r="B27" s="11" t="str">
        <f>CONCATENATE("          ", "4031", " - ", "TAXABLE SALES-FOOD")</f>
        <v xml:space="preserve">          4031 - TAXABLE SALES-FOOD</v>
      </c>
      <c r="C27" s="11"/>
      <c r="D27" s="2">
        <f>--88.48</f>
        <v>88.48</v>
      </c>
      <c r="E27" s="2"/>
      <c r="F27" s="19"/>
      <c r="G27" s="2"/>
      <c r="H27" s="2">
        <f>--70.12</f>
        <v>70.12</v>
      </c>
      <c r="I27" s="2"/>
      <c r="J27" s="19"/>
      <c r="K27" s="2"/>
      <c r="L27" s="2">
        <f t="shared" si="0"/>
        <v>18.36</v>
      </c>
      <c r="M27" s="2"/>
      <c r="N27" s="19">
        <f t="shared" si="1"/>
        <v>0.26183685111237875</v>
      </c>
      <c r="O27" s="11"/>
      <c r="P27" s="2">
        <f>--120.82</f>
        <v>120.82</v>
      </c>
      <c r="Q27" s="2"/>
      <c r="R27" s="19"/>
      <c r="S27" s="2"/>
      <c r="T27" s="2">
        <f>--115.06</f>
        <v>115.06</v>
      </c>
      <c r="U27" s="2"/>
      <c r="V27" s="19"/>
      <c r="W27" s="2"/>
      <c r="X27" s="2">
        <f t="shared" si="2"/>
        <v>5.7599999999999909</v>
      </c>
      <c r="Y27" s="2"/>
      <c r="Z27" s="19">
        <f t="shared" si="3"/>
        <v>5.0060837823744056E-2</v>
      </c>
    </row>
    <row r="28" spans="1:26" s="24" customFormat="1" hidden="1" outlineLevel="1" x14ac:dyDescent="0.25">
      <c r="A28" s="44"/>
      <c r="B28" s="11" t="str">
        <f>CONCATENATE("          ", "4032", " - ", "TAXABLE SALES-JUICE")</f>
        <v xml:space="preserve">          4032 - TAXABLE SALES-JUICE</v>
      </c>
      <c r="C28" s="11"/>
      <c r="D28" s="2">
        <f>--47924.5</f>
        <v>47924.5</v>
      </c>
      <c r="E28" s="2"/>
      <c r="F28" s="19"/>
      <c r="G28" s="2"/>
      <c r="H28" s="2">
        <f>--50382.09</f>
        <v>50382.09</v>
      </c>
      <c r="I28" s="2"/>
      <c r="J28" s="19"/>
      <c r="K28" s="2"/>
      <c r="L28" s="2">
        <f t="shared" si="0"/>
        <v>-2457.5899999999965</v>
      </c>
      <c r="M28" s="2"/>
      <c r="N28" s="19">
        <f t="shared" si="1"/>
        <v>-4.8779040329609127E-2</v>
      </c>
      <c r="O28" s="11"/>
      <c r="P28" s="2">
        <f>--72677.69</f>
        <v>72677.69</v>
      </c>
      <c r="Q28" s="2"/>
      <c r="R28" s="19"/>
      <c r="S28" s="2"/>
      <c r="T28" s="2">
        <f>--76597.27</f>
        <v>76597.27</v>
      </c>
      <c r="U28" s="2"/>
      <c r="V28" s="19"/>
      <c r="W28" s="2"/>
      <c r="X28" s="2">
        <f t="shared" si="2"/>
        <v>-3919.5800000000017</v>
      </c>
      <c r="Y28" s="2"/>
      <c r="Z28" s="19">
        <f t="shared" si="3"/>
        <v>-5.117127542535134E-2</v>
      </c>
    </row>
    <row r="29" spans="1:26" s="24" customFormat="1" hidden="1" outlineLevel="1" x14ac:dyDescent="0.25">
      <c r="A29" s="44"/>
      <c r="B29" s="11" t="str">
        <f>CONCATENATE("          ", "4033", " - ", "TAXABLE SALES-CANDY")</f>
        <v xml:space="preserve">          4033 - TAXABLE SALES-CANDY</v>
      </c>
      <c r="C29" s="11"/>
      <c r="D29" s="2">
        <f>--27.97</f>
        <v>27.97</v>
      </c>
      <c r="E29" s="2"/>
      <c r="F29" s="19"/>
      <c r="G29" s="2"/>
      <c r="H29" s="2">
        <f>--26.81</f>
        <v>26.81</v>
      </c>
      <c r="I29" s="2"/>
      <c r="J29" s="19"/>
      <c r="K29" s="2"/>
      <c r="L29" s="2">
        <f t="shared" si="0"/>
        <v>1.1600000000000001</v>
      </c>
      <c r="M29" s="2"/>
      <c r="N29" s="19">
        <f t="shared" si="1"/>
        <v>4.3267437523312205E-2</v>
      </c>
      <c r="O29" s="11"/>
      <c r="P29" s="2">
        <f>--40.97</f>
        <v>40.97</v>
      </c>
      <c r="Q29" s="2"/>
      <c r="R29" s="19"/>
      <c r="S29" s="2"/>
      <c r="T29" s="2">
        <f>--29.85</f>
        <v>29.85</v>
      </c>
      <c r="U29" s="2"/>
      <c r="V29" s="19"/>
      <c r="W29" s="2"/>
      <c r="X29" s="2">
        <f t="shared" si="2"/>
        <v>11.119999999999997</v>
      </c>
      <c r="Y29" s="2"/>
      <c r="Z29" s="19">
        <f t="shared" si="3"/>
        <v>0.37252931323283073</v>
      </c>
    </row>
    <row r="30" spans="1:26" s="24" customFormat="1" hidden="1" outlineLevel="1" x14ac:dyDescent="0.25">
      <c r="A30" s="44"/>
      <c r="B30" s="11" t="str">
        <f>CONCATENATE("          ", "4034", " - ", "TAXABLE SALES-SODA")</f>
        <v xml:space="preserve">          4034 - TAXABLE SALES-SODA</v>
      </c>
      <c r="C30" s="11"/>
      <c r="D30" s="2">
        <f>--2047.94</f>
        <v>2047.94</v>
      </c>
      <c r="E30" s="2"/>
      <c r="F30" s="19"/>
      <c r="G30" s="2"/>
      <c r="H30" s="2">
        <f>--1259.39</f>
        <v>1259.3900000000001</v>
      </c>
      <c r="I30" s="2"/>
      <c r="J30" s="19"/>
      <c r="K30" s="2"/>
      <c r="L30" s="2">
        <f t="shared" si="0"/>
        <v>788.55</v>
      </c>
      <c r="M30" s="2"/>
      <c r="N30" s="19">
        <f t="shared" si="1"/>
        <v>0.62613646289076452</v>
      </c>
      <c r="O30" s="11"/>
      <c r="P30" s="2">
        <f>--3009.88</f>
        <v>3009.88</v>
      </c>
      <c r="Q30" s="2"/>
      <c r="R30" s="19"/>
      <c r="S30" s="2"/>
      <c r="T30" s="2">
        <f>--2155.18</f>
        <v>2155.1799999999998</v>
      </c>
      <c r="U30" s="2"/>
      <c r="V30" s="19"/>
      <c r="W30" s="2"/>
      <c r="X30" s="2">
        <f t="shared" si="2"/>
        <v>854.70000000000027</v>
      </c>
      <c r="Y30" s="2"/>
      <c r="Z30" s="19">
        <f t="shared" si="3"/>
        <v>0.39657940404049791</v>
      </c>
    </row>
    <row r="31" spans="1:26" s="24" customFormat="1" hidden="1" outlineLevel="1" x14ac:dyDescent="0.25">
      <c r="A31" s="44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>--339.98</f>
        <v>339.98</v>
      </c>
      <c r="E31" s="2"/>
      <c r="F31" s="19"/>
      <c r="G31" s="2"/>
      <c r="H31" s="2">
        <f>--481.21</f>
        <v>481.21</v>
      </c>
      <c r="I31" s="2"/>
      <c r="J31" s="19"/>
      <c r="K31" s="2"/>
      <c r="L31" s="2">
        <f t="shared" si="0"/>
        <v>-141.22999999999996</v>
      </c>
      <c r="M31" s="2"/>
      <c r="N31" s="19">
        <f t="shared" si="1"/>
        <v>-0.29348932898318814</v>
      </c>
      <c r="O31" s="11"/>
      <c r="P31" s="2">
        <f>--438.43</f>
        <v>438.43</v>
      </c>
      <c r="Q31" s="2"/>
      <c r="R31" s="19"/>
      <c r="S31" s="2"/>
      <c r="T31" s="2">
        <f>--626.84</f>
        <v>626.84</v>
      </c>
      <c r="U31" s="2"/>
      <c r="V31" s="19"/>
      <c r="W31" s="2"/>
      <c r="X31" s="2">
        <f t="shared" si="2"/>
        <v>-188.41000000000003</v>
      </c>
      <c r="Y31" s="2"/>
      <c r="Z31" s="19">
        <f t="shared" si="3"/>
        <v>-0.30057111862676283</v>
      </c>
    </row>
    <row r="32" spans="1:26" s="24" customFormat="1" hidden="1" outlineLevel="1" x14ac:dyDescent="0.25">
      <c r="A32" s="44"/>
      <c r="B32" s="11" t="str">
        <f>CONCATENATE("          ", "4037", " - ", "TAXABLE SALES-WATER")</f>
        <v xml:space="preserve">          4037 - TAXABLE SALES-WATER</v>
      </c>
      <c r="C32" s="11"/>
      <c r="D32" s="2">
        <f>--131.98</f>
        <v>131.97999999999999</v>
      </c>
      <c r="E32" s="2"/>
      <c r="F32" s="19"/>
      <c r="G32" s="2"/>
      <c r="H32" s="2">
        <f>--123.97</f>
        <v>123.97</v>
      </c>
      <c r="I32" s="2"/>
      <c r="J32" s="19"/>
      <c r="K32" s="2"/>
      <c r="L32" s="2">
        <f t="shared" si="0"/>
        <v>8.0099999999999909</v>
      </c>
      <c r="M32" s="2"/>
      <c r="N32" s="19">
        <f t="shared" si="1"/>
        <v>6.4612406227312985E-2</v>
      </c>
      <c r="O32" s="11"/>
      <c r="P32" s="2">
        <f>--174.15</f>
        <v>174.15</v>
      </c>
      <c r="Q32" s="2"/>
      <c r="R32" s="19"/>
      <c r="S32" s="2"/>
      <c r="T32" s="2">
        <f>--157.24</f>
        <v>157.24</v>
      </c>
      <c r="U32" s="2"/>
      <c r="V32" s="19"/>
      <c r="W32" s="2"/>
      <c r="X32" s="2">
        <f t="shared" si="2"/>
        <v>16.909999999999997</v>
      </c>
      <c r="Y32" s="2"/>
      <c r="Z32" s="19">
        <f t="shared" si="3"/>
        <v>0.10754261002289491</v>
      </c>
    </row>
    <row r="33" spans="1:26" s="24" customFormat="1" hidden="1" outlineLevel="1" x14ac:dyDescent="0.25">
      <c r="A33" s="44"/>
      <c r="B33" s="11" t="str">
        <f>CONCATENATE("          ", "4040", " - ", "TAXABLE SALES-LOGO CLOTHING")</f>
        <v xml:space="preserve">          4040 - TAXABLE SALES-LOGO CLOTHING</v>
      </c>
      <c r="C33" s="11"/>
      <c r="D33" s="2">
        <f>--243145.84</f>
        <v>243145.84</v>
      </c>
      <c r="E33" s="2"/>
      <c r="F33" s="19"/>
      <c r="G33" s="2"/>
      <c r="H33" s="2">
        <f>--213321</f>
        <v>213321</v>
      </c>
      <c r="I33" s="2"/>
      <c r="J33" s="19"/>
      <c r="K33" s="2"/>
      <c r="L33" s="2">
        <f t="shared" si="0"/>
        <v>29824.839999999997</v>
      </c>
      <c r="M33" s="2"/>
      <c r="N33" s="19">
        <f t="shared" si="1"/>
        <v>0.13981202038242835</v>
      </c>
      <c r="O33" s="11"/>
      <c r="P33" s="2">
        <f>--632899.52</f>
        <v>632899.52</v>
      </c>
      <c r="Q33" s="2"/>
      <c r="R33" s="19"/>
      <c r="S33" s="2"/>
      <c r="T33" s="2">
        <f>--543157.35</f>
        <v>543157.35</v>
      </c>
      <c r="U33" s="2"/>
      <c r="V33" s="19"/>
      <c r="W33" s="2"/>
      <c r="X33" s="2">
        <f t="shared" si="2"/>
        <v>89742.170000000042</v>
      </c>
      <c r="Y33" s="2"/>
      <c r="Z33" s="19">
        <f t="shared" si="3"/>
        <v>0.16522315310655383</v>
      </c>
    </row>
    <row r="34" spans="1:26" s="24" customFormat="1" hidden="1" outlineLevel="1" x14ac:dyDescent="0.25">
      <c r="A34" s="44"/>
      <c r="B34" s="11" t="str">
        <f>CONCATENATE("          ", "4041", " - ", "TAXABLE SALES-LOGO GIFTS")</f>
        <v xml:space="preserve">          4041 - TAXABLE SALES-LOGO GIFTS</v>
      </c>
      <c r="C34" s="11"/>
      <c r="D34" s="2">
        <f>--49940.2</f>
        <v>49940.2</v>
      </c>
      <c r="E34" s="2"/>
      <c r="F34" s="19"/>
      <c r="G34" s="2"/>
      <c r="H34" s="2">
        <f>--57168.91</f>
        <v>57168.91</v>
      </c>
      <c r="I34" s="2"/>
      <c r="J34" s="19"/>
      <c r="K34" s="2"/>
      <c r="L34" s="2">
        <f t="shared" si="0"/>
        <v>-7228.7100000000064</v>
      </c>
      <c r="M34" s="2"/>
      <c r="N34" s="19">
        <f t="shared" si="1"/>
        <v>-0.12644477566565474</v>
      </c>
      <c r="O34" s="11"/>
      <c r="P34" s="2">
        <f>--201632.61</f>
        <v>201632.61</v>
      </c>
      <c r="Q34" s="2"/>
      <c r="R34" s="19"/>
      <c r="S34" s="2"/>
      <c r="T34" s="2">
        <f>--206952.26</f>
        <v>206952.26</v>
      </c>
      <c r="U34" s="2"/>
      <c r="V34" s="19"/>
      <c r="W34" s="2"/>
      <c r="X34" s="2">
        <f t="shared" si="2"/>
        <v>-5319.6500000000233</v>
      </c>
      <c r="Y34" s="2"/>
      <c r="Z34" s="19">
        <f t="shared" si="3"/>
        <v>-2.5704720499307537E-2</v>
      </c>
    </row>
    <row r="35" spans="1:26" s="24" customFormat="1" hidden="1" outlineLevel="1" x14ac:dyDescent="0.25">
      <c r="A35" s="44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--35079.3</f>
        <v>35079.300000000003</v>
      </c>
      <c r="E35" s="2"/>
      <c r="F35" s="19"/>
      <c r="G35" s="2"/>
      <c r="H35" s="2">
        <f>--29444.47</f>
        <v>29444.47</v>
      </c>
      <c r="I35" s="2"/>
      <c r="J35" s="19"/>
      <c r="K35" s="2"/>
      <c r="L35" s="2">
        <f t="shared" si="0"/>
        <v>5634.8300000000017</v>
      </c>
      <c r="M35" s="2"/>
      <c r="N35" s="19">
        <f t="shared" si="1"/>
        <v>0.19137141880971204</v>
      </c>
      <c r="O35" s="11"/>
      <c r="P35" s="2">
        <f>--95118.27</f>
        <v>95118.27</v>
      </c>
      <c r="Q35" s="2"/>
      <c r="R35" s="19"/>
      <c r="S35" s="2"/>
      <c r="T35" s="2">
        <f>--72510.46</f>
        <v>72510.460000000006</v>
      </c>
      <c r="U35" s="2"/>
      <c r="V35" s="19"/>
      <c r="W35" s="2"/>
      <c r="X35" s="2">
        <f t="shared" si="2"/>
        <v>22607.809999999998</v>
      </c>
      <c r="Y35" s="2"/>
      <c r="Z35" s="19">
        <f t="shared" si="3"/>
        <v>0.31178687874825228</v>
      </c>
    </row>
    <row r="36" spans="1:26" s="24" customFormat="1" hidden="1" outlineLevel="1" x14ac:dyDescent="0.25">
      <c r="A36" s="44"/>
      <c r="B36" s="11" t="str">
        <f>CONCATENATE("          ", "4043", " - ", "TAXABLE SALES-CARDS")</f>
        <v xml:space="preserve">          4043 - TAXABLE SALES-CARDS</v>
      </c>
      <c r="C36" s="11"/>
      <c r="D36" s="2">
        <f>--272.36</f>
        <v>272.36</v>
      </c>
      <c r="E36" s="2"/>
      <c r="F36" s="19"/>
      <c r="G36" s="2"/>
      <c r="H36" s="2">
        <f>--402.42</f>
        <v>402.42</v>
      </c>
      <c r="I36" s="2"/>
      <c r="J36" s="19"/>
      <c r="K36" s="2"/>
      <c r="L36" s="2">
        <f t="shared" si="0"/>
        <v>-130.06</v>
      </c>
      <c r="M36" s="2"/>
      <c r="N36" s="19">
        <f t="shared" si="1"/>
        <v>-0.32319467223299042</v>
      </c>
      <c r="O36" s="11"/>
      <c r="P36" s="2">
        <f>--457.81</f>
        <v>457.81</v>
      </c>
      <c r="Q36" s="2"/>
      <c r="R36" s="19"/>
      <c r="S36" s="2"/>
      <c r="T36" s="2">
        <f>--815.9</f>
        <v>815.9</v>
      </c>
      <c r="U36" s="2"/>
      <c r="V36" s="19"/>
      <c r="W36" s="2"/>
      <c r="X36" s="2">
        <f t="shared" si="2"/>
        <v>-358.09</v>
      </c>
      <c r="Y36" s="2"/>
      <c r="Z36" s="19">
        <f t="shared" si="3"/>
        <v>-0.43888956980022059</v>
      </c>
    </row>
    <row r="37" spans="1:26" s="24" customFormat="1" hidden="1" outlineLevel="1" x14ac:dyDescent="0.25">
      <c r="A37" s="44"/>
      <c r="B37" s="11" t="str">
        <f>CONCATENATE("          ", "4044", " - ", "TAXABLE SALES-ACCESSORIES")</f>
        <v xml:space="preserve">          4044 - TAXABLE SALES-ACCESSORIES</v>
      </c>
      <c r="C37" s="11"/>
      <c r="D37" s="2">
        <f>--6451.34</f>
        <v>6451.34</v>
      </c>
      <c r="E37" s="2"/>
      <c r="F37" s="19"/>
      <c r="G37" s="2"/>
      <c r="H37" s="2">
        <f>--7404.65</f>
        <v>7404.65</v>
      </c>
      <c r="I37" s="2"/>
      <c r="J37" s="19"/>
      <c r="K37" s="2"/>
      <c r="L37" s="2">
        <f t="shared" si="0"/>
        <v>-953.30999999999949</v>
      </c>
      <c r="M37" s="2"/>
      <c r="N37" s="19">
        <f t="shared" si="1"/>
        <v>-0.12874477524258399</v>
      </c>
      <c r="O37" s="11"/>
      <c r="P37" s="2">
        <f>--28228.41</f>
        <v>28228.41</v>
      </c>
      <c r="Q37" s="2"/>
      <c r="R37" s="19"/>
      <c r="S37" s="2"/>
      <c r="T37" s="2">
        <f>--30810.43</f>
        <v>30810.43</v>
      </c>
      <c r="U37" s="2"/>
      <c r="V37" s="19"/>
      <c r="W37" s="2"/>
      <c r="X37" s="2">
        <f t="shared" si="2"/>
        <v>-2582.0200000000004</v>
      </c>
      <c r="Y37" s="2"/>
      <c r="Z37" s="19">
        <f t="shared" si="3"/>
        <v>-8.3803439289876852E-2</v>
      </c>
    </row>
    <row r="38" spans="1:26" s="24" customFormat="1" hidden="1" outlineLevel="1" x14ac:dyDescent="0.25">
      <c r="A38" s="44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--5803.07</f>
        <v>5803.07</v>
      </c>
      <c r="E38" s="2"/>
      <c r="F38" s="19"/>
      <c r="G38" s="2"/>
      <c r="H38" s="2">
        <f>--5627.36</f>
        <v>5627.36</v>
      </c>
      <c r="I38" s="2"/>
      <c r="J38" s="19"/>
      <c r="K38" s="2"/>
      <c r="L38" s="2">
        <f t="shared" si="0"/>
        <v>175.71000000000004</v>
      </c>
      <c r="M38" s="2"/>
      <c r="N38" s="19">
        <f t="shared" si="1"/>
        <v>3.1224233032896429E-2</v>
      </c>
      <c r="O38" s="11"/>
      <c r="P38" s="2">
        <f>--31327.11</f>
        <v>31327.11</v>
      </c>
      <c r="Q38" s="2"/>
      <c r="R38" s="19"/>
      <c r="S38" s="2"/>
      <c r="T38" s="2">
        <f>--48586.84</f>
        <v>48586.84</v>
      </c>
      <c r="U38" s="2"/>
      <c r="V38" s="19"/>
      <c r="W38" s="2"/>
      <c r="X38" s="2">
        <f t="shared" si="2"/>
        <v>-17259.729999999996</v>
      </c>
      <c r="Y38" s="2"/>
      <c r="Z38" s="19">
        <f t="shared" si="3"/>
        <v>-0.35523466848224738</v>
      </c>
    </row>
    <row r="39" spans="1:26" s="24" customFormat="1" hidden="1" outlineLevel="1" x14ac:dyDescent="0.25">
      <c r="A39" s="44"/>
      <c r="B39" s="11" t="str">
        <f>CONCATENATE("          ", "4047", " - ", "TAXABLE SALES-MISC")</f>
        <v xml:space="preserve">          4047 - TAXABLE SALES-MISC</v>
      </c>
      <c r="C39" s="11"/>
      <c r="D39" s="2">
        <f>--488.97</f>
        <v>488.97</v>
      </c>
      <c r="E39" s="2"/>
      <c r="F39" s="19"/>
      <c r="G39" s="2"/>
      <c r="H39" s="2">
        <f>--300.22</f>
        <v>300.22000000000003</v>
      </c>
      <c r="I39" s="2"/>
      <c r="J39" s="19"/>
      <c r="K39" s="2"/>
      <c r="L39" s="2">
        <f t="shared" si="0"/>
        <v>188.75</v>
      </c>
      <c r="M39" s="2"/>
      <c r="N39" s="19">
        <f t="shared" si="1"/>
        <v>0.62870561588168672</v>
      </c>
      <c r="O39" s="11"/>
      <c r="P39" s="2">
        <f>--971.35</f>
        <v>971.35</v>
      </c>
      <c r="Q39" s="2"/>
      <c r="R39" s="19"/>
      <c r="S39" s="2"/>
      <c r="T39" s="2">
        <f>--649.51</f>
        <v>649.51</v>
      </c>
      <c r="U39" s="2"/>
      <c r="V39" s="19"/>
      <c r="W39" s="2"/>
      <c r="X39" s="2">
        <f t="shared" si="2"/>
        <v>321.84000000000003</v>
      </c>
      <c r="Y39" s="2"/>
      <c r="Z39" s="19">
        <f t="shared" si="3"/>
        <v>0.49551200135486756</v>
      </c>
    </row>
    <row r="40" spans="1:26" s="24" customFormat="1" hidden="1" outlineLevel="1" x14ac:dyDescent="0.25">
      <c r="A40" s="44"/>
      <c r="B40" s="11" t="str">
        <f>CONCATENATE("          ", "4051", " - ", "TAXABLE SALES-FOOD")</f>
        <v xml:space="preserve">          4051 - TAXABLE SALES-FOOD</v>
      </c>
      <c r="C40" s="11"/>
      <c r="D40" s="2">
        <f>--110327</f>
        <v>110327</v>
      </c>
      <c r="E40" s="2"/>
      <c r="F40" s="19"/>
      <c r="G40" s="2"/>
      <c r="H40" s="2">
        <f>--111998.44</f>
        <v>111998.44</v>
      </c>
      <c r="I40" s="2"/>
      <c r="J40" s="19"/>
      <c r="K40" s="2"/>
      <c r="L40" s="2">
        <f t="shared" si="0"/>
        <v>-1671.4400000000023</v>
      </c>
      <c r="M40" s="2"/>
      <c r="N40" s="19">
        <f t="shared" si="1"/>
        <v>-1.492377929549735E-2</v>
      </c>
      <c r="O40" s="11"/>
      <c r="P40" s="2">
        <f>--174689.63</f>
        <v>174689.63</v>
      </c>
      <c r="Q40" s="2"/>
      <c r="R40" s="19"/>
      <c r="S40" s="2"/>
      <c r="T40" s="2">
        <f>--181384.29</f>
        <v>181384.29</v>
      </c>
      <c r="U40" s="2"/>
      <c r="V40" s="19"/>
      <c r="W40" s="2"/>
      <c r="X40" s="2">
        <f t="shared" si="2"/>
        <v>-6694.6600000000035</v>
      </c>
      <c r="Y40" s="2"/>
      <c r="Z40" s="19">
        <f t="shared" si="3"/>
        <v>-3.6908709128006638E-2</v>
      </c>
    </row>
    <row r="41" spans="1:26" s="24" customFormat="1" hidden="1" outlineLevel="1" x14ac:dyDescent="0.25">
      <c r="A41" s="44"/>
      <c r="B41" s="11" t="str">
        <f>CONCATENATE("          ", "4052", " - ", "TAXABLE SALES-FOOD")</f>
        <v xml:space="preserve">          4052 - TAXABLE SALES-FOOD</v>
      </c>
      <c r="C41" s="11"/>
      <c r="D41" s="2">
        <f>--113975.81</f>
        <v>113975.81</v>
      </c>
      <c r="E41" s="2"/>
      <c r="F41" s="19"/>
      <c r="G41" s="2"/>
      <c r="H41" s="2">
        <f>--128269.55</f>
        <v>128269.55</v>
      </c>
      <c r="I41" s="2"/>
      <c r="J41" s="19"/>
      <c r="K41" s="2"/>
      <c r="L41" s="2">
        <f t="shared" si="0"/>
        <v>-14293.740000000005</v>
      </c>
      <c r="M41" s="2"/>
      <c r="N41" s="19">
        <f t="shared" si="1"/>
        <v>-0.11143517693794049</v>
      </c>
      <c r="O41" s="11"/>
      <c r="P41" s="2">
        <f>--253506.01</f>
        <v>253506.01</v>
      </c>
      <c r="Q41" s="2"/>
      <c r="R41" s="19"/>
      <c r="S41" s="2"/>
      <c r="T41" s="2">
        <f>--318104.17</f>
        <v>318104.17</v>
      </c>
      <c r="U41" s="2"/>
      <c r="V41" s="19"/>
      <c r="W41" s="2"/>
      <c r="X41" s="2">
        <f t="shared" si="2"/>
        <v>-64598.159999999974</v>
      </c>
      <c r="Y41" s="2"/>
      <c r="Z41" s="19">
        <f t="shared" si="3"/>
        <v>-0.20307234576648264</v>
      </c>
    </row>
    <row r="42" spans="1:26" s="24" customFormat="1" hidden="1" outlineLevel="1" x14ac:dyDescent="0.25">
      <c r="A42" s="44"/>
      <c r="B42" s="11" t="str">
        <f>CONCATENATE("          ", "4053", " - ", "TAXABLE SALES-FOOD")</f>
        <v xml:space="preserve">          4053 - TAXABLE SALES-FOOD</v>
      </c>
      <c r="C42" s="11"/>
      <c r="D42" s="2">
        <f>--3885.3</f>
        <v>3885.3</v>
      </c>
      <c r="E42" s="2"/>
      <c r="F42" s="19"/>
      <c r="G42" s="2"/>
      <c r="H42" s="2">
        <f>--5311.61</f>
        <v>5311.61</v>
      </c>
      <c r="I42" s="2"/>
      <c r="J42" s="19"/>
      <c r="K42" s="2"/>
      <c r="L42" s="2">
        <f t="shared" si="0"/>
        <v>-1426.3099999999995</v>
      </c>
      <c r="M42" s="2"/>
      <c r="N42" s="19">
        <f t="shared" si="1"/>
        <v>-0.26852686850126412</v>
      </c>
      <c r="O42" s="11"/>
      <c r="P42" s="2">
        <f>--50166.43</f>
        <v>50166.43</v>
      </c>
      <c r="Q42" s="2"/>
      <c r="R42" s="19"/>
      <c r="S42" s="2"/>
      <c r="T42" s="2">
        <f>--40976.49</f>
        <v>40976.49</v>
      </c>
      <c r="U42" s="2"/>
      <c r="V42" s="19"/>
      <c r="W42" s="2"/>
      <c r="X42" s="2">
        <f t="shared" si="2"/>
        <v>9189.9400000000023</v>
      </c>
      <c r="Y42" s="2"/>
      <c r="Z42" s="19">
        <f t="shared" si="3"/>
        <v>0.22427347974411677</v>
      </c>
    </row>
    <row r="43" spans="1:26" s="24" customFormat="1" hidden="1" outlineLevel="1" x14ac:dyDescent="0.25">
      <c r="A43" s="44"/>
      <c r="B43" s="11" t="str">
        <f>CONCATENATE("          ", "4055", " - ", "TAXABLE SALES-FOOD")</f>
        <v xml:space="preserve">          4055 - TAXABLE SALES-FOOD</v>
      </c>
      <c r="C43" s="11"/>
      <c r="D43" s="2">
        <f>--67132.28</f>
        <v>67132.28</v>
      </c>
      <c r="E43" s="2"/>
      <c r="F43" s="19"/>
      <c r="G43" s="2"/>
      <c r="H43" s="2">
        <f>--76282.99</f>
        <v>76282.990000000005</v>
      </c>
      <c r="I43" s="2"/>
      <c r="J43" s="19"/>
      <c r="K43" s="2"/>
      <c r="L43" s="2">
        <f t="shared" si="0"/>
        <v>-9150.7100000000064</v>
      </c>
      <c r="M43" s="2"/>
      <c r="N43" s="19">
        <f t="shared" si="1"/>
        <v>-0.1199574112131683</v>
      </c>
      <c r="O43" s="11"/>
      <c r="P43" s="2">
        <f>--111115</f>
        <v>111115</v>
      </c>
      <c r="Q43" s="2"/>
      <c r="R43" s="19"/>
      <c r="S43" s="2"/>
      <c r="T43" s="2">
        <f>--126483.4</f>
        <v>126483.4</v>
      </c>
      <c r="U43" s="2"/>
      <c r="V43" s="19"/>
      <c r="W43" s="2"/>
      <c r="X43" s="2">
        <f t="shared" si="2"/>
        <v>-15368.399999999994</v>
      </c>
      <c r="Y43" s="2"/>
      <c r="Z43" s="19">
        <f t="shared" si="3"/>
        <v>-0.12150527262866111</v>
      </c>
    </row>
    <row r="44" spans="1:26" s="24" customFormat="1" hidden="1" outlineLevel="1" x14ac:dyDescent="0.25">
      <c r="A44" s="44"/>
      <c r="B44" s="11" t="str">
        <f>CONCATENATE("          ", "4057", " - ", "TAXABLE SALES-FOOD")</f>
        <v xml:space="preserve">          4057 - TAXABLE SALES-FOOD</v>
      </c>
      <c r="C44" s="11"/>
      <c r="D44" s="2">
        <f>0</f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0</f>
        <v>0</v>
      </c>
      <c r="Q44" s="2"/>
      <c r="R44" s="19"/>
      <c r="S44" s="2"/>
      <c r="T44" s="2">
        <f>--11506.08</f>
        <v>11506.08</v>
      </c>
      <c r="U44" s="2"/>
      <c r="V44" s="19"/>
      <c r="W44" s="2"/>
      <c r="X44" s="2">
        <f t="shared" si="2"/>
        <v>-11506.08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>--24452.76</f>
        <v>24452.76</v>
      </c>
      <c r="E45" s="2"/>
      <c r="F45" s="19"/>
      <c r="G45" s="2"/>
      <c r="H45" s="2">
        <f>--37319.34</f>
        <v>37319.339999999997</v>
      </c>
      <c r="I45" s="2"/>
      <c r="J45" s="19"/>
      <c r="K45" s="2"/>
      <c r="L45" s="2">
        <f t="shared" si="0"/>
        <v>-12866.579999999998</v>
      </c>
      <c r="M45" s="2"/>
      <c r="N45" s="19">
        <f t="shared" si="1"/>
        <v>-0.3447697628093101</v>
      </c>
      <c r="O45" s="11"/>
      <c r="P45" s="2">
        <f>--42290.9</f>
        <v>42290.9</v>
      </c>
      <c r="Q45" s="2"/>
      <c r="R45" s="19"/>
      <c r="S45" s="2"/>
      <c r="T45" s="2">
        <f>--65691.63</f>
        <v>65691.63</v>
      </c>
      <c r="U45" s="2"/>
      <c r="V45" s="19"/>
      <c r="W45" s="2"/>
      <c r="X45" s="2">
        <f t="shared" si="2"/>
        <v>-23400.730000000003</v>
      </c>
      <c r="Y45" s="2"/>
      <c r="Z45" s="19">
        <f t="shared" si="3"/>
        <v>-0.35622087623643989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--79907.95</f>
        <v>79907.95</v>
      </c>
      <c r="E46" s="2"/>
      <c r="F46" s="19"/>
      <c r="G46" s="2"/>
      <c r="H46" s="2">
        <f>--59507.7</f>
        <v>59507.7</v>
      </c>
      <c r="I46" s="2"/>
      <c r="J46" s="19"/>
      <c r="K46" s="2"/>
      <c r="L46" s="2">
        <f t="shared" si="0"/>
        <v>20400.25</v>
      </c>
      <c r="M46" s="2"/>
      <c r="N46" s="19">
        <f t="shared" si="1"/>
        <v>0.3428169799874638</v>
      </c>
      <c r="O46" s="11"/>
      <c r="P46" s="2">
        <f>--189596.74</f>
        <v>189596.74</v>
      </c>
      <c r="Q46" s="2"/>
      <c r="R46" s="19"/>
      <c r="S46" s="2"/>
      <c r="T46" s="2">
        <f>--138580.35</f>
        <v>138580.35</v>
      </c>
      <c r="U46" s="2"/>
      <c r="V46" s="19"/>
      <c r="W46" s="2"/>
      <c r="X46" s="2">
        <f t="shared" si="2"/>
        <v>51016.389999999985</v>
      </c>
      <c r="Y46" s="2"/>
      <c r="Z46" s="19">
        <f t="shared" si="3"/>
        <v>0.36813581434885956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--225343.71</f>
        <v>225343.71</v>
      </c>
      <c r="E47" s="2"/>
      <c r="F47" s="19"/>
      <c r="G47" s="2"/>
      <c r="H47" s="2">
        <f>--165101.16</f>
        <v>165101.16</v>
      </c>
      <c r="I47" s="2"/>
      <c r="J47" s="19"/>
      <c r="K47" s="2"/>
      <c r="L47" s="2">
        <f t="shared" si="0"/>
        <v>60242.549999999988</v>
      </c>
      <c r="M47" s="2"/>
      <c r="N47" s="19">
        <f t="shared" si="1"/>
        <v>0.36488265739622899</v>
      </c>
      <c r="O47" s="11"/>
      <c r="P47" s="2">
        <f>--1038916.49</f>
        <v>1038916.49</v>
      </c>
      <c r="Q47" s="2"/>
      <c r="R47" s="19"/>
      <c r="S47" s="2"/>
      <c r="T47" s="2">
        <f>--758325.97</f>
        <v>758325.97</v>
      </c>
      <c r="U47" s="2"/>
      <c r="V47" s="19"/>
      <c r="W47" s="2"/>
      <c r="X47" s="2">
        <f t="shared" si="2"/>
        <v>280590.52</v>
      </c>
      <c r="Y47" s="2"/>
      <c r="Z47" s="19">
        <f t="shared" si="3"/>
        <v>0.37001306970932307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--17648.24</f>
        <v>17648.240000000002</v>
      </c>
      <c r="E48" s="2"/>
      <c r="F48" s="19"/>
      <c r="G48" s="2"/>
      <c r="H48" s="2">
        <f>--12749.61</f>
        <v>12749.61</v>
      </c>
      <c r="I48" s="2"/>
      <c r="J48" s="19"/>
      <c r="K48" s="2"/>
      <c r="L48" s="2">
        <f t="shared" si="0"/>
        <v>4898.630000000001</v>
      </c>
      <c r="M48" s="2"/>
      <c r="N48" s="19">
        <f t="shared" si="1"/>
        <v>0.38421802706121999</v>
      </c>
      <c r="O48" s="11"/>
      <c r="P48" s="2">
        <f>--41256.01</f>
        <v>41256.01</v>
      </c>
      <c r="Q48" s="2"/>
      <c r="R48" s="19"/>
      <c r="S48" s="2"/>
      <c r="T48" s="2">
        <f>--37322.75</f>
        <v>37322.75</v>
      </c>
      <c r="U48" s="2"/>
      <c r="V48" s="19"/>
      <c r="W48" s="2"/>
      <c r="X48" s="2">
        <f t="shared" si="2"/>
        <v>3933.260000000002</v>
      </c>
      <c r="Y48" s="2"/>
      <c r="Z48" s="19">
        <f t="shared" si="3"/>
        <v>0.10538505335217802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 t="shared" ref="D49:D50" si="4">0</f>
        <v>0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--129</f>
        <v>129</v>
      </c>
      <c r="Q49" s="2"/>
      <c r="R49" s="19"/>
      <c r="S49" s="2"/>
      <c r="T49" s="2">
        <f>--278.99</f>
        <v>278.99</v>
      </c>
      <c r="U49" s="2"/>
      <c r="V49" s="19"/>
      <c r="W49" s="2"/>
      <c r="X49" s="2">
        <f t="shared" si="2"/>
        <v>-149.99</v>
      </c>
      <c r="Y49" s="2"/>
      <c r="Z49" s="19">
        <f t="shared" si="3"/>
        <v>-0.53761783576472277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 t="shared" si="4"/>
        <v>0</v>
      </c>
      <c r="E50" s="2"/>
      <c r="F50" s="19"/>
      <c r="G50" s="2"/>
      <c r="H50" s="2">
        <f>--2530.89</f>
        <v>2530.89</v>
      </c>
      <c r="I50" s="2"/>
      <c r="J50" s="19"/>
      <c r="K50" s="2"/>
      <c r="L50" s="2">
        <f t="shared" si="0"/>
        <v>-2530.89</v>
      </c>
      <c r="M50" s="2"/>
      <c r="N50" s="19">
        <f t="shared" si="1"/>
        <v>-1</v>
      </c>
      <c r="O50" s="11"/>
      <c r="P50" s="2">
        <f>--493.95</f>
        <v>493.95</v>
      </c>
      <c r="Q50" s="2"/>
      <c r="R50" s="19"/>
      <c r="S50" s="2"/>
      <c r="T50" s="2">
        <f>--7507.84</f>
        <v>7507.84</v>
      </c>
      <c r="U50" s="2"/>
      <c r="V50" s="19"/>
      <c r="W50" s="2"/>
      <c r="X50" s="2">
        <f t="shared" si="2"/>
        <v>-7013.89</v>
      </c>
      <c r="Y50" s="2"/>
      <c r="Z50" s="19">
        <f t="shared" si="3"/>
        <v>-0.93420877376182765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--10769.48</f>
        <v>10769.48</v>
      </c>
      <c r="E51" s="2"/>
      <c r="F51" s="19"/>
      <c r="G51" s="2"/>
      <c r="H51" s="2">
        <f>--10921.48</f>
        <v>10921.48</v>
      </c>
      <c r="I51" s="2"/>
      <c r="J51" s="19"/>
      <c r="K51" s="2"/>
      <c r="L51" s="2">
        <f t="shared" si="0"/>
        <v>-152</v>
      </c>
      <c r="M51" s="2"/>
      <c r="N51" s="19">
        <f t="shared" si="1"/>
        <v>-1.3917527661086226E-2</v>
      </c>
      <c r="O51" s="11"/>
      <c r="P51" s="2">
        <f>--20437.03</f>
        <v>20437.03</v>
      </c>
      <c r="Q51" s="2"/>
      <c r="R51" s="19"/>
      <c r="S51" s="2"/>
      <c r="T51" s="2">
        <f>--24878.79</f>
        <v>24878.79</v>
      </c>
      <c r="U51" s="2"/>
      <c r="V51" s="19"/>
      <c r="W51" s="2"/>
      <c r="X51" s="2">
        <f t="shared" si="2"/>
        <v>-4441.760000000002</v>
      </c>
      <c r="Y51" s="2"/>
      <c r="Z51" s="19">
        <f t="shared" si="3"/>
        <v>-0.17853601401032776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>--16.99</f>
        <v>16.989999999999998</v>
      </c>
      <c r="E52" s="2"/>
      <c r="F52" s="19"/>
      <c r="G52" s="2"/>
      <c r="H52" s="2">
        <f>--108.98</f>
        <v>108.98</v>
      </c>
      <c r="I52" s="2"/>
      <c r="J52" s="19"/>
      <c r="K52" s="2"/>
      <c r="L52" s="2">
        <f t="shared" si="0"/>
        <v>-91.990000000000009</v>
      </c>
      <c r="M52" s="2"/>
      <c r="N52" s="19">
        <f t="shared" si="1"/>
        <v>-0.84409983483207929</v>
      </c>
      <c r="O52" s="11"/>
      <c r="P52" s="2">
        <f>--535.96</f>
        <v>535.96</v>
      </c>
      <c r="Q52" s="2"/>
      <c r="R52" s="19"/>
      <c r="S52" s="2"/>
      <c r="T52" s="2">
        <f>--797.91</f>
        <v>797.91</v>
      </c>
      <c r="U52" s="2"/>
      <c r="V52" s="19"/>
      <c r="W52" s="2"/>
      <c r="X52" s="2">
        <f t="shared" si="2"/>
        <v>-261.94999999999993</v>
      </c>
      <c r="Y52" s="2"/>
      <c r="Z52" s="19">
        <f t="shared" si="3"/>
        <v>-0.32829517113458906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>--49.9</f>
        <v>49.9</v>
      </c>
      <c r="E53" s="2"/>
      <c r="F53" s="19"/>
      <c r="G53" s="2"/>
      <c r="H53" s="2">
        <f>--49.9</f>
        <v>49.9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--3872.63</f>
        <v>3872.63</v>
      </c>
      <c r="Q53" s="2"/>
      <c r="R53" s="19"/>
      <c r="S53" s="2"/>
      <c r="T53" s="2">
        <f>--4066.3</f>
        <v>4066.3</v>
      </c>
      <c r="U53" s="2"/>
      <c r="V53" s="19"/>
      <c r="W53" s="2"/>
      <c r="X53" s="2">
        <f t="shared" si="2"/>
        <v>-193.67000000000007</v>
      </c>
      <c r="Y53" s="2"/>
      <c r="Z53" s="19">
        <f t="shared" si="3"/>
        <v>-4.7628064825517069E-2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>--26.83</f>
        <v>26.83</v>
      </c>
      <c r="E54" s="2"/>
      <c r="F54" s="19"/>
      <c r="G54" s="2"/>
      <c r="H54" s="2">
        <f>--106.96</f>
        <v>106.96</v>
      </c>
      <c r="I54" s="2"/>
      <c r="J54" s="19"/>
      <c r="K54" s="2"/>
      <c r="L54" s="2">
        <f t="shared" si="0"/>
        <v>-80.13</v>
      </c>
      <c r="M54" s="2"/>
      <c r="N54" s="19">
        <f t="shared" si="1"/>
        <v>-0.74915856394913982</v>
      </c>
      <c r="O54" s="11"/>
      <c r="P54" s="2">
        <f>--200.85</f>
        <v>200.85</v>
      </c>
      <c r="Q54" s="2"/>
      <c r="R54" s="19"/>
      <c r="S54" s="2"/>
      <c r="T54" s="2">
        <f>--620.77</f>
        <v>620.77</v>
      </c>
      <c r="U54" s="2"/>
      <c r="V54" s="19"/>
      <c r="W54" s="2"/>
      <c r="X54" s="2">
        <f t="shared" si="2"/>
        <v>-419.91999999999996</v>
      </c>
      <c r="Y54" s="2"/>
      <c r="Z54" s="19">
        <f t="shared" si="3"/>
        <v>-0.67645021505549552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--94379.34</f>
        <v>94379.34</v>
      </c>
      <c r="E55" s="2"/>
      <c r="F55" s="19"/>
      <c r="G55" s="2"/>
      <c r="H55" s="2">
        <f>--99546.25</f>
        <v>99546.25</v>
      </c>
      <c r="I55" s="2"/>
      <c r="J55" s="19"/>
      <c r="K55" s="2"/>
      <c r="L55" s="2">
        <f t="shared" si="0"/>
        <v>-5166.9100000000035</v>
      </c>
      <c r="M55" s="2"/>
      <c r="N55" s="19">
        <f t="shared" si="1"/>
        <v>-5.1904617200547516E-2</v>
      </c>
      <c r="O55" s="11"/>
      <c r="P55" s="2">
        <f>--427779.77</f>
        <v>427779.77</v>
      </c>
      <c r="Q55" s="2"/>
      <c r="R55" s="19"/>
      <c r="S55" s="2"/>
      <c r="T55" s="2">
        <f>--512368.41</f>
        <v>512368.41</v>
      </c>
      <c r="U55" s="2"/>
      <c r="V55" s="19"/>
      <c r="W55" s="2"/>
      <c r="X55" s="2">
        <f t="shared" si="2"/>
        <v>-84588.639999999956</v>
      </c>
      <c r="Y55" s="2"/>
      <c r="Z55" s="19">
        <f t="shared" si="3"/>
        <v>-0.16509339441906648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--27999.53</f>
        <v>27999.53</v>
      </c>
      <c r="E56" s="2"/>
      <c r="F56" s="19"/>
      <c r="G56" s="2"/>
      <c r="H56" s="2">
        <f>--51572.49</f>
        <v>51572.49</v>
      </c>
      <c r="I56" s="2"/>
      <c r="J56" s="19"/>
      <c r="K56" s="2"/>
      <c r="L56" s="2">
        <f t="shared" si="0"/>
        <v>-23572.959999999999</v>
      </c>
      <c r="M56" s="2"/>
      <c r="N56" s="19">
        <f t="shared" si="1"/>
        <v>-0.45708399962848412</v>
      </c>
      <c r="O56" s="11"/>
      <c r="P56" s="2">
        <f>--83892.55</f>
        <v>83892.55</v>
      </c>
      <c r="Q56" s="2"/>
      <c r="R56" s="19"/>
      <c r="S56" s="2"/>
      <c r="T56" s="2">
        <f>--141019.7</f>
        <v>141019.70000000001</v>
      </c>
      <c r="U56" s="2"/>
      <c r="V56" s="19"/>
      <c r="W56" s="2"/>
      <c r="X56" s="2">
        <f t="shared" si="2"/>
        <v>-57127.150000000009</v>
      </c>
      <c r="Y56" s="2"/>
      <c r="Z56" s="19">
        <f t="shared" si="3"/>
        <v>-0.40510049305168006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--3969.18</f>
        <v>3969.18</v>
      </c>
      <c r="E57" s="2"/>
      <c r="F57" s="19"/>
      <c r="G57" s="2"/>
      <c r="H57" s="2">
        <f>--7949.5</f>
        <v>7949.5</v>
      </c>
      <c r="I57" s="2"/>
      <c r="J57" s="19"/>
      <c r="K57" s="2"/>
      <c r="L57" s="2">
        <f t="shared" si="0"/>
        <v>-3980.32</v>
      </c>
      <c r="M57" s="2"/>
      <c r="N57" s="19">
        <f t="shared" si="1"/>
        <v>-0.50070067299830179</v>
      </c>
      <c r="O57" s="11"/>
      <c r="P57" s="2">
        <f>--36443.51</f>
        <v>36443.51</v>
      </c>
      <c r="Q57" s="2"/>
      <c r="R57" s="19"/>
      <c r="S57" s="2"/>
      <c r="T57" s="2">
        <f>--49251.93</f>
        <v>49251.93</v>
      </c>
      <c r="U57" s="2"/>
      <c r="V57" s="19"/>
      <c r="W57" s="2"/>
      <c r="X57" s="2">
        <f t="shared" si="2"/>
        <v>-12808.419999999998</v>
      </c>
      <c r="Y57" s="2"/>
      <c r="Z57" s="19">
        <f t="shared" si="3"/>
        <v>-0.26005925046998152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-144.99</f>
        <v>-144.99</v>
      </c>
      <c r="E58" s="2"/>
      <c r="F58" s="19"/>
      <c r="G58" s="2"/>
      <c r="H58" s="2">
        <f>--339.9</f>
        <v>339.9</v>
      </c>
      <c r="I58" s="2"/>
      <c r="J58" s="19"/>
      <c r="K58" s="2"/>
      <c r="L58" s="2">
        <f t="shared" si="0"/>
        <v>-484.89</v>
      </c>
      <c r="M58" s="2"/>
      <c r="N58" s="19">
        <f t="shared" si="1"/>
        <v>-1.4265666372462489</v>
      </c>
      <c r="O58" s="11"/>
      <c r="P58" s="2">
        <f>--329.98</f>
        <v>329.98</v>
      </c>
      <c r="Q58" s="2"/>
      <c r="R58" s="19"/>
      <c r="S58" s="2"/>
      <c r="T58" s="2">
        <f>--509.85</f>
        <v>509.85</v>
      </c>
      <c r="U58" s="2"/>
      <c r="V58" s="19"/>
      <c r="W58" s="2"/>
      <c r="X58" s="2">
        <f t="shared" si="2"/>
        <v>-179.87</v>
      </c>
      <c r="Y58" s="2"/>
      <c r="Z58" s="19">
        <f t="shared" si="3"/>
        <v>-0.35279003628518191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--59065.75</f>
        <v>59065.75</v>
      </c>
      <c r="E59" s="2"/>
      <c r="F59" s="19"/>
      <c r="G59" s="2"/>
      <c r="H59" s="2">
        <f>--69600.97</f>
        <v>69600.97</v>
      </c>
      <c r="I59" s="2"/>
      <c r="J59" s="19"/>
      <c r="K59" s="2"/>
      <c r="L59" s="2">
        <f t="shared" si="0"/>
        <v>-10535.220000000001</v>
      </c>
      <c r="M59" s="2"/>
      <c r="N59" s="19">
        <f t="shared" si="1"/>
        <v>-0.15136599389347594</v>
      </c>
      <c r="O59" s="11"/>
      <c r="P59" s="2">
        <f>--318933.82</f>
        <v>318933.82</v>
      </c>
      <c r="Q59" s="2"/>
      <c r="R59" s="19"/>
      <c r="S59" s="2"/>
      <c r="T59" s="2">
        <f>--334741.53</f>
        <v>334741.53000000003</v>
      </c>
      <c r="U59" s="2"/>
      <c r="V59" s="19"/>
      <c r="W59" s="2"/>
      <c r="X59" s="2">
        <f t="shared" si="2"/>
        <v>-15807.710000000021</v>
      </c>
      <c r="Y59" s="2"/>
      <c r="Z59" s="19">
        <f t="shared" si="3"/>
        <v>-4.7223629526936858E-2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--594.06</f>
        <v>594.05999999999995</v>
      </c>
      <c r="E60" s="2"/>
      <c r="F60" s="19"/>
      <c r="G60" s="2"/>
      <c r="H60" s="2">
        <f>--1921.77</f>
        <v>1921.77</v>
      </c>
      <c r="I60" s="2"/>
      <c r="J60" s="19"/>
      <c r="K60" s="2"/>
      <c r="L60" s="2">
        <f t="shared" si="0"/>
        <v>-1327.71</v>
      </c>
      <c r="M60" s="2"/>
      <c r="N60" s="19">
        <f t="shared" si="1"/>
        <v>-0.69087872117891325</v>
      </c>
      <c r="O60" s="11"/>
      <c r="P60" s="2">
        <f>--6342.17</f>
        <v>6342.17</v>
      </c>
      <c r="Q60" s="2"/>
      <c r="R60" s="19"/>
      <c r="S60" s="2"/>
      <c r="T60" s="2">
        <f>--8589.74</f>
        <v>8589.74</v>
      </c>
      <c r="U60" s="2"/>
      <c r="V60" s="19"/>
      <c r="W60" s="2"/>
      <c r="X60" s="2">
        <f t="shared" si="2"/>
        <v>-2247.5699999999997</v>
      </c>
      <c r="Y60" s="2"/>
      <c r="Z60" s="19">
        <f t="shared" si="3"/>
        <v>-0.26165751233448276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>0</f>
        <v>0</v>
      </c>
      <c r="E61" s="2"/>
      <c r="F61" s="19"/>
      <c r="G61" s="2"/>
      <c r="H61" s="2">
        <f t="shared" ref="H61:H62" si="5">0</f>
        <v>0</v>
      </c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--1146.72</f>
        <v>1146.72</v>
      </c>
      <c r="Q61" s="2"/>
      <c r="R61" s="19"/>
      <c r="S61" s="2"/>
      <c r="T61" s="2">
        <f>--38.23</f>
        <v>38.229999999999997</v>
      </c>
      <c r="U61" s="2"/>
      <c r="V61" s="19"/>
      <c r="W61" s="2"/>
      <c r="X61" s="2">
        <f t="shared" si="2"/>
        <v>1108.49</v>
      </c>
      <c r="Y61" s="2"/>
      <c r="Z61" s="19">
        <f t="shared" si="3"/>
        <v>28.995291655767723</v>
      </c>
    </row>
    <row r="62" spans="1:26" s="24" customFormat="1" hidden="1" outlineLevel="1" x14ac:dyDescent="0.25">
      <c r="A62" s="44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>--6.95</f>
        <v>6.95</v>
      </c>
      <c r="E62" s="2"/>
      <c r="F62" s="19"/>
      <c r="G62" s="2"/>
      <c r="H62" s="2">
        <f t="shared" si="5"/>
        <v>0</v>
      </c>
      <c r="I62" s="2"/>
      <c r="J62" s="19"/>
      <c r="K62" s="2"/>
      <c r="L62" s="2">
        <f t="shared" si="0"/>
        <v>6.95</v>
      </c>
      <c r="M62" s="2"/>
      <c r="N62" s="19">
        <f t="shared" si="1"/>
        <v>0</v>
      </c>
      <c r="O62" s="11"/>
      <c r="P62" s="2">
        <f>--20.92</f>
        <v>20.92</v>
      </c>
      <c r="Q62" s="2"/>
      <c r="R62" s="19"/>
      <c r="S62" s="2"/>
      <c r="T62" s="2">
        <f>--111.41</f>
        <v>111.41</v>
      </c>
      <c r="U62" s="2"/>
      <c r="V62" s="19"/>
      <c r="W62" s="2"/>
      <c r="X62" s="2">
        <f t="shared" si="2"/>
        <v>-90.49</v>
      </c>
      <c r="Y62" s="2"/>
      <c r="Z62" s="19">
        <f t="shared" si="3"/>
        <v>-0.81222511444215062</v>
      </c>
    </row>
    <row r="63" spans="1:26" s="24" customFormat="1" hidden="1" outlineLevel="1" x14ac:dyDescent="0.25">
      <c r="A63" s="44"/>
      <c r="B63" s="11" t="str">
        <f>CONCATENATE("          ", "4125", " - ", "NON-TAXABLE SALES-TEST FORMS")</f>
        <v xml:space="preserve">          4125 - NON-TAXABLE SALES-TEST FORMS</v>
      </c>
      <c r="C63" s="11"/>
      <c r="D63" s="2">
        <f>--42.03</f>
        <v>42.03</v>
      </c>
      <c r="E63" s="2"/>
      <c r="F63" s="19"/>
      <c r="G63" s="2"/>
      <c r="H63" s="2">
        <f>--51.94</f>
        <v>51.94</v>
      </c>
      <c r="I63" s="2"/>
      <c r="J63" s="19"/>
      <c r="K63" s="2"/>
      <c r="L63" s="2">
        <f t="shared" si="0"/>
        <v>-9.9099999999999966</v>
      </c>
      <c r="M63" s="2"/>
      <c r="N63" s="19">
        <f t="shared" si="1"/>
        <v>-0.19079707354639963</v>
      </c>
      <c r="O63" s="11"/>
      <c r="P63" s="2">
        <f>--124.18</f>
        <v>124.18</v>
      </c>
      <c r="Q63" s="2"/>
      <c r="R63" s="19"/>
      <c r="S63" s="2"/>
      <c r="T63" s="2">
        <f>--160.73</f>
        <v>160.72999999999999</v>
      </c>
      <c r="U63" s="2"/>
      <c r="V63" s="19"/>
      <c r="W63" s="2"/>
      <c r="X63" s="2">
        <f t="shared" si="2"/>
        <v>-36.549999999999983</v>
      </c>
      <c r="Y63" s="2"/>
      <c r="Z63" s="19">
        <f t="shared" si="3"/>
        <v>-0.22739998755677213</v>
      </c>
    </row>
    <row r="64" spans="1:26" s="24" customFormat="1" hidden="1" outlineLevel="1" x14ac:dyDescent="0.25">
      <c r="A64" s="44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>--332.14</f>
        <v>332.14</v>
      </c>
      <c r="E64" s="2"/>
      <c r="F64" s="19"/>
      <c r="G64" s="2"/>
      <c r="H64" s="2">
        <f>--514.49</f>
        <v>514.49</v>
      </c>
      <c r="I64" s="2"/>
      <c r="J64" s="19"/>
      <c r="K64" s="2"/>
      <c r="L64" s="2">
        <f t="shared" si="0"/>
        <v>-182.35000000000002</v>
      </c>
      <c r="M64" s="2"/>
      <c r="N64" s="19">
        <f t="shared" si="1"/>
        <v>-0.35442865750549091</v>
      </c>
      <c r="O64" s="11"/>
      <c r="P64" s="2">
        <f>--1343.26</f>
        <v>1343.26</v>
      </c>
      <c r="Q64" s="2"/>
      <c r="R64" s="19"/>
      <c r="S64" s="2"/>
      <c r="T64" s="2">
        <f>--1695.46</f>
        <v>1695.46</v>
      </c>
      <c r="U64" s="2"/>
      <c r="V64" s="19"/>
      <c r="W64" s="2"/>
      <c r="X64" s="2">
        <f t="shared" si="2"/>
        <v>-352.20000000000005</v>
      </c>
      <c r="Y64" s="2"/>
      <c r="Z64" s="19">
        <f t="shared" si="3"/>
        <v>-0.20773123518101286</v>
      </c>
    </row>
    <row r="65" spans="1:26" s="24" customFormat="1" hidden="1" outlineLevel="1" x14ac:dyDescent="0.25">
      <c r="A65" s="44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>--547.21</f>
        <v>547.21</v>
      </c>
      <c r="E65" s="2"/>
      <c r="F65" s="19"/>
      <c r="G65" s="2"/>
      <c r="H65" s="2">
        <f>--636.96</f>
        <v>636.96</v>
      </c>
      <c r="I65" s="2"/>
      <c r="J65" s="19"/>
      <c r="K65" s="2"/>
      <c r="L65" s="2">
        <f t="shared" si="0"/>
        <v>-89.75</v>
      </c>
      <c r="M65" s="2"/>
      <c r="N65" s="19">
        <f t="shared" si="1"/>
        <v>-0.14090366742024615</v>
      </c>
      <c r="O65" s="11"/>
      <c r="P65" s="2">
        <f>--2417.49</f>
        <v>2417.4899999999998</v>
      </c>
      <c r="Q65" s="2"/>
      <c r="R65" s="19"/>
      <c r="S65" s="2"/>
      <c r="T65" s="2">
        <f>--2536.68</f>
        <v>2536.6799999999998</v>
      </c>
      <c r="U65" s="2"/>
      <c r="V65" s="19"/>
      <c r="W65" s="2"/>
      <c r="X65" s="2">
        <f t="shared" si="2"/>
        <v>-119.19000000000005</v>
      </c>
      <c r="Y65" s="2"/>
      <c r="Z65" s="19">
        <f t="shared" si="3"/>
        <v>-4.6986612422536565E-2</v>
      </c>
    </row>
    <row r="66" spans="1:26" s="24" customFormat="1" hidden="1" outlineLevel="1" x14ac:dyDescent="0.25">
      <c r="A66" s="44"/>
      <c r="B66" s="11" t="str">
        <f>CONCATENATE("          ", "4128", " - ", "NON-TAXABLE SALES-ART/TECH")</f>
        <v xml:space="preserve">          4128 - NON-TAXABLE SALES-ART/TECH</v>
      </c>
      <c r="C66" s="11"/>
      <c r="D66" s="2">
        <f>--132.8</f>
        <v>132.80000000000001</v>
      </c>
      <c r="E66" s="2"/>
      <c r="F66" s="19"/>
      <c r="G66" s="2"/>
      <c r="H66" s="2">
        <f>--158.57</f>
        <v>158.57</v>
      </c>
      <c r="I66" s="2"/>
      <c r="J66" s="19"/>
      <c r="K66" s="2"/>
      <c r="L66" s="2">
        <f t="shared" si="0"/>
        <v>-25.769999999999982</v>
      </c>
      <c r="M66" s="2"/>
      <c r="N66" s="19">
        <f t="shared" si="1"/>
        <v>-0.16251497761241082</v>
      </c>
      <c r="O66" s="11"/>
      <c r="P66" s="2">
        <f>--262.9</f>
        <v>262.89999999999998</v>
      </c>
      <c r="Q66" s="2"/>
      <c r="R66" s="19"/>
      <c r="S66" s="2"/>
      <c r="T66" s="2">
        <f>--562.56</f>
        <v>562.55999999999995</v>
      </c>
      <c r="U66" s="2"/>
      <c r="V66" s="19"/>
      <c r="W66" s="2"/>
      <c r="X66" s="2">
        <f t="shared" si="2"/>
        <v>-299.65999999999997</v>
      </c>
      <c r="Y66" s="2"/>
      <c r="Z66" s="19">
        <f t="shared" si="3"/>
        <v>-0.53267207053469856</v>
      </c>
    </row>
    <row r="67" spans="1:26" s="24" customFormat="1" hidden="1" outlineLevel="1" x14ac:dyDescent="0.25">
      <c r="A67" s="44"/>
      <c r="B67" s="11" t="str">
        <f>CONCATENATE("          ", "4131", " - ", "NON-TAXABLE SALES-FOOD")</f>
        <v xml:space="preserve">          4131 - NON-TAXABLE SALES-FOOD</v>
      </c>
      <c r="C67" s="11"/>
      <c r="D67" s="2">
        <f>--10548.09</f>
        <v>10548.09</v>
      </c>
      <c r="E67" s="2"/>
      <c r="F67" s="19"/>
      <c r="G67" s="2"/>
      <c r="H67" s="2">
        <f>--10229.12</f>
        <v>10229.120000000001</v>
      </c>
      <c r="I67" s="2"/>
      <c r="J67" s="19"/>
      <c r="K67" s="2"/>
      <c r="L67" s="2">
        <f t="shared" si="0"/>
        <v>318.96999999999935</v>
      </c>
      <c r="M67" s="2"/>
      <c r="N67" s="19">
        <f t="shared" si="1"/>
        <v>3.1182545517111866E-2</v>
      </c>
      <c r="O67" s="11"/>
      <c r="P67" s="2">
        <f>--13265.29</f>
        <v>13265.29</v>
      </c>
      <c r="Q67" s="2"/>
      <c r="R67" s="19"/>
      <c r="S67" s="2"/>
      <c r="T67" s="2">
        <f>--13183.57</f>
        <v>13183.57</v>
      </c>
      <c r="U67" s="2"/>
      <c r="V67" s="19"/>
      <c r="W67" s="2"/>
      <c r="X67" s="2">
        <f t="shared" si="2"/>
        <v>81.720000000001164</v>
      </c>
      <c r="Y67" s="2"/>
      <c r="Z67" s="19">
        <f t="shared" si="3"/>
        <v>6.1986245000406693E-3</v>
      </c>
    </row>
    <row r="68" spans="1:26" s="24" customFormat="1" hidden="1" outlineLevel="1" x14ac:dyDescent="0.25">
      <c r="A68" s="44"/>
      <c r="B68" s="11" t="str">
        <f>CONCATENATE("          ", "4132", " - ", "NON-TAXABLE SALES-JUICE")</f>
        <v xml:space="preserve">          4132 - NON-TAXABLE SALES-JUICE</v>
      </c>
      <c r="C68" s="11"/>
      <c r="D68" s="2">
        <f>--184994.61</f>
        <v>184994.61</v>
      </c>
      <c r="E68" s="2"/>
      <c r="F68" s="19"/>
      <c r="G68" s="2"/>
      <c r="H68" s="2">
        <f>--175081.44</f>
        <v>175081.44</v>
      </c>
      <c r="I68" s="2"/>
      <c r="J68" s="19"/>
      <c r="K68" s="2"/>
      <c r="L68" s="2">
        <f t="shared" si="0"/>
        <v>9913.1699999999837</v>
      </c>
      <c r="M68" s="2"/>
      <c r="N68" s="19">
        <f t="shared" si="1"/>
        <v>5.6620336227529218E-2</v>
      </c>
      <c r="O68" s="11"/>
      <c r="P68" s="2">
        <f>--279752.36</f>
        <v>279752.36</v>
      </c>
      <c r="Q68" s="2"/>
      <c r="R68" s="19"/>
      <c r="S68" s="2"/>
      <c r="T68" s="2">
        <f>--268636.8</f>
        <v>268636.79999999999</v>
      </c>
      <c r="U68" s="2"/>
      <c r="V68" s="19"/>
      <c r="W68" s="2"/>
      <c r="X68" s="2">
        <f t="shared" si="2"/>
        <v>11115.559999999998</v>
      </c>
      <c r="Y68" s="2"/>
      <c r="Z68" s="19">
        <f t="shared" si="3"/>
        <v>4.1377651907705863E-2</v>
      </c>
    </row>
    <row r="69" spans="1:26" s="24" customFormat="1" hidden="1" outlineLevel="1" x14ac:dyDescent="0.25">
      <c r="A69" s="44"/>
      <c r="B69" s="11" t="str">
        <f>CONCATENATE("          ", "4133", " - ", "NON-TAXABLE SALES-CANDY")</f>
        <v xml:space="preserve">          4133 - NON-TAXABLE SALES-CANDY</v>
      </c>
      <c r="C69" s="11"/>
      <c r="D69" s="2">
        <f>--3292.63</f>
        <v>3292.63</v>
      </c>
      <c r="E69" s="2"/>
      <c r="F69" s="19"/>
      <c r="G69" s="2"/>
      <c r="H69" s="2">
        <f>--2613.86</f>
        <v>2613.86</v>
      </c>
      <c r="I69" s="2"/>
      <c r="J69" s="19"/>
      <c r="K69" s="2"/>
      <c r="L69" s="2">
        <f t="shared" si="0"/>
        <v>678.77</v>
      </c>
      <c r="M69" s="2"/>
      <c r="N69" s="19">
        <f t="shared" si="1"/>
        <v>0.25968108467936307</v>
      </c>
      <c r="O69" s="11"/>
      <c r="P69" s="2">
        <f>--4664.98</f>
        <v>4664.9799999999996</v>
      </c>
      <c r="Q69" s="2"/>
      <c r="R69" s="19"/>
      <c r="S69" s="2"/>
      <c r="T69" s="2">
        <f>--3806.67</f>
        <v>3806.67</v>
      </c>
      <c r="U69" s="2"/>
      <c r="V69" s="19"/>
      <c r="W69" s="2"/>
      <c r="X69" s="2">
        <f t="shared" si="2"/>
        <v>858.30999999999949</v>
      </c>
      <c r="Y69" s="2"/>
      <c r="Z69" s="19">
        <f t="shared" si="3"/>
        <v>0.2254752841722554</v>
      </c>
    </row>
    <row r="70" spans="1:26" s="24" customFormat="1" hidden="1" outlineLevel="1" x14ac:dyDescent="0.25">
      <c r="A70" s="44"/>
      <c r="B70" s="11" t="str">
        <f>CONCATENATE("          ", "4134", " - ", "NON-TAXABLE SALES-SODA")</f>
        <v xml:space="preserve">          4134 - NON-TAXABLE SALES-SODA</v>
      </c>
      <c r="C70" s="11"/>
      <c r="D70" s="2">
        <f>--3.78</f>
        <v>3.78</v>
      </c>
      <c r="E70" s="2"/>
      <c r="F70" s="19"/>
      <c r="G70" s="2"/>
      <c r="H70" s="2">
        <f>--60.94</f>
        <v>60.94</v>
      </c>
      <c r="I70" s="2"/>
      <c r="J70" s="19"/>
      <c r="K70" s="2"/>
      <c r="L70" s="2">
        <f t="shared" si="0"/>
        <v>-57.16</v>
      </c>
      <c r="M70" s="2"/>
      <c r="N70" s="19">
        <f t="shared" si="1"/>
        <v>-0.93797177551690181</v>
      </c>
      <c r="O70" s="11"/>
      <c r="P70" s="2">
        <f>--0.39</f>
        <v>0.39</v>
      </c>
      <c r="Q70" s="2"/>
      <c r="R70" s="19"/>
      <c r="S70" s="2"/>
      <c r="T70" s="2">
        <f>--163.41</f>
        <v>163.41</v>
      </c>
      <c r="U70" s="2"/>
      <c r="V70" s="19"/>
      <c r="W70" s="2"/>
      <c r="X70" s="2">
        <f t="shared" si="2"/>
        <v>-163.02000000000001</v>
      </c>
      <c r="Y70" s="2"/>
      <c r="Z70" s="19">
        <f t="shared" si="3"/>
        <v>-0.99761336515513133</v>
      </c>
    </row>
    <row r="71" spans="1:26" s="24" customFormat="1" hidden="1" outlineLevel="1" x14ac:dyDescent="0.25">
      <c r="A71" s="44"/>
      <c r="B71" s="11" t="str">
        <f>CONCATENATE("          ", "4135", " - ", "NON-TAXABLE SALES")</f>
        <v xml:space="preserve">          4135 - NON-TAXABLE SALES</v>
      </c>
      <c r="C71" s="11"/>
      <c r="D71" s="2">
        <f>--32.31</f>
        <v>32.31</v>
      </c>
      <c r="E71" s="2"/>
      <c r="F71" s="19"/>
      <c r="G71" s="2"/>
      <c r="H71" s="2">
        <f>--34.03</f>
        <v>34.03</v>
      </c>
      <c r="I71" s="2"/>
      <c r="J71" s="19"/>
      <c r="K71" s="2"/>
      <c r="L71" s="2">
        <f t="shared" si="0"/>
        <v>-1.7199999999999989</v>
      </c>
      <c r="M71" s="2"/>
      <c r="N71" s="19">
        <f t="shared" si="1"/>
        <v>-5.0543637966500111E-2</v>
      </c>
      <c r="O71" s="11"/>
      <c r="P71" s="2">
        <f>--86.06</f>
        <v>86.06</v>
      </c>
      <c r="Q71" s="2"/>
      <c r="R71" s="19"/>
      <c r="S71" s="2"/>
      <c r="T71" s="2">
        <f>--50.62</f>
        <v>50.62</v>
      </c>
      <c r="U71" s="2"/>
      <c r="V71" s="19"/>
      <c r="W71" s="2"/>
      <c r="X71" s="2">
        <f t="shared" si="2"/>
        <v>35.440000000000005</v>
      </c>
      <c r="Y71" s="2"/>
      <c r="Z71" s="19">
        <f t="shared" si="3"/>
        <v>0.70011853022520754</v>
      </c>
    </row>
    <row r="72" spans="1:26" s="24" customFormat="1" hidden="1" outlineLevel="1" x14ac:dyDescent="0.25">
      <c r="A72" s="44"/>
      <c r="B72" s="11" t="str">
        <f>CONCATENATE("          ", "4137", " - ", "NON-TAXABLE SALES-WATER")</f>
        <v xml:space="preserve">          4137 - NON-TAXABLE SALES-WATER</v>
      </c>
      <c r="C72" s="11"/>
      <c r="D72" s="2">
        <f>--1871.72</f>
        <v>1871.72</v>
      </c>
      <c r="E72" s="2"/>
      <c r="F72" s="19"/>
      <c r="G72" s="2"/>
      <c r="H72" s="2">
        <f>--1591.7</f>
        <v>1591.7</v>
      </c>
      <c r="I72" s="2"/>
      <c r="J72" s="19"/>
      <c r="K72" s="2"/>
      <c r="L72" s="2">
        <f t="shared" si="0"/>
        <v>280.02</v>
      </c>
      <c r="M72" s="2"/>
      <c r="N72" s="19">
        <f t="shared" si="1"/>
        <v>0.17592511151598919</v>
      </c>
      <c r="O72" s="11"/>
      <c r="P72" s="2">
        <f>--2861.96</f>
        <v>2861.96</v>
      </c>
      <c r="Q72" s="2"/>
      <c r="R72" s="19"/>
      <c r="S72" s="2"/>
      <c r="T72" s="2">
        <f>--2591.39</f>
        <v>2591.39</v>
      </c>
      <c r="U72" s="2"/>
      <c r="V72" s="19"/>
      <c r="W72" s="2"/>
      <c r="X72" s="2">
        <f t="shared" si="2"/>
        <v>270.57000000000016</v>
      </c>
      <c r="Y72" s="2"/>
      <c r="Z72" s="19">
        <f t="shared" si="3"/>
        <v>0.10441114614164605</v>
      </c>
    </row>
    <row r="73" spans="1:26" s="24" customFormat="1" hidden="1" outlineLevel="1" x14ac:dyDescent="0.25">
      <c r="A73" s="44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--3114.74</f>
        <v>3114.74</v>
      </c>
      <c r="E73" s="2"/>
      <c r="F73" s="19"/>
      <c r="G73" s="2"/>
      <c r="H73" s="2">
        <f>--2646.49</f>
        <v>2646.49</v>
      </c>
      <c r="I73" s="2"/>
      <c r="J73" s="19"/>
      <c r="K73" s="2"/>
      <c r="L73" s="2">
        <f t="shared" si="0"/>
        <v>468.25</v>
      </c>
      <c r="M73" s="2"/>
      <c r="N73" s="19">
        <f t="shared" si="1"/>
        <v>0.1769324652653137</v>
      </c>
      <c r="O73" s="11"/>
      <c r="P73" s="2">
        <f>--8257.7</f>
        <v>8257.7000000000007</v>
      </c>
      <c r="Q73" s="2"/>
      <c r="R73" s="19"/>
      <c r="S73" s="2"/>
      <c r="T73" s="2">
        <f>--7904.3</f>
        <v>7904.3</v>
      </c>
      <c r="U73" s="2"/>
      <c r="V73" s="19"/>
      <c r="W73" s="2"/>
      <c r="X73" s="2">
        <f t="shared" si="2"/>
        <v>353.40000000000055</v>
      </c>
      <c r="Y73" s="2"/>
      <c r="Z73" s="19">
        <f t="shared" si="3"/>
        <v>4.470984147868888E-2</v>
      </c>
    </row>
    <row r="74" spans="1:26" s="24" customFormat="1" hidden="1" outlineLevel="1" x14ac:dyDescent="0.25">
      <c r="A74" s="44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--120.34</f>
        <v>120.34</v>
      </c>
      <c r="E74" s="2"/>
      <c r="F74" s="19"/>
      <c r="G74" s="2"/>
      <c r="H74" s="2">
        <f>--608.29</f>
        <v>608.29</v>
      </c>
      <c r="I74" s="2"/>
      <c r="J74" s="19"/>
      <c r="K74" s="2"/>
      <c r="L74" s="2">
        <f t="shared" si="0"/>
        <v>-487.94999999999993</v>
      </c>
      <c r="M74" s="2"/>
      <c r="N74" s="19">
        <f t="shared" si="1"/>
        <v>-0.80216672968485425</v>
      </c>
      <c r="O74" s="11"/>
      <c r="P74" s="2">
        <f>--814.64</f>
        <v>814.64</v>
      </c>
      <c r="Q74" s="2"/>
      <c r="R74" s="19"/>
      <c r="S74" s="2"/>
      <c r="T74" s="2">
        <f>--1728.29</f>
        <v>1728.29</v>
      </c>
      <c r="U74" s="2"/>
      <c r="V74" s="19"/>
      <c r="W74" s="2"/>
      <c r="X74" s="2">
        <f t="shared" si="2"/>
        <v>-913.65</v>
      </c>
      <c r="Y74" s="2"/>
      <c r="Z74" s="19">
        <f t="shared" si="3"/>
        <v>-0.5286439197125482</v>
      </c>
    </row>
    <row r="75" spans="1:26" s="24" customFormat="1" hidden="1" outlineLevel="1" x14ac:dyDescent="0.25">
      <c r="A75" s="44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--2116.4</f>
        <v>2116.4</v>
      </c>
      <c r="E75" s="2"/>
      <c r="F75" s="19"/>
      <c r="G75" s="2"/>
      <c r="H75" s="2">
        <f>--1788.77</f>
        <v>1788.77</v>
      </c>
      <c r="I75" s="2"/>
      <c r="J75" s="19"/>
      <c r="K75" s="2"/>
      <c r="L75" s="2">
        <f t="shared" si="0"/>
        <v>327.63000000000011</v>
      </c>
      <c r="M75" s="2"/>
      <c r="N75" s="19">
        <f t="shared" si="1"/>
        <v>0.18315937767292614</v>
      </c>
      <c r="O75" s="11"/>
      <c r="P75" s="2">
        <f>--3036.5</f>
        <v>3036.5</v>
      </c>
      <c r="Q75" s="2"/>
      <c r="R75" s="19"/>
      <c r="S75" s="2"/>
      <c r="T75" s="2">
        <f>--2447.76</f>
        <v>2447.7600000000002</v>
      </c>
      <c r="U75" s="2"/>
      <c r="V75" s="19"/>
      <c r="W75" s="2"/>
      <c r="X75" s="2">
        <f t="shared" si="2"/>
        <v>588.73999999999978</v>
      </c>
      <c r="Y75" s="2"/>
      <c r="Z75" s="19">
        <f t="shared" si="3"/>
        <v>0.2405219465960714</v>
      </c>
    </row>
    <row r="76" spans="1:26" s="24" customFormat="1" hidden="1" outlineLevel="1" x14ac:dyDescent="0.25">
      <c r="A76" s="44"/>
      <c r="B76" s="11" t="str">
        <f>CONCATENATE("          ", "4144", " - ", "NON-TAXABLE SALES-ACCESSORIES")</f>
        <v xml:space="preserve">          4144 - NON-TAXABLE SALES-ACCESSORIES</v>
      </c>
      <c r="C76" s="11"/>
      <c r="D76" s="2">
        <f t="shared" ref="D76:D77" si="6">0</f>
        <v>0</v>
      </c>
      <c r="E76" s="2"/>
      <c r="F76" s="19"/>
      <c r="G76" s="2"/>
      <c r="H76" s="2">
        <f>--89.85</f>
        <v>89.85</v>
      </c>
      <c r="I76" s="2"/>
      <c r="J76" s="19"/>
      <c r="K76" s="2"/>
      <c r="L76" s="2">
        <f t="shared" si="0"/>
        <v>-89.85</v>
      </c>
      <c r="M76" s="2"/>
      <c r="N76" s="19">
        <f t="shared" si="1"/>
        <v>-1</v>
      </c>
      <c r="O76" s="11"/>
      <c r="P76" s="2">
        <f>--139.76</f>
        <v>139.76</v>
      </c>
      <c r="Q76" s="2"/>
      <c r="R76" s="19"/>
      <c r="S76" s="2"/>
      <c r="T76" s="2">
        <f>--174.75</f>
        <v>174.75</v>
      </c>
      <c r="U76" s="2"/>
      <c r="V76" s="19"/>
      <c r="W76" s="2"/>
      <c r="X76" s="2">
        <f t="shared" si="2"/>
        <v>-34.990000000000009</v>
      </c>
      <c r="Y76" s="2"/>
      <c r="Z76" s="19">
        <f t="shared" si="3"/>
        <v>-0.20022889842632338</v>
      </c>
    </row>
    <row r="77" spans="1:26" s="24" customFormat="1" hidden="1" outlineLevel="1" x14ac:dyDescent="0.25">
      <c r="A77" s="44"/>
      <c r="B77" s="11" t="str">
        <f>CONCATENATE("          ", "4145", " - ", "NON-TAXABLE SALES-SPECIAL ORDE")</f>
        <v xml:space="preserve">          4145 - NON-TAXABLE SALES-SPECIAL ORDE</v>
      </c>
      <c r="C77" s="11"/>
      <c r="D77" s="2">
        <f t="shared" si="6"/>
        <v>0</v>
      </c>
      <c r="E77" s="2"/>
      <c r="F77" s="19"/>
      <c r="G77" s="2"/>
      <c r="H77" s="2">
        <f>0</f>
        <v>0</v>
      </c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--90</f>
        <v>90</v>
      </c>
      <c r="Q77" s="2"/>
      <c r="R77" s="19"/>
      <c r="S77" s="2"/>
      <c r="T77" s="2">
        <f>--201.75</f>
        <v>201.75</v>
      </c>
      <c r="U77" s="2"/>
      <c r="V77" s="19"/>
      <c r="W77" s="2"/>
      <c r="X77" s="2">
        <f t="shared" si="2"/>
        <v>-111.75</v>
      </c>
      <c r="Y77" s="2"/>
      <c r="Z77" s="19">
        <f t="shared" si="3"/>
        <v>-0.55390334572490707</v>
      </c>
    </row>
    <row r="78" spans="1:26" s="24" customFormat="1" hidden="1" outlineLevel="1" x14ac:dyDescent="0.25">
      <c r="A78" s="44"/>
      <c r="B78" s="11" t="str">
        <f>CONCATENATE("          ", "4146", " - ", "NON-TAXABLE SALES-COIN OP MACH")</f>
        <v xml:space="preserve">          4146 - NON-TAXABLE SALES-COIN OP MACH</v>
      </c>
      <c r="C78" s="11"/>
      <c r="D78" s="2">
        <f>--34744.75</f>
        <v>34744.75</v>
      </c>
      <c r="E78" s="2"/>
      <c r="F78" s="19"/>
      <c r="G78" s="2"/>
      <c r="H78" s="2">
        <f>--34411.4</f>
        <v>34411.4</v>
      </c>
      <c r="I78" s="2"/>
      <c r="J78" s="19"/>
      <c r="K78" s="2"/>
      <c r="L78" s="2">
        <f t="shared" si="0"/>
        <v>333.34999999999854</v>
      </c>
      <c r="M78" s="2"/>
      <c r="N78" s="19">
        <f t="shared" si="1"/>
        <v>9.6871966848195226E-3</v>
      </c>
      <c r="O78" s="11"/>
      <c r="P78" s="2">
        <f>--50093.5</f>
        <v>50093.5</v>
      </c>
      <c r="Q78" s="2"/>
      <c r="R78" s="19"/>
      <c r="S78" s="2"/>
      <c r="T78" s="2">
        <f>--49114.45</f>
        <v>49114.45</v>
      </c>
      <c r="U78" s="2"/>
      <c r="V78" s="19"/>
      <c r="W78" s="2"/>
      <c r="X78" s="2">
        <f t="shared" si="2"/>
        <v>979.05000000000291</v>
      </c>
      <c r="Y78" s="2"/>
      <c r="Z78" s="19">
        <f t="shared" si="3"/>
        <v>1.9934051994881404E-2</v>
      </c>
    </row>
    <row r="79" spans="1:26" s="24" customFormat="1" hidden="1" outlineLevel="1" x14ac:dyDescent="0.25">
      <c r="A79" s="44"/>
      <c r="B79" s="11" t="str">
        <f>CONCATENATE("          ", "4147", " - ", "NON-TAXABLE SALES-MISC")</f>
        <v xml:space="preserve">          4147 - NON-TAXABLE SALES-MISC</v>
      </c>
      <c r="C79" s="11"/>
      <c r="D79" s="2">
        <f>--344.5</f>
        <v>344.5</v>
      </c>
      <c r="E79" s="2"/>
      <c r="F79" s="19"/>
      <c r="G79" s="2"/>
      <c r="H79" s="2">
        <f>--92</f>
        <v>92</v>
      </c>
      <c r="I79" s="2"/>
      <c r="J79" s="19"/>
      <c r="K79" s="2"/>
      <c r="L79" s="2">
        <f t="shared" si="0"/>
        <v>252.5</v>
      </c>
      <c r="M79" s="2"/>
      <c r="N79" s="19">
        <f t="shared" si="1"/>
        <v>2.7445652173913042</v>
      </c>
      <c r="O79" s="11"/>
      <c r="P79" s="2">
        <f>--414.9</f>
        <v>414.9</v>
      </c>
      <c r="Q79" s="2"/>
      <c r="R79" s="19"/>
      <c r="S79" s="2"/>
      <c r="T79" s="2">
        <f>--190</f>
        <v>190</v>
      </c>
      <c r="U79" s="2"/>
      <c r="V79" s="19"/>
      <c r="W79" s="2"/>
      <c r="X79" s="2">
        <f t="shared" si="2"/>
        <v>224.89999999999998</v>
      </c>
      <c r="Y79" s="2"/>
      <c r="Z79" s="19">
        <f t="shared" si="3"/>
        <v>1.1836842105263157</v>
      </c>
    </row>
    <row r="80" spans="1:26" s="24" customFormat="1" hidden="1" outlineLevel="1" x14ac:dyDescent="0.25">
      <c r="A80" s="44"/>
      <c r="B80" s="11" t="str">
        <f>CONCATENATE("          ", "4151", " - ", "NON-TAXABLE SALES-FOOD")</f>
        <v xml:space="preserve">          4151 - NON-TAXABLE SALES-FOOD</v>
      </c>
      <c r="C80" s="11"/>
      <c r="D80" s="2">
        <f>--1788274.53</f>
        <v>1788274.53</v>
      </c>
      <c r="E80" s="2"/>
      <c r="F80" s="19"/>
      <c r="G80" s="2"/>
      <c r="H80" s="2">
        <f>--1814670.79</f>
        <v>1814670.79</v>
      </c>
      <c r="I80" s="2"/>
      <c r="J80" s="19"/>
      <c r="K80" s="2"/>
      <c r="L80" s="2">
        <f t="shared" si="0"/>
        <v>-26396.260000000009</v>
      </c>
      <c r="M80" s="2"/>
      <c r="N80" s="19">
        <f t="shared" si="1"/>
        <v>-1.4546032341216011E-2</v>
      </c>
      <c r="O80" s="11"/>
      <c r="P80" s="2">
        <f>--2847789.46</f>
        <v>2847789.46</v>
      </c>
      <c r="Q80" s="2"/>
      <c r="R80" s="19"/>
      <c r="S80" s="2"/>
      <c r="T80" s="2">
        <f>--2827135.09</f>
        <v>2827135.09</v>
      </c>
      <c r="U80" s="2"/>
      <c r="V80" s="19"/>
      <c r="W80" s="2"/>
      <c r="X80" s="2">
        <f t="shared" si="2"/>
        <v>20654.370000000112</v>
      </c>
      <c r="Y80" s="2"/>
      <c r="Z80" s="19">
        <f t="shared" si="3"/>
        <v>7.3057598390178493E-3</v>
      </c>
    </row>
    <row r="81" spans="1:26" s="24" customFormat="1" hidden="1" outlineLevel="1" x14ac:dyDescent="0.25">
      <c r="A81" s="44"/>
      <c r="B81" s="11" t="str">
        <f>CONCATENATE("          ", "4152", " - ", "NON-TAXABLE SALES-FOOD")</f>
        <v xml:space="preserve">          4152 - NON-TAXABLE SALES-FOOD</v>
      </c>
      <c r="C81" s="11"/>
      <c r="D81" s="2">
        <f>--8131.54</f>
        <v>8131.54</v>
      </c>
      <c r="E81" s="2"/>
      <c r="F81" s="19"/>
      <c r="G81" s="2"/>
      <c r="H81" s="2">
        <f>--7627.39</f>
        <v>7627.39</v>
      </c>
      <c r="I81" s="2"/>
      <c r="J81" s="19"/>
      <c r="K81" s="2"/>
      <c r="L81" s="2">
        <f t="shared" si="0"/>
        <v>504.14999999999964</v>
      </c>
      <c r="M81" s="2"/>
      <c r="N81" s="19">
        <f t="shared" si="1"/>
        <v>6.6097315071079313E-2</v>
      </c>
      <c r="O81" s="11"/>
      <c r="P81" s="2">
        <f>--15789.06</f>
        <v>15789.06</v>
      </c>
      <c r="Q81" s="2"/>
      <c r="R81" s="19"/>
      <c r="S81" s="2"/>
      <c r="T81" s="2">
        <f>--15299.92</f>
        <v>15299.92</v>
      </c>
      <c r="U81" s="2"/>
      <c r="V81" s="19"/>
      <c r="W81" s="2"/>
      <c r="X81" s="2">
        <f t="shared" si="2"/>
        <v>489.13999999999942</v>
      </c>
      <c r="Y81" s="2"/>
      <c r="Z81" s="19">
        <f t="shared" si="3"/>
        <v>3.1970101804453845E-2</v>
      </c>
    </row>
    <row r="82" spans="1:26" s="24" customFormat="1" hidden="1" outlineLevel="1" x14ac:dyDescent="0.25">
      <c r="A82" s="44"/>
      <c r="B82" s="11" t="str">
        <f>CONCATENATE("          ", "4153", " - ", "NON-TAXABLE SALES-FOOD")</f>
        <v xml:space="preserve">          4153 - NON-TAXABLE SALES-FOOD</v>
      </c>
      <c r="C82" s="11"/>
      <c r="D82" s="2">
        <f>--41475.66</f>
        <v>41475.660000000003</v>
      </c>
      <c r="E82" s="2"/>
      <c r="F82" s="19"/>
      <c r="G82" s="2"/>
      <c r="H82" s="2">
        <f>--38886.43</f>
        <v>38886.43</v>
      </c>
      <c r="I82" s="2"/>
      <c r="J82" s="19"/>
      <c r="K82" s="2"/>
      <c r="L82" s="2">
        <f t="shared" si="0"/>
        <v>2589.2300000000032</v>
      </c>
      <c r="M82" s="2"/>
      <c r="N82" s="19">
        <f t="shared" si="1"/>
        <v>6.6584410037126146E-2</v>
      </c>
      <c r="O82" s="11"/>
      <c r="P82" s="2">
        <f>--161692.08</f>
        <v>161692.07999999999</v>
      </c>
      <c r="Q82" s="2"/>
      <c r="R82" s="19"/>
      <c r="S82" s="2"/>
      <c r="T82" s="2">
        <f>--131023.91</f>
        <v>131023.91</v>
      </c>
      <c r="U82" s="2"/>
      <c r="V82" s="19"/>
      <c r="W82" s="2"/>
      <c r="X82" s="2">
        <f t="shared" si="2"/>
        <v>30668.169999999984</v>
      </c>
      <c r="Y82" s="2"/>
      <c r="Z82" s="19">
        <f t="shared" si="3"/>
        <v>0.23406544652804195</v>
      </c>
    </row>
    <row r="83" spans="1:26" s="24" customFormat="1" hidden="1" outlineLevel="1" x14ac:dyDescent="0.25">
      <c r="A83" s="44"/>
      <c r="B83" s="11" t="str">
        <f>CONCATENATE("          ", "4155", " - ", "NON-TAXABLE SALES-FOOD")</f>
        <v xml:space="preserve">          4155 - NON-TAXABLE SALES-FOOD</v>
      </c>
      <c r="C83" s="11"/>
      <c r="D83" s="2">
        <f>--113029.61</f>
        <v>113029.61</v>
      </c>
      <c r="E83" s="2"/>
      <c r="F83" s="19"/>
      <c r="G83" s="2"/>
      <c r="H83" s="2">
        <f>--106514.11</f>
        <v>106514.11</v>
      </c>
      <c r="I83" s="2"/>
      <c r="J83" s="19"/>
      <c r="K83" s="2"/>
      <c r="L83" s="2">
        <f t="shared" si="0"/>
        <v>6515.5</v>
      </c>
      <c r="M83" s="2"/>
      <c r="N83" s="19">
        <f t="shared" si="1"/>
        <v>6.1170299409158094E-2</v>
      </c>
      <c r="O83" s="11"/>
      <c r="P83" s="2">
        <f>--184025.65</f>
        <v>184025.65</v>
      </c>
      <c r="Q83" s="2"/>
      <c r="R83" s="19"/>
      <c r="S83" s="2"/>
      <c r="T83" s="2">
        <f>--174274.09</f>
        <v>174274.09</v>
      </c>
      <c r="U83" s="2"/>
      <c r="V83" s="19"/>
      <c r="W83" s="2"/>
      <c r="X83" s="2">
        <f t="shared" si="2"/>
        <v>9751.5599999999977</v>
      </c>
      <c r="Y83" s="2"/>
      <c r="Z83" s="19">
        <f t="shared" si="3"/>
        <v>5.5955305805929029E-2</v>
      </c>
    </row>
    <row r="84" spans="1:26" s="24" customFormat="1" hidden="1" outlineLevel="1" x14ac:dyDescent="0.25">
      <c r="A84" s="44"/>
      <c r="B84" s="11" t="str">
        <f>CONCATENATE("          ", "4158", " - ", "NON-TAXABLE SALES-FOOD")</f>
        <v xml:space="preserve">          4158 - NON-TAXABLE SALES-FOOD</v>
      </c>
      <c r="C84" s="11"/>
      <c r="D84" s="2">
        <f>--71876.72</f>
        <v>71876.72</v>
      </c>
      <c r="E84" s="2"/>
      <c r="F84" s="19"/>
      <c r="G84" s="2"/>
      <c r="H84" s="2">
        <f>--68548.98</f>
        <v>68548.98</v>
      </c>
      <c r="I84" s="2"/>
      <c r="J84" s="19"/>
      <c r="K84" s="2"/>
      <c r="L84" s="2">
        <f t="shared" si="0"/>
        <v>3327.7400000000052</v>
      </c>
      <c r="M84" s="2"/>
      <c r="N84" s="19">
        <f t="shared" si="1"/>
        <v>4.8545434228197203E-2</v>
      </c>
      <c r="O84" s="11"/>
      <c r="P84" s="2">
        <f>--112246.63</f>
        <v>112246.63</v>
      </c>
      <c r="Q84" s="2"/>
      <c r="R84" s="19"/>
      <c r="S84" s="2"/>
      <c r="T84" s="2">
        <f>--123024.35</f>
        <v>123024.35</v>
      </c>
      <c r="U84" s="2"/>
      <c r="V84" s="19"/>
      <c r="W84" s="2"/>
      <c r="X84" s="2">
        <f t="shared" si="2"/>
        <v>-10777.720000000001</v>
      </c>
      <c r="Y84" s="2"/>
      <c r="Z84" s="19">
        <f t="shared" si="3"/>
        <v>-8.7606396619856156E-2</v>
      </c>
    </row>
    <row r="85" spans="1:26" s="24" customFormat="1" hidden="1" outlineLevel="1" x14ac:dyDescent="0.25">
      <c r="A85" s="44"/>
      <c r="B85" s="11" t="str">
        <f>CONCATENATE("          ", "4159", " - ", "NON-TAXABLE SALES-FOOD")</f>
        <v xml:space="preserve">          4159 - NON-TAXABLE SALES-FOOD</v>
      </c>
      <c r="C85" s="11"/>
      <c r="D85" s="2">
        <f>0</f>
        <v>0</v>
      </c>
      <c r="E85" s="2"/>
      <c r="F85" s="19"/>
      <c r="G85" s="2"/>
      <c r="H85" s="2">
        <f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0</f>
        <v>0</v>
      </c>
      <c r="Q85" s="2"/>
      <c r="R85" s="19"/>
      <c r="S85" s="2"/>
      <c r="T85" s="2">
        <f>--1054.9</f>
        <v>1054.9000000000001</v>
      </c>
      <c r="U85" s="2"/>
      <c r="V85" s="19"/>
      <c r="W85" s="2"/>
      <c r="X85" s="2">
        <f t="shared" si="2"/>
        <v>-1054.9000000000001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"4181", " - ", "NON-TAXABLE SALES-ELECTRONICS")</f>
        <v xml:space="preserve">          4181 - NON-TAXABLE SALES-ELECTRONICS</v>
      </c>
      <c r="C86" s="11"/>
      <c r="D86" s="2">
        <f>--63.96</f>
        <v>63.96</v>
      </c>
      <c r="E86" s="2"/>
      <c r="F86" s="19"/>
      <c r="G86" s="2"/>
      <c r="H86" s="2">
        <f>--494.95</f>
        <v>494.95</v>
      </c>
      <c r="I86" s="2"/>
      <c r="J86" s="19"/>
      <c r="K86" s="2"/>
      <c r="L86" s="2">
        <f t="shared" si="0"/>
        <v>-430.99</v>
      </c>
      <c r="M86" s="2"/>
      <c r="N86" s="19">
        <f t="shared" si="1"/>
        <v>-0.87077482573997378</v>
      </c>
      <c r="O86" s="11"/>
      <c r="P86" s="2">
        <f>--1454.52</f>
        <v>1454.52</v>
      </c>
      <c r="Q86" s="2"/>
      <c r="R86" s="19"/>
      <c r="S86" s="2"/>
      <c r="T86" s="2">
        <f>--836.92</f>
        <v>836.92</v>
      </c>
      <c r="U86" s="2"/>
      <c r="V86" s="19"/>
      <c r="W86" s="2"/>
      <c r="X86" s="2">
        <f t="shared" si="2"/>
        <v>617.6</v>
      </c>
      <c r="Y86" s="2"/>
      <c r="Z86" s="19">
        <f t="shared" si="3"/>
        <v>0.73794388949959377</v>
      </c>
    </row>
    <row r="87" spans="1:26" s="24" customFormat="1" hidden="1" outlineLevel="1" x14ac:dyDescent="0.25">
      <c r="A87" s="44"/>
      <c r="B87" s="11" t="str">
        <f>CONCATENATE("          ", "4182", " - ", "NON-TAXABLE SALES-COMPUTER HAR")</f>
        <v xml:space="preserve">          4182 - NON-TAXABLE SALES-COMPUTER HAR</v>
      </c>
      <c r="C87" s="11"/>
      <c r="D87" s="2">
        <f>--15231</f>
        <v>15231</v>
      </c>
      <c r="E87" s="2"/>
      <c r="F87" s="19"/>
      <c r="G87" s="2"/>
      <c r="H87" s="2">
        <f>--20047.9</f>
        <v>20047.900000000001</v>
      </c>
      <c r="I87" s="2"/>
      <c r="J87" s="19"/>
      <c r="K87" s="2"/>
      <c r="L87" s="2">
        <f t="shared" si="0"/>
        <v>-4816.9000000000015</v>
      </c>
      <c r="M87" s="2"/>
      <c r="N87" s="19">
        <f t="shared" si="1"/>
        <v>-0.24026955441717093</v>
      </c>
      <c r="O87" s="11"/>
      <c r="P87" s="2">
        <f>--45802</f>
        <v>45802</v>
      </c>
      <c r="Q87" s="2"/>
      <c r="R87" s="19"/>
      <c r="S87" s="2"/>
      <c r="T87" s="2">
        <f>--63213.88</f>
        <v>63213.88</v>
      </c>
      <c r="U87" s="2"/>
      <c r="V87" s="19"/>
      <c r="W87" s="2"/>
      <c r="X87" s="2">
        <f t="shared" si="2"/>
        <v>-17411.879999999997</v>
      </c>
      <c r="Y87" s="2"/>
      <c r="Z87" s="19">
        <f t="shared" si="3"/>
        <v>-0.27544393731250161</v>
      </c>
    </row>
    <row r="88" spans="1:26" s="24" customFormat="1" hidden="1" outlineLevel="1" x14ac:dyDescent="0.25">
      <c r="A88" s="44"/>
      <c r="B88" s="11" t="str">
        <f>CONCATENATE("          ", "4183", " - ", "NON-TAXABLE SALES-COMPUTER EQU")</f>
        <v xml:space="preserve">          4183 - NON-TAXABLE SALES-COMPUTER EQU</v>
      </c>
      <c r="C88" s="11"/>
      <c r="D88" s="2">
        <f>--864.82</f>
        <v>864.82</v>
      </c>
      <c r="E88" s="2"/>
      <c r="F88" s="19"/>
      <c r="G88" s="2"/>
      <c r="H88" s="2">
        <f>--948.73</f>
        <v>948.73</v>
      </c>
      <c r="I88" s="2"/>
      <c r="J88" s="19"/>
      <c r="K88" s="2"/>
      <c r="L88" s="2">
        <f t="shared" si="0"/>
        <v>-83.909999999999968</v>
      </c>
      <c r="M88" s="2"/>
      <c r="N88" s="19">
        <f t="shared" si="1"/>
        <v>-8.8444552190823492E-2</v>
      </c>
      <c r="O88" s="11"/>
      <c r="P88" s="2">
        <f>--2021.11</f>
        <v>2021.11</v>
      </c>
      <c r="Q88" s="2"/>
      <c r="R88" s="19"/>
      <c r="S88" s="2"/>
      <c r="T88" s="2">
        <f>--1630.45</f>
        <v>1630.45</v>
      </c>
      <c r="U88" s="2"/>
      <c r="V88" s="19"/>
      <c r="W88" s="2"/>
      <c r="X88" s="2">
        <f t="shared" si="2"/>
        <v>390.65999999999985</v>
      </c>
      <c r="Y88" s="2"/>
      <c r="Z88" s="19">
        <f t="shared" si="3"/>
        <v>0.23960256370940528</v>
      </c>
    </row>
    <row r="89" spans="1:26" s="24" customFormat="1" hidden="1" outlineLevel="1" x14ac:dyDescent="0.25">
      <c r="A89" s="44"/>
      <c r="B89" s="11" t="str">
        <f>CONCATENATE("          ", "4184", " - ", "NON-TAXABLE SALES-SOFTWARE LIC")</f>
        <v xml:space="preserve">          4184 - NON-TAXABLE SALES-SOFTWARE LIC</v>
      </c>
      <c r="C89" s="11"/>
      <c r="D89" s="2">
        <f>0</f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--1522</f>
        <v>1522</v>
      </c>
      <c r="Q89" s="2"/>
      <c r="R89" s="19"/>
      <c r="S89" s="2"/>
      <c r="T89" s="2">
        <f>--99</f>
        <v>99</v>
      </c>
      <c r="U89" s="2"/>
      <c r="V89" s="19"/>
      <c r="W89" s="2"/>
      <c r="X89" s="2">
        <f t="shared" si="2"/>
        <v>1423</v>
      </c>
      <c r="Y89" s="2"/>
      <c r="Z89" s="19">
        <f t="shared" si="3"/>
        <v>14.373737373737374</v>
      </c>
    </row>
    <row r="90" spans="1:26" s="24" customFormat="1" hidden="1" outlineLevel="1" x14ac:dyDescent="0.25">
      <c r="A90" s="44"/>
      <c r="B90" s="11" t="str">
        <f>CONCATENATE("          ", "4185", " - ", "NON-TAXABLE SALES-SOFTWARE")</f>
        <v xml:space="preserve">          4185 - NON-TAXABLE SALES-SOFTWARE</v>
      </c>
      <c r="C90" s="11"/>
      <c r="D90" s="2">
        <f>--2555.94</f>
        <v>2555.94</v>
      </c>
      <c r="E90" s="2"/>
      <c r="F90" s="19"/>
      <c r="G90" s="2"/>
      <c r="H90" s="2">
        <f>--294.99</f>
        <v>294.99</v>
      </c>
      <c r="I90" s="2"/>
      <c r="J90" s="19"/>
      <c r="K90" s="2"/>
      <c r="L90" s="2">
        <f t="shared" si="0"/>
        <v>2260.9499999999998</v>
      </c>
      <c r="M90" s="2"/>
      <c r="N90" s="19">
        <f t="shared" si="1"/>
        <v>7.6644971015966634</v>
      </c>
      <c r="O90" s="11"/>
      <c r="P90" s="2">
        <f>--7077.94</f>
        <v>7077.94</v>
      </c>
      <c r="Q90" s="2"/>
      <c r="R90" s="19"/>
      <c r="S90" s="2"/>
      <c r="T90" s="2">
        <f>--2216.91</f>
        <v>2216.91</v>
      </c>
      <c r="U90" s="2"/>
      <c r="V90" s="19"/>
      <c r="W90" s="2"/>
      <c r="X90" s="2">
        <f t="shared" si="2"/>
        <v>4861.03</v>
      </c>
      <c r="Y90" s="2"/>
      <c r="Z90" s="19">
        <f t="shared" si="3"/>
        <v>2.1927051616890174</v>
      </c>
    </row>
    <row r="91" spans="1:26" s="24" customFormat="1" hidden="1" outlineLevel="1" x14ac:dyDescent="0.25">
      <c r="A91" s="44"/>
      <c r="B91" s="11" t="str">
        <f>CONCATENATE("          ", "4186", " - ", "NON-TAXABLE SALES-COMPUTER SUP")</f>
        <v xml:space="preserve">          4186 - NON-TAXABLE SALES-COMPUTER SUP</v>
      </c>
      <c r="C91" s="11"/>
      <c r="D91" s="2">
        <f>--450.88</f>
        <v>450.88</v>
      </c>
      <c r="E91" s="2"/>
      <c r="F91" s="19"/>
      <c r="G91" s="2"/>
      <c r="H91" s="2">
        <f>--450.9</f>
        <v>450.9</v>
      </c>
      <c r="I91" s="2"/>
      <c r="J91" s="19"/>
      <c r="K91" s="2"/>
      <c r="L91" s="2">
        <f t="shared" si="0"/>
        <v>-1.999999999998181E-2</v>
      </c>
      <c r="M91" s="2"/>
      <c r="N91" s="19">
        <f t="shared" si="1"/>
        <v>-4.4355732978447128E-5</v>
      </c>
      <c r="O91" s="11"/>
      <c r="P91" s="2">
        <f>--725.78</f>
        <v>725.78</v>
      </c>
      <c r="Q91" s="2"/>
      <c r="R91" s="19"/>
      <c r="S91" s="2"/>
      <c r="T91" s="2">
        <f>--1760.34</f>
        <v>1760.34</v>
      </c>
      <c r="U91" s="2"/>
      <c r="V91" s="19"/>
      <c r="W91" s="2"/>
      <c r="X91" s="2">
        <f t="shared" si="2"/>
        <v>-1034.56</v>
      </c>
      <c r="Y91" s="2"/>
      <c r="Z91" s="19">
        <f t="shared" si="3"/>
        <v>-0.58770464796573385</v>
      </c>
    </row>
    <row r="92" spans="1:26" s="24" customFormat="1" hidden="1" outlineLevel="1" x14ac:dyDescent="0.25">
      <c r="A92" s="44"/>
      <c r="B92" s="11" t="str">
        <f>CONCATENATE("          ", "4188", " - ", "NON-TAXABLE SALES-MUSIC")</f>
        <v xml:space="preserve">          4188 - NON-TAXABLE SALES-MUSIC</v>
      </c>
      <c r="C92" s="11"/>
      <c r="D92" s="2">
        <f>--119.98</f>
        <v>119.98</v>
      </c>
      <c r="E92" s="2"/>
      <c r="F92" s="19"/>
      <c r="G92" s="2"/>
      <c r="H92" s="2">
        <f>0</f>
        <v>0</v>
      </c>
      <c r="I92" s="2"/>
      <c r="J92" s="19"/>
      <c r="K92" s="2"/>
      <c r="L92" s="2">
        <f t="shared" si="0"/>
        <v>119.98</v>
      </c>
      <c r="M92" s="2"/>
      <c r="N92" s="19">
        <f t="shared" si="1"/>
        <v>0</v>
      </c>
      <c r="O92" s="11"/>
      <c r="P92" s="2">
        <f>--219.96</f>
        <v>219.96</v>
      </c>
      <c r="Q92" s="2"/>
      <c r="R92" s="19"/>
      <c r="S92" s="2"/>
      <c r="T92" s="2">
        <f>--199.98</f>
        <v>199.98</v>
      </c>
      <c r="U92" s="2"/>
      <c r="V92" s="19"/>
      <c r="W92" s="2"/>
      <c r="X92" s="2">
        <f t="shared" si="2"/>
        <v>19.980000000000018</v>
      </c>
      <c r="Y92" s="2"/>
      <c r="Z92" s="19">
        <f t="shared" si="3"/>
        <v>9.9909990999100001E-2</v>
      </c>
    </row>
    <row r="93" spans="1:26" s="24" customFormat="1" hidden="1" outlineLevel="1" x14ac:dyDescent="0.25">
      <c r="A93" s="44"/>
      <c r="B93" s="11" t="str">
        <f>CONCATENATE("          ", "4201", " - ", "SALES RETURN TAXABLE-NEW TEXT")</f>
        <v xml:space="preserve">          4201 - SALES RETURN TAXABLE-NEW TEXT</v>
      </c>
      <c r="C93" s="11"/>
      <c r="D93" s="2">
        <f>-14069.34</f>
        <v>-14069.34</v>
      </c>
      <c r="E93" s="2"/>
      <c r="F93" s="19"/>
      <c r="G93" s="2"/>
      <c r="H93" s="2">
        <f>-24266.28</f>
        <v>-24266.28</v>
      </c>
      <c r="I93" s="2"/>
      <c r="J93" s="19"/>
      <c r="K93" s="2"/>
      <c r="L93" s="2">
        <f t="shared" si="0"/>
        <v>10196.939999999999</v>
      </c>
      <c r="M93" s="2"/>
      <c r="N93" s="19">
        <f t="shared" si="1"/>
        <v>-0.42021026708667331</v>
      </c>
      <c r="O93" s="11"/>
      <c r="P93" s="2">
        <f>-73239.75</f>
        <v>-73239.75</v>
      </c>
      <c r="Q93" s="2"/>
      <c r="R93" s="19"/>
      <c r="S93" s="2"/>
      <c r="T93" s="2">
        <f>-98792.22</f>
        <v>-98792.22</v>
      </c>
      <c r="U93" s="2"/>
      <c r="V93" s="19"/>
      <c r="W93" s="2"/>
      <c r="X93" s="2">
        <f t="shared" si="2"/>
        <v>25552.47</v>
      </c>
      <c r="Y93" s="2"/>
      <c r="Z93" s="19">
        <f t="shared" si="3"/>
        <v>-0.25864860613517948</v>
      </c>
    </row>
    <row r="94" spans="1:26" s="24" customFormat="1" hidden="1" outlineLevel="1" x14ac:dyDescent="0.25">
      <c r="A94" s="44"/>
      <c r="B94" s="11" t="str">
        <f>CONCATENATE("          ", "4202", " - ", "SALES RETURN TAXABLE-USED TEXT")</f>
        <v xml:space="preserve">          4202 - SALES RETURN TAXABLE-USED TEXT</v>
      </c>
      <c r="C94" s="11"/>
      <c r="D94" s="2">
        <f>-2096.65</f>
        <v>-2096.65</v>
      </c>
      <c r="E94" s="2"/>
      <c r="F94" s="19"/>
      <c r="G94" s="2"/>
      <c r="H94" s="2">
        <f>-3228.4</f>
        <v>-3228.4</v>
      </c>
      <c r="I94" s="2"/>
      <c r="J94" s="19"/>
      <c r="K94" s="2"/>
      <c r="L94" s="2">
        <f t="shared" si="0"/>
        <v>1131.75</v>
      </c>
      <c r="M94" s="2"/>
      <c r="N94" s="19">
        <f t="shared" si="1"/>
        <v>-0.35056064923801261</v>
      </c>
      <c r="O94" s="11"/>
      <c r="P94" s="2">
        <f>-23351.1</f>
        <v>-23351.1</v>
      </c>
      <c r="Q94" s="2"/>
      <c r="R94" s="19"/>
      <c r="S94" s="2"/>
      <c r="T94" s="2">
        <f>-26655.65</f>
        <v>-26655.65</v>
      </c>
      <c r="U94" s="2"/>
      <c r="V94" s="19"/>
      <c r="W94" s="2"/>
      <c r="X94" s="2">
        <f t="shared" si="2"/>
        <v>3304.5500000000029</v>
      </c>
      <c r="Y94" s="2"/>
      <c r="Z94" s="19">
        <f t="shared" si="3"/>
        <v>-0.12397184086675818</v>
      </c>
    </row>
    <row r="95" spans="1:26" s="24" customFormat="1" hidden="1" outlineLevel="1" x14ac:dyDescent="0.25">
      <c r="A95" s="44"/>
      <c r="B95" s="11" t="str">
        <f>CONCATENATE("          ", "4203", " - ", "SALES RETURN TAXABLE-RENTAL TE")</f>
        <v xml:space="preserve">          4203 - SALES RETURN TAXABLE-RENTAL TE</v>
      </c>
      <c r="C95" s="11"/>
      <c r="D95" s="2">
        <f>-144.99</f>
        <v>-144.99</v>
      </c>
      <c r="E95" s="2"/>
      <c r="F95" s="19"/>
      <c r="G95" s="2"/>
      <c r="H95" s="2">
        <f>-1529.55</f>
        <v>-1529.55</v>
      </c>
      <c r="I95" s="2"/>
      <c r="J95" s="19"/>
      <c r="K95" s="2"/>
      <c r="L95" s="2">
        <f t="shared" si="0"/>
        <v>1384.56</v>
      </c>
      <c r="M95" s="2"/>
      <c r="N95" s="19">
        <f t="shared" si="1"/>
        <v>-0.90520741394527804</v>
      </c>
      <c r="O95" s="11"/>
      <c r="P95" s="2">
        <f>-144.99</f>
        <v>-144.99</v>
      </c>
      <c r="Q95" s="2"/>
      <c r="R95" s="19"/>
      <c r="S95" s="2"/>
      <c r="T95" s="2">
        <f>-1529.55</f>
        <v>-1529.55</v>
      </c>
      <c r="U95" s="2"/>
      <c r="V95" s="19"/>
      <c r="W95" s="2"/>
      <c r="X95" s="2">
        <f t="shared" si="2"/>
        <v>1384.56</v>
      </c>
      <c r="Y95" s="2"/>
      <c r="Z95" s="19">
        <f t="shared" si="3"/>
        <v>-0.90520741394527804</v>
      </c>
    </row>
    <row r="96" spans="1:26" s="24" customFormat="1" hidden="1" outlineLevel="1" x14ac:dyDescent="0.25">
      <c r="A96" s="44"/>
      <c r="B96" s="11" t="str">
        <f>CONCATENATE("          ", "4204", " - ", "SALES RETURN TAXABLE-DIGITAL T")</f>
        <v xml:space="preserve">          4204 - SALES RETURN TAXABLE-DIGITAL T</v>
      </c>
      <c r="C96" s="11"/>
      <c r="D96" s="2">
        <f>-4208.35</f>
        <v>-4208.3500000000004</v>
      </c>
      <c r="E96" s="2"/>
      <c r="F96" s="19"/>
      <c r="G96" s="2"/>
      <c r="H96" s="2">
        <f>-2237.91</f>
        <v>-2237.91</v>
      </c>
      <c r="I96" s="2"/>
      <c r="J96" s="19"/>
      <c r="K96" s="2"/>
      <c r="L96" s="2">
        <f t="shared" si="0"/>
        <v>-1970.4400000000005</v>
      </c>
      <c r="M96" s="2"/>
      <c r="N96" s="19">
        <f t="shared" si="1"/>
        <v>0.88048223565737704</v>
      </c>
      <c r="O96" s="11"/>
      <c r="P96" s="2">
        <f>-11056.72</f>
        <v>-11056.72</v>
      </c>
      <c r="Q96" s="2"/>
      <c r="R96" s="19"/>
      <c r="S96" s="2"/>
      <c r="T96" s="2">
        <f>-15141.64</f>
        <v>-15141.64</v>
      </c>
      <c r="U96" s="2"/>
      <c r="V96" s="19"/>
      <c r="W96" s="2"/>
      <c r="X96" s="2">
        <f t="shared" si="2"/>
        <v>4084.92</v>
      </c>
      <c r="Y96" s="2"/>
      <c r="Z96" s="19">
        <f t="shared" si="3"/>
        <v>-0.2697805521726841</v>
      </c>
    </row>
    <row r="97" spans="1:26" s="24" customFormat="1" hidden="1" outlineLevel="1" x14ac:dyDescent="0.25">
      <c r="A97" s="44"/>
      <c r="B97" s="11" t="str">
        <f>CONCATENATE("          ", "4213", " - ", "NON-TAXABLE SALES-TRADE BOOKS")</f>
        <v xml:space="preserve">          4213 - NON-TAXABLE SALES-TRADE BOOKS</v>
      </c>
      <c r="C97" s="11"/>
      <c r="D97" s="2">
        <f t="shared" ref="D97:D98" si="7">0</f>
        <v>0</v>
      </c>
      <c r="E97" s="2"/>
      <c r="F97" s="19"/>
      <c r="G97" s="2"/>
      <c r="H97" s="2">
        <f t="shared" ref="H97:H98" si="8">0</f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 t="shared" ref="P97:P98" si="9">0</f>
        <v>0</v>
      </c>
      <c r="Q97" s="2"/>
      <c r="R97" s="19"/>
      <c r="S97" s="2"/>
      <c r="T97" s="2">
        <f>-15</f>
        <v>-15</v>
      </c>
      <c r="U97" s="2"/>
      <c r="V97" s="19"/>
      <c r="W97" s="2"/>
      <c r="X97" s="2">
        <f t="shared" si="2"/>
        <v>15</v>
      </c>
      <c r="Y97" s="2"/>
      <c r="Z97" s="19">
        <f t="shared" si="3"/>
        <v>-1</v>
      </c>
    </row>
    <row r="98" spans="1:26" s="24" customFormat="1" hidden="1" outlineLevel="1" x14ac:dyDescent="0.25">
      <c r="A98" s="44"/>
      <c r="B98" s="11" t="str">
        <f>CONCATENATE("          ", "4217", " - ", "NON-TAXABLE SALES-DORM/HOUSEWA")</f>
        <v xml:space="preserve">          4217 - NON-TAXABLE SALES-DORM/HOUSEWA</v>
      </c>
      <c r="C98" s="11"/>
      <c r="D98" s="2">
        <f t="shared" si="7"/>
        <v>0</v>
      </c>
      <c r="E98" s="2"/>
      <c r="F98" s="19"/>
      <c r="G98" s="2"/>
      <c r="H98" s="2">
        <f t="shared" si="8"/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 t="shared" si="9"/>
        <v>0</v>
      </c>
      <c r="Q98" s="2"/>
      <c r="R98" s="19"/>
      <c r="S98" s="2"/>
      <c r="T98" s="2">
        <f>-1.5</f>
        <v>-1.5</v>
      </c>
      <c r="U98" s="2"/>
      <c r="V98" s="19"/>
      <c r="W98" s="2"/>
      <c r="X98" s="2">
        <f t="shared" si="2"/>
        <v>1.5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"4218", " - ", "SALES RETURN TAXABLE-STUDY GUI")</f>
        <v xml:space="preserve">          4218 - SALES RETURN TAXABLE-STUDY GUI</v>
      </c>
      <c r="C99" s="11"/>
      <c r="D99" s="2">
        <f>-5.95</f>
        <v>-5.95</v>
      </c>
      <c r="E99" s="2"/>
      <c r="F99" s="19"/>
      <c r="G99" s="2"/>
      <c r="H99" s="2">
        <f>-6.95</f>
        <v>-6.95</v>
      </c>
      <c r="I99" s="2"/>
      <c r="J99" s="19"/>
      <c r="K99" s="2"/>
      <c r="L99" s="2">
        <f t="shared" si="0"/>
        <v>1</v>
      </c>
      <c r="M99" s="2"/>
      <c r="N99" s="19">
        <f t="shared" si="1"/>
        <v>-0.14388489208633093</v>
      </c>
      <c r="O99" s="11"/>
      <c r="P99" s="2">
        <f>-32.75</f>
        <v>-32.75</v>
      </c>
      <c r="Q99" s="2"/>
      <c r="R99" s="19"/>
      <c r="S99" s="2"/>
      <c r="T99" s="2">
        <f>-22.9</f>
        <v>-22.9</v>
      </c>
      <c r="U99" s="2"/>
      <c r="V99" s="19"/>
      <c r="W99" s="2"/>
      <c r="X99" s="2">
        <f t="shared" si="2"/>
        <v>-9.8500000000000014</v>
      </c>
      <c r="Y99" s="2"/>
      <c r="Z99" s="19">
        <f t="shared" si="3"/>
        <v>0.43013100436681234</v>
      </c>
    </row>
    <row r="100" spans="1:26" s="24" customFormat="1" hidden="1" outlineLevel="1" x14ac:dyDescent="0.25">
      <c r="A100" s="44"/>
      <c r="B100" s="11" t="str">
        <f>CONCATENATE("          ", "4225", " - ", "SALES RETURN TAXABLE-TEST FORM")</f>
        <v xml:space="preserve">          4225 - SALES RETURN TAXABLE-TEST FORM</v>
      </c>
      <c r="C100" s="11"/>
      <c r="D100" s="2">
        <f>-20.41</f>
        <v>-20.41</v>
      </c>
      <c r="E100" s="2"/>
      <c r="F100" s="19"/>
      <c r="G100" s="2"/>
      <c r="H100" s="2">
        <f>-23.53</f>
        <v>-23.53</v>
      </c>
      <c r="I100" s="2"/>
      <c r="J100" s="19"/>
      <c r="K100" s="2"/>
      <c r="L100" s="2">
        <f t="shared" si="0"/>
        <v>3.120000000000001</v>
      </c>
      <c r="M100" s="2"/>
      <c r="N100" s="19">
        <f t="shared" si="1"/>
        <v>-0.13259668508287295</v>
      </c>
      <c r="O100" s="11"/>
      <c r="P100" s="2">
        <f>-33.1</f>
        <v>-33.1</v>
      </c>
      <c r="Q100" s="2"/>
      <c r="R100" s="19"/>
      <c r="S100" s="2"/>
      <c r="T100" s="2">
        <f>-37.33</f>
        <v>-37.33</v>
      </c>
      <c r="U100" s="2"/>
      <c r="V100" s="19"/>
      <c r="W100" s="2"/>
      <c r="X100" s="2">
        <f t="shared" si="2"/>
        <v>4.2299999999999969</v>
      </c>
      <c r="Y100" s="2"/>
      <c r="Z100" s="19">
        <f t="shared" si="3"/>
        <v>-0.11331368872220726</v>
      </c>
    </row>
    <row r="101" spans="1:26" s="24" customFormat="1" hidden="1" outlineLevel="1" x14ac:dyDescent="0.25">
      <c r="A101" s="44"/>
      <c r="B101" s="11" t="str">
        <f>CONCATENATE("          ", "4226", " - ", "SALES RETURN TAXABLE-WRITING I")</f>
        <v xml:space="preserve">          4226 - SALES RETURN TAXABLE-WRITING I</v>
      </c>
      <c r="C101" s="11"/>
      <c r="D101" s="2">
        <f>-184.86</f>
        <v>-184.86</v>
      </c>
      <c r="E101" s="2"/>
      <c r="F101" s="19"/>
      <c r="G101" s="2"/>
      <c r="H101" s="2">
        <f>-48.02</f>
        <v>-48.02</v>
      </c>
      <c r="I101" s="2"/>
      <c r="J101" s="19"/>
      <c r="K101" s="2"/>
      <c r="L101" s="2">
        <f t="shared" si="0"/>
        <v>-136.84</v>
      </c>
      <c r="M101" s="2"/>
      <c r="N101" s="19">
        <f t="shared" si="1"/>
        <v>2.8496459808413159</v>
      </c>
      <c r="O101" s="11"/>
      <c r="P101" s="2">
        <f>-309.07</f>
        <v>-309.07</v>
      </c>
      <c r="Q101" s="2"/>
      <c r="R101" s="19"/>
      <c r="S101" s="2"/>
      <c r="T101" s="2">
        <f>-117.26</f>
        <v>-117.26</v>
      </c>
      <c r="U101" s="2"/>
      <c r="V101" s="19"/>
      <c r="W101" s="2"/>
      <c r="X101" s="2">
        <f t="shared" si="2"/>
        <v>-191.81</v>
      </c>
      <c r="Y101" s="2"/>
      <c r="Z101" s="19">
        <f t="shared" si="3"/>
        <v>1.6357666723520381</v>
      </c>
    </row>
    <row r="102" spans="1:26" s="24" customFormat="1" hidden="1" outlineLevel="1" x14ac:dyDescent="0.25">
      <c r="A102" s="44"/>
      <c r="B102" s="11" t="str">
        <f>CONCATENATE("          ", "4227", " - ", "SALES RETURN TAXABLE-SCHOOL SU")</f>
        <v xml:space="preserve">          4227 - SALES RETURN TAXABLE-SCHOOL SU</v>
      </c>
      <c r="C102" s="11"/>
      <c r="D102" s="2">
        <f>-2805.04</f>
        <v>-2805.04</v>
      </c>
      <c r="E102" s="2"/>
      <c r="F102" s="19"/>
      <c r="G102" s="2"/>
      <c r="H102" s="2">
        <f>-974.33</f>
        <v>-974.33</v>
      </c>
      <c r="I102" s="2"/>
      <c r="J102" s="19"/>
      <c r="K102" s="2"/>
      <c r="L102" s="2">
        <f t="shared" si="0"/>
        <v>-1830.71</v>
      </c>
      <c r="M102" s="2"/>
      <c r="N102" s="19">
        <f t="shared" si="1"/>
        <v>1.878942452762411</v>
      </c>
      <c r="O102" s="11"/>
      <c r="P102" s="2">
        <f>-4501.63</f>
        <v>-4501.63</v>
      </c>
      <c r="Q102" s="2"/>
      <c r="R102" s="19"/>
      <c r="S102" s="2"/>
      <c r="T102" s="2">
        <f>-1946.22</f>
        <v>-1946.22</v>
      </c>
      <c r="U102" s="2"/>
      <c r="V102" s="19"/>
      <c r="W102" s="2"/>
      <c r="X102" s="2">
        <f t="shared" si="2"/>
        <v>-2555.41</v>
      </c>
      <c r="Y102" s="2"/>
      <c r="Z102" s="19">
        <f t="shared" si="3"/>
        <v>1.3130118897144207</v>
      </c>
    </row>
    <row r="103" spans="1:26" s="24" customFormat="1" hidden="1" outlineLevel="1" x14ac:dyDescent="0.25">
      <c r="A103" s="44"/>
      <c r="B103" s="11" t="str">
        <f>CONCATENATE("          ", "4228", " - ", "SALES RETURN TAXABLE-ART/TECH")</f>
        <v xml:space="preserve">          4228 - SALES RETURN TAXABLE-ART/TECH</v>
      </c>
      <c r="C103" s="11"/>
      <c r="D103" s="2">
        <f>-1058.54</f>
        <v>-1058.54</v>
      </c>
      <c r="E103" s="2"/>
      <c r="F103" s="19"/>
      <c r="G103" s="2"/>
      <c r="H103" s="2">
        <f>-1715.94</f>
        <v>-1715.94</v>
      </c>
      <c r="I103" s="2"/>
      <c r="J103" s="19"/>
      <c r="K103" s="2"/>
      <c r="L103" s="2">
        <f t="shared" si="0"/>
        <v>657.40000000000009</v>
      </c>
      <c r="M103" s="2"/>
      <c r="N103" s="19">
        <f t="shared" si="1"/>
        <v>-0.38311362868165555</v>
      </c>
      <c r="O103" s="11"/>
      <c r="P103" s="2">
        <f>-1927.27</f>
        <v>-1927.27</v>
      </c>
      <c r="Q103" s="2"/>
      <c r="R103" s="19"/>
      <c r="S103" s="2"/>
      <c r="T103" s="2">
        <f>-2781.43</f>
        <v>-2781.43</v>
      </c>
      <c r="U103" s="2"/>
      <c r="V103" s="19"/>
      <c r="W103" s="2"/>
      <c r="X103" s="2">
        <f t="shared" si="2"/>
        <v>854.15999999999985</v>
      </c>
      <c r="Y103" s="2"/>
      <c r="Z103" s="19">
        <f t="shared" si="3"/>
        <v>-0.30709383302833432</v>
      </c>
    </row>
    <row r="104" spans="1:26" s="24" customFormat="1" hidden="1" outlineLevel="1" x14ac:dyDescent="0.25">
      <c r="A104" s="44"/>
      <c r="B104" s="11" t="str">
        <f>CONCATENATE("          ", "4233", " - ", "SALES RETURN TAXABLE-CANDY")</f>
        <v xml:space="preserve">          4233 - SALES RETURN TAXABLE-CANDY</v>
      </c>
      <c r="C104" s="11"/>
      <c r="D104" s="2">
        <f>0</f>
        <v>0</v>
      </c>
      <c r="E104" s="2"/>
      <c r="F104" s="19"/>
      <c r="G104" s="2"/>
      <c r="H104" s="2">
        <f>0</f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0</f>
        <v>0</v>
      </c>
      <c r="Q104" s="2"/>
      <c r="R104" s="19"/>
      <c r="S104" s="2"/>
      <c r="T104" s="2">
        <f>-1.69</f>
        <v>-1.69</v>
      </c>
      <c r="U104" s="2"/>
      <c r="V104" s="19"/>
      <c r="W104" s="2"/>
      <c r="X104" s="2">
        <f t="shared" si="2"/>
        <v>1.69</v>
      </c>
      <c r="Y104" s="2"/>
      <c r="Z104" s="19">
        <f t="shared" si="3"/>
        <v>-1</v>
      </c>
    </row>
    <row r="105" spans="1:26" s="24" customFormat="1" hidden="1" outlineLevel="1" x14ac:dyDescent="0.25">
      <c r="A105" s="44"/>
      <c r="B105" s="11" t="str">
        <f>CONCATENATE("          ", "4240", " - ", "SALES RETURN TAXABLE-LOGO CLOT")</f>
        <v xml:space="preserve">          4240 - SALES RETURN TAXABLE-LOGO CLOT</v>
      </c>
      <c r="C105" s="11"/>
      <c r="D105" s="2">
        <f>-9538.49</f>
        <v>-9538.49</v>
      </c>
      <c r="E105" s="2"/>
      <c r="F105" s="19"/>
      <c r="G105" s="2"/>
      <c r="H105" s="2">
        <f>-8956.8</f>
        <v>-8956.7999999999993</v>
      </c>
      <c r="I105" s="2"/>
      <c r="J105" s="19"/>
      <c r="K105" s="2"/>
      <c r="L105" s="2">
        <f t="shared" si="0"/>
        <v>-581.69000000000051</v>
      </c>
      <c r="M105" s="2"/>
      <c r="N105" s="19">
        <f t="shared" si="1"/>
        <v>6.4943953197570625E-2</v>
      </c>
      <c r="O105" s="11"/>
      <c r="P105" s="2">
        <f>-20792.98</f>
        <v>-20792.98</v>
      </c>
      <c r="Q105" s="2"/>
      <c r="R105" s="19"/>
      <c r="S105" s="2"/>
      <c r="T105" s="2">
        <f>-20528.6</f>
        <v>-20528.599999999999</v>
      </c>
      <c r="U105" s="2"/>
      <c r="V105" s="19"/>
      <c r="W105" s="2"/>
      <c r="X105" s="2">
        <f t="shared" si="2"/>
        <v>-264.38000000000102</v>
      </c>
      <c r="Y105" s="2"/>
      <c r="Z105" s="19">
        <f t="shared" si="3"/>
        <v>1.2878618123008926E-2</v>
      </c>
    </row>
    <row r="106" spans="1:26" s="24" customFormat="1" hidden="1" outlineLevel="1" x14ac:dyDescent="0.25">
      <c r="A106" s="44"/>
      <c r="B106" s="11" t="str">
        <f>CONCATENATE("          ", "4241", " - ", "SALES RETURN TAXABLE-LOGO GIFT")</f>
        <v xml:space="preserve">          4241 - SALES RETURN TAXABLE-LOGO GIFT</v>
      </c>
      <c r="C106" s="11"/>
      <c r="D106" s="2">
        <f>-700.87</f>
        <v>-700.87</v>
      </c>
      <c r="E106" s="2"/>
      <c r="F106" s="19"/>
      <c r="G106" s="2"/>
      <c r="H106" s="2">
        <f>-1002.83</f>
        <v>-1002.83</v>
      </c>
      <c r="I106" s="2"/>
      <c r="J106" s="19"/>
      <c r="K106" s="2"/>
      <c r="L106" s="2">
        <f t="shared" si="0"/>
        <v>301.96000000000004</v>
      </c>
      <c r="M106" s="2"/>
      <c r="N106" s="19">
        <f t="shared" si="1"/>
        <v>-0.30110786474277795</v>
      </c>
      <c r="O106" s="11"/>
      <c r="P106" s="2">
        <f>-2390.88</f>
        <v>-2390.88</v>
      </c>
      <c r="Q106" s="2"/>
      <c r="R106" s="19"/>
      <c r="S106" s="2"/>
      <c r="T106" s="2">
        <f>-2600.74</f>
        <v>-2600.7399999999998</v>
      </c>
      <c r="U106" s="2"/>
      <c r="V106" s="19"/>
      <c r="W106" s="2"/>
      <c r="X106" s="2">
        <f t="shared" si="2"/>
        <v>209.85999999999967</v>
      </c>
      <c r="Y106" s="2"/>
      <c r="Z106" s="19">
        <f t="shared" si="3"/>
        <v>-8.0692418311711159E-2</v>
      </c>
    </row>
    <row r="107" spans="1:26" s="24" customFormat="1" hidden="1" outlineLevel="1" x14ac:dyDescent="0.25">
      <c r="A107" s="44"/>
      <c r="B107" s="11" t="str">
        <f>CONCATENATE("          ", "4242", " - ", "SALES RETURN TAXABLE-EVERYDAY")</f>
        <v xml:space="preserve">          4242 - SALES RETURN TAXABLE-EVERYDAY</v>
      </c>
      <c r="C107" s="11"/>
      <c r="D107" s="2">
        <f>-169.66</f>
        <v>-169.66</v>
      </c>
      <c r="E107" s="2"/>
      <c r="F107" s="19"/>
      <c r="G107" s="2"/>
      <c r="H107" s="2">
        <f>-316.56</f>
        <v>-316.56</v>
      </c>
      <c r="I107" s="2"/>
      <c r="J107" s="19"/>
      <c r="K107" s="2"/>
      <c r="L107" s="2">
        <f t="shared" si="0"/>
        <v>146.9</v>
      </c>
      <c r="M107" s="2"/>
      <c r="N107" s="19">
        <f t="shared" si="1"/>
        <v>-0.46405104877432402</v>
      </c>
      <c r="O107" s="11"/>
      <c r="P107" s="2">
        <f>-994.47</f>
        <v>-994.47</v>
      </c>
      <c r="Q107" s="2"/>
      <c r="R107" s="19"/>
      <c r="S107" s="2"/>
      <c r="T107" s="2">
        <f>-738.35</f>
        <v>-738.35</v>
      </c>
      <c r="U107" s="2"/>
      <c r="V107" s="19"/>
      <c r="W107" s="2"/>
      <c r="X107" s="2">
        <f t="shared" si="2"/>
        <v>-256.12</v>
      </c>
      <c r="Y107" s="2"/>
      <c r="Z107" s="19">
        <f t="shared" si="3"/>
        <v>0.34688156023566058</v>
      </c>
    </row>
    <row r="108" spans="1:26" s="24" customFormat="1" hidden="1" outlineLevel="1" x14ac:dyDescent="0.25">
      <c r="A108" s="44"/>
      <c r="B108" s="11" t="str">
        <f>CONCATENATE("          ", "4243", " - ", "SALES RETURN TAXABLE-CARDS")</f>
        <v xml:space="preserve">          4243 - SALES RETURN TAXABLE-CARDS</v>
      </c>
      <c r="C108" s="11"/>
      <c r="D108" s="2">
        <f>-4.5</f>
        <v>-4.5</v>
      </c>
      <c r="E108" s="2"/>
      <c r="F108" s="19"/>
      <c r="G108" s="2"/>
      <c r="H108" s="2">
        <f>-12.95</f>
        <v>-12.95</v>
      </c>
      <c r="I108" s="2"/>
      <c r="J108" s="19"/>
      <c r="K108" s="2"/>
      <c r="L108" s="2">
        <f t="shared" si="0"/>
        <v>8.4499999999999993</v>
      </c>
      <c r="M108" s="2"/>
      <c r="N108" s="19">
        <f t="shared" si="1"/>
        <v>-0.65250965250965254</v>
      </c>
      <c r="O108" s="11"/>
      <c r="P108" s="2">
        <f>-4.5</f>
        <v>-4.5</v>
      </c>
      <c r="Q108" s="2"/>
      <c r="R108" s="19"/>
      <c r="S108" s="2"/>
      <c r="T108" s="2">
        <f>-12.95</f>
        <v>-12.95</v>
      </c>
      <c r="U108" s="2"/>
      <c r="V108" s="19"/>
      <c r="W108" s="2"/>
      <c r="X108" s="2">
        <f t="shared" si="2"/>
        <v>8.4499999999999993</v>
      </c>
      <c r="Y108" s="2"/>
      <c r="Z108" s="19">
        <f t="shared" si="3"/>
        <v>-0.65250965250965254</v>
      </c>
    </row>
    <row r="109" spans="1:26" s="24" customFormat="1" hidden="1" outlineLevel="1" x14ac:dyDescent="0.25">
      <c r="A109" s="44"/>
      <c r="B109" s="11" t="str">
        <f>CONCATENATE("          ", "4244", " - ", "SALES RETURN TAXABLE-ACCESSORI")</f>
        <v xml:space="preserve">          4244 - SALES RETURN TAXABLE-ACCESSORI</v>
      </c>
      <c r="C109" s="11"/>
      <c r="D109" s="2">
        <f>-704.04</f>
        <v>-704.04</v>
      </c>
      <c r="E109" s="2"/>
      <c r="F109" s="19"/>
      <c r="G109" s="2"/>
      <c r="H109" s="2">
        <f>-264.1</f>
        <v>-264.10000000000002</v>
      </c>
      <c r="I109" s="2"/>
      <c r="J109" s="19"/>
      <c r="K109" s="2"/>
      <c r="L109" s="2">
        <f t="shared" si="0"/>
        <v>-439.93999999999994</v>
      </c>
      <c r="M109" s="2"/>
      <c r="N109" s="19">
        <f t="shared" si="1"/>
        <v>1.6658084059068532</v>
      </c>
      <c r="O109" s="11"/>
      <c r="P109" s="2">
        <f>-1254.51</f>
        <v>-1254.51</v>
      </c>
      <c r="Q109" s="2"/>
      <c r="R109" s="19"/>
      <c r="S109" s="2"/>
      <c r="T109" s="2">
        <f>-2023.36</f>
        <v>-2023.36</v>
      </c>
      <c r="U109" s="2"/>
      <c r="V109" s="19"/>
      <c r="W109" s="2"/>
      <c r="X109" s="2">
        <f t="shared" si="2"/>
        <v>768.84999999999991</v>
      </c>
      <c r="Y109" s="2"/>
      <c r="Z109" s="19">
        <f t="shared" si="3"/>
        <v>-0.37998675470504506</v>
      </c>
    </row>
    <row r="110" spans="1:26" s="24" customFormat="1" hidden="1" outlineLevel="1" x14ac:dyDescent="0.25">
      <c r="A110" s="44"/>
      <c r="B110" s="11" t="str">
        <f>CONCATENATE("          ", "4245", " - ", "SALES RETURN TAXABLE-SPECIAL O")</f>
        <v xml:space="preserve">          4245 - SALES RETURN TAXABLE-SPECIAL O</v>
      </c>
      <c r="C110" s="11"/>
      <c r="D110" s="2">
        <f>-71.98</f>
        <v>-71.98</v>
      </c>
      <c r="E110" s="2"/>
      <c r="F110" s="19"/>
      <c r="G110" s="2"/>
      <c r="H110" s="2">
        <f>0</f>
        <v>0</v>
      </c>
      <c r="I110" s="2"/>
      <c r="J110" s="19"/>
      <c r="K110" s="2"/>
      <c r="L110" s="2">
        <f t="shared" si="0"/>
        <v>-71.98</v>
      </c>
      <c r="M110" s="2"/>
      <c r="N110" s="19">
        <f t="shared" si="1"/>
        <v>0</v>
      </c>
      <c r="O110" s="11"/>
      <c r="P110" s="2">
        <f>-91.96</f>
        <v>-91.96</v>
      </c>
      <c r="Q110" s="2"/>
      <c r="R110" s="19"/>
      <c r="S110" s="2"/>
      <c r="T110" s="2">
        <f>-174.85</f>
        <v>-174.85</v>
      </c>
      <c r="U110" s="2"/>
      <c r="V110" s="19"/>
      <c r="W110" s="2"/>
      <c r="X110" s="2">
        <f t="shared" si="2"/>
        <v>82.89</v>
      </c>
      <c r="Y110" s="2"/>
      <c r="Z110" s="19">
        <f t="shared" si="3"/>
        <v>-0.47406348298541606</v>
      </c>
    </row>
    <row r="111" spans="1:26" s="24" customFormat="1" hidden="1" outlineLevel="1" x14ac:dyDescent="0.25">
      <c r="A111" s="44"/>
      <c r="B111" s="11" t="str">
        <f>CONCATENATE("          ", "4281", " - ", "SALES RETURN TAXABLE-ELECTRONI")</f>
        <v xml:space="preserve">          4281 - SALES RETURN TAXABLE-ELECTRONI</v>
      </c>
      <c r="C111" s="11"/>
      <c r="D111" s="2">
        <f>-1064.71</f>
        <v>-1064.71</v>
      </c>
      <c r="E111" s="2"/>
      <c r="F111" s="19"/>
      <c r="G111" s="2"/>
      <c r="H111" s="2">
        <f>-671.91</f>
        <v>-671.91</v>
      </c>
      <c r="I111" s="2"/>
      <c r="J111" s="19"/>
      <c r="K111" s="2"/>
      <c r="L111" s="2">
        <f t="shared" si="0"/>
        <v>-392.80000000000007</v>
      </c>
      <c r="M111" s="2"/>
      <c r="N111" s="19">
        <f t="shared" si="1"/>
        <v>0.58460210444851257</v>
      </c>
      <c r="O111" s="11"/>
      <c r="P111" s="2">
        <f>-3299.46</f>
        <v>-3299.46</v>
      </c>
      <c r="Q111" s="2"/>
      <c r="R111" s="19"/>
      <c r="S111" s="2"/>
      <c r="T111" s="2">
        <f>-2456.28</f>
        <v>-2456.2800000000002</v>
      </c>
      <c r="U111" s="2"/>
      <c r="V111" s="19"/>
      <c r="W111" s="2"/>
      <c r="X111" s="2">
        <f t="shared" si="2"/>
        <v>-843.17999999999984</v>
      </c>
      <c r="Y111" s="2"/>
      <c r="Z111" s="19">
        <f t="shared" si="3"/>
        <v>0.34327519663881956</v>
      </c>
    </row>
    <row r="112" spans="1:26" s="24" customFormat="1" hidden="1" outlineLevel="1" x14ac:dyDescent="0.25">
      <c r="A112" s="44"/>
      <c r="B112" s="11" t="str">
        <f>CONCATENATE("          ", "4282", " - ", "SALES RETURN TAXABLE-COMPUTER")</f>
        <v xml:space="preserve">          4282 - SALES RETURN TAXABLE-COMPUTER</v>
      </c>
      <c r="C112" s="11"/>
      <c r="D112" s="2">
        <f>-27457.13</f>
        <v>-27457.13</v>
      </c>
      <c r="E112" s="2"/>
      <c r="F112" s="19"/>
      <c r="G112" s="2"/>
      <c r="H112" s="2">
        <f>-12942.09</f>
        <v>-12942.09</v>
      </c>
      <c r="I112" s="2"/>
      <c r="J112" s="19"/>
      <c r="K112" s="2"/>
      <c r="L112" s="2">
        <f t="shared" si="0"/>
        <v>-14515.04</v>
      </c>
      <c r="M112" s="2"/>
      <c r="N112" s="19">
        <f t="shared" si="1"/>
        <v>1.121537556917005</v>
      </c>
      <c r="O112" s="11"/>
      <c r="P112" s="2">
        <f>-147646.85</f>
        <v>-147646.85</v>
      </c>
      <c r="Q112" s="2"/>
      <c r="R112" s="19"/>
      <c r="S112" s="2"/>
      <c r="T112" s="2">
        <f>-30291.44</f>
        <v>-30291.439999999999</v>
      </c>
      <c r="U112" s="2"/>
      <c r="V112" s="19"/>
      <c r="W112" s="2"/>
      <c r="X112" s="2">
        <f t="shared" si="2"/>
        <v>-117355.41</v>
      </c>
      <c r="Y112" s="2"/>
      <c r="Z112" s="19">
        <f t="shared" si="3"/>
        <v>3.8742103379700672</v>
      </c>
    </row>
    <row r="113" spans="1:26" s="24" customFormat="1" hidden="1" outlineLevel="1" x14ac:dyDescent="0.25">
      <c r="A113" s="44"/>
      <c r="B113" s="11" t="str">
        <f>CONCATENATE("          ", "4283", " - ", "SALES RETURN TAXABLE-COMPUTER")</f>
        <v xml:space="preserve">          4283 - SALES RETURN TAXABLE-COMPUTER</v>
      </c>
      <c r="C113" s="11"/>
      <c r="D113" s="2">
        <f>-553.79</f>
        <v>-553.79</v>
      </c>
      <c r="E113" s="2"/>
      <c r="F113" s="19"/>
      <c r="G113" s="2"/>
      <c r="H113" s="2">
        <f>-1708.13</f>
        <v>-1708.13</v>
      </c>
      <c r="I113" s="2"/>
      <c r="J113" s="19"/>
      <c r="K113" s="2"/>
      <c r="L113" s="2">
        <f t="shared" si="0"/>
        <v>1154.3400000000001</v>
      </c>
      <c r="M113" s="2"/>
      <c r="N113" s="19">
        <f t="shared" si="1"/>
        <v>-0.67579165520188744</v>
      </c>
      <c r="O113" s="11"/>
      <c r="P113" s="2">
        <f>-1284.48</f>
        <v>-1284.48</v>
      </c>
      <c r="Q113" s="2"/>
      <c r="R113" s="19"/>
      <c r="S113" s="2"/>
      <c r="T113" s="2">
        <f>-2588.04</f>
        <v>-2588.04</v>
      </c>
      <c r="U113" s="2"/>
      <c r="V113" s="19"/>
      <c r="W113" s="2"/>
      <c r="X113" s="2">
        <f t="shared" si="2"/>
        <v>1303.56</v>
      </c>
      <c r="Y113" s="2"/>
      <c r="Z113" s="19">
        <f t="shared" si="3"/>
        <v>-0.50368618723049097</v>
      </c>
    </row>
    <row r="114" spans="1:26" s="24" customFormat="1" hidden="1" outlineLevel="1" x14ac:dyDescent="0.25">
      <c r="A114" s="44"/>
      <c r="B114" s="11" t="str">
        <f>CONCATENATE("          ", "4284", " - ", "SALES RETURN TAXABLE-SOFTWARE")</f>
        <v xml:space="preserve">          4284 - SALES RETURN TAXABLE-SOFTWARE</v>
      </c>
      <c r="C114" s="11"/>
      <c r="D114" s="2">
        <f t="shared" ref="D114:D115" si="10">0</f>
        <v>0</v>
      </c>
      <c r="E114" s="2"/>
      <c r="F114" s="19"/>
      <c r="G114" s="2"/>
      <c r="H114" s="2">
        <f t="shared" ref="H114:H115" si="11">0</f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-129</f>
        <v>-129</v>
      </c>
      <c r="Q114" s="2"/>
      <c r="R114" s="19"/>
      <c r="S114" s="2"/>
      <c r="T114" s="2">
        <f t="shared" ref="T114:T115" si="12">0</f>
        <v>0</v>
      </c>
      <c r="U114" s="2"/>
      <c r="V114" s="19"/>
      <c r="W114" s="2"/>
      <c r="X114" s="2">
        <f t="shared" si="2"/>
        <v>-129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"4285", " - ", "SALES RETURN TAXABLE-SOFTWARE")</f>
        <v xml:space="preserve">          4285 - SALES RETURN TAXABLE-SOFTWARE</v>
      </c>
      <c r="C115" s="11"/>
      <c r="D115" s="2">
        <f t="shared" si="10"/>
        <v>0</v>
      </c>
      <c r="E115" s="2"/>
      <c r="F115" s="19"/>
      <c r="G115" s="2"/>
      <c r="H115" s="2">
        <f t="shared" si="11"/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-406.99</f>
        <v>-406.99</v>
      </c>
      <c r="Q115" s="2"/>
      <c r="R115" s="19"/>
      <c r="S115" s="2"/>
      <c r="T115" s="2">
        <f t="shared" si="12"/>
        <v>0</v>
      </c>
      <c r="U115" s="2"/>
      <c r="V115" s="19"/>
      <c r="W115" s="2"/>
      <c r="X115" s="2">
        <f t="shared" si="2"/>
        <v>-406.99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"4286", " - ", "SALES RETURN TAXABLE-COMPUTER")</f>
        <v xml:space="preserve">          4286 - SALES RETURN TAXABLE-COMPUTER</v>
      </c>
      <c r="C116" s="11"/>
      <c r="D116" s="2">
        <f>-962.59</f>
        <v>-962.59</v>
      </c>
      <c r="E116" s="2"/>
      <c r="F116" s="19"/>
      <c r="G116" s="2"/>
      <c r="H116" s="2">
        <f>-897.72</f>
        <v>-897.72</v>
      </c>
      <c r="I116" s="2"/>
      <c r="J116" s="19"/>
      <c r="K116" s="2"/>
      <c r="L116" s="2">
        <f t="shared" si="0"/>
        <v>-64.87</v>
      </c>
      <c r="M116" s="2"/>
      <c r="N116" s="19">
        <f t="shared" si="1"/>
        <v>7.2260838568818792E-2</v>
      </c>
      <c r="O116" s="11"/>
      <c r="P116" s="2">
        <f>-2143.74</f>
        <v>-2143.7399999999998</v>
      </c>
      <c r="Q116" s="2"/>
      <c r="R116" s="19"/>
      <c r="S116" s="2"/>
      <c r="T116" s="2">
        <f>-1768.98</f>
        <v>-1768.98</v>
      </c>
      <c r="U116" s="2"/>
      <c r="V116" s="19"/>
      <c r="W116" s="2"/>
      <c r="X116" s="2">
        <f t="shared" si="2"/>
        <v>-374.75999999999976</v>
      </c>
      <c r="Y116" s="2"/>
      <c r="Z116" s="19">
        <f t="shared" si="3"/>
        <v>0.21185089712715788</v>
      </c>
    </row>
    <row r="117" spans="1:26" s="24" customFormat="1" hidden="1" outlineLevel="1" x14ac:dyDescent="0.25">
      <c r="A117" s="44"/>
      <c r="B117" s="11" t="str">
        <f>CONCATENATE("          ", "4292", " - ", "SALES RETURN TAXABLE-GRAD MERC")</f>
        <v xml:space="preserve">          4292 - SALES RETURN TAXABLE-GRAD MERC</v>
      </c>
      <c r="C117" s="11"/>
      <c r="D117" s="2">
        <f t="shared" ref="D117:D118" si="13">0</f>
        <v>0</v>
      </c>
      <c r="E117" s="2"/>
      <c r="F117" s="19"/>
      <c r="G117" s="2"/>
      <c r="H117" s="2">
        <f t="shared" ref="H117:H118" si="14">0</f>
        <v>0</v>
      </c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-369.15</f>
        <v>-369.15</v>
      </c>
      <c r="Q117" s="2"/>
      <c r="R117" s="19"/>
      <c r="S117" s="2"/>
      <c r="T117" s="2">
        <f>-478.25</f>
        <v>-478.25</v>
      </c>
      <c r="U117" s="2"/>
      <c r="V117" s="19"/>
      <c r="W117" s="2"/>
      <c r="X117" s="2">
        <f t="shared" si="2"/>
        <v>109.10000000000002</v>
      </c>
      <c r="Y117" s="2"/>
      <c r="Z117" s="19">
        <f t="shared" si="3"/>
        <v>-0.22812336644014641</v>
      </c>
    </row>
    <row r="118" spans="1:26" s="24" customFormat="1" hidden="1" outlineLevel="1" x14ac:dyDescent="0.25">
      <c r="A118" s="44"/>
      <c r="B118" s="11" t="str">
        <f>CONCATENATE("          ", "4295", " - ", "SALES RETURN TAXABLE-CUSTOMER")</f>
        <v xml:space="preserve">          4295 - SALES RETURN TAXABLE-CUSTOMER</v>
      </c>
      <c r="C118" s="11"/>
      <c r="D118" s="2">
        <f t="shared" si="13"/>
        <v>0</v>
      </c>
      <c r="E118" s="2"/>
      <c r="F118" s="19"/>
      <c r="G118" s="2"/>
      <c r="H118" s="2">
        <f t="shared" si="14"/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--0.99</f>
        <v>0.99</v>
      </c>
      <c r="Q118" s="2"/>
      <c r="R118" s="19"/>
      <c r="S118" s="2"/>
      <c r="T118" s="2">
        <f>-99</f>
        <v>-99</v>
      </c>
      <c r="U118" s="2"/>
      <c r="V118" s="19"/>
      <c r="W118" s="2"/>
      <c r="X118" s="2">
        <f t="shared" si="2"/>
        <v>99.99</v>
      </c>
      <c r="Y118" s="2"/>
      <c r="Z118" s="19">
        <f t="shared" si="3"/>
        <v>-1.01</v>
      </c>
    </row>
    <row r="119" spans="1:26" s="24" customFormat="1" hidden="1" outlineLevel="1" x14ac:dyDescent="0.25">
      <c r="A119" s="44"/>
      <c r="B119" s="11" t="str">
        <f>CONCATENATE("          ", "4301", " - ", "SALES RETURN NON TAXABLE-NEW T")</f>
        <v xml:space="preserve">          4301 - SALES RETURN NON TAXABLE-NEW T</v>
      </c>
      <c r="C119" s="11"/>
      <c r="D119" s="2">
        <f>-3805.44</f>
        <v>-3805.44</v>
      </c>
      <c r="E119" s="2"/>
      <c r="F119" s="19"/>
      <c r="G119" s="2"/>
      <c r="H119" s="2">
        <f>-18193.09</f>
        <v>-18193.09</v>
      </c>
      <c r="I119" s="2"/>
      <c r="J119" s="19"/>
      <c r="K119" s="2"/>
      <c r="L119" s="2">
        <f t="shared" si="0"/>
        <v>14387.65</v>
      </c>
      <c r="M119" s="2"/>
      <c r="N119" s="19">
        <f t="shared" si="1"/>
        <v>-0.79083047464724243</v>
      </c>
      <c r="O119" s="11"/>
      <c r="P119" s="2">
        <f>-6725.22</f>
        <v>-6725.22</v>
      </c>
      <c r="Q119" s="2"/>
      <c r="R119" s="19"/>
      <c r="S119" s="2"/>
      <c r="T119" s="2">
        <f>-21042.19</f>
        <v>-21042.19</v>
      </c>
      <c r="U119" s="2"/>
      <c r="V119" s="19"/>
      <c r="W119" s="2"/>
      <c r="X119" s="2">
        <f t="shared" si="2"/>
        <v>14316.969999999998</v>
      </c>
      <c r="Y119" s="2"/>
      <c r="Z119" s="19">
        <f t="shared" si="3"/>
        <v>-0.68039353318262019</v>
      </c>
    </row>
    <row r="120" spans="1:26" s="24" customFormat="1" hidden="1" outlineLevel="1" x14ac:dyDescent="0.25">
      <c r="A120" s="44"/>
      <c r="B120" s="11" t="str">
        <f>CONCATENATE("          ", "4302", " - ", "SALES RETURN NON TAXABLE-TEXT")</f>
        <v xml:space="preserve">          4302 - SALES RETURN NON TAXABLE-TEXT</v>
      </c>
      <c r="C120" s="11"/>
      <c r="D120" s="2">
        <f>-398.45</f>
        <v>-398.45</v>
      </c>
      <c r="E120" s="2"/>
      <c r="F120" s="19"/>
      <c r="G120" s="2"/>
      <c r="H120" s="2">
        <f>-1424.51</f>
        <v>-1424.51</v>
      </c>
      <c r="I120" s="2"/>
      <c r="J120" s="19"/>
      <c r="K120" s="2"/>
      <c r="L120" s="2">
        <f t="shared" si="0"/>
        <v>1026.06</v>
      </c>
      <c r="M120" s="2"/>
      <c r="N120" s="19">
        <f t="shared" si="1"/>
        <v>-0.72028978385550113</v>
      </c>
      <c r="O120" s="11"/>
      <c r="P120" s="2">
        <f>-648.7</f>
        <v>-648.70000000000005</v>
      </c>
      <c r="Q120" s="2"/>
      <c r="R120" s="19"/>
      <c r="S120" s="2"/>
      <c r="T120" s="2">
        <f>-2092.04</f>
        <v>-2092.04</v>
      </c>
      <c r="U120" s="2"/>
      <c r="V120" s="19"/>
      <c r="W120" s="2"/>
      <c r="X120" s="2">
        <f t="shared" si="2"/>
        <v>1443.34</v>
      </c>
      <c r="Y120" s="2"/>
      <c r="Z120" s="19">
        <f t="shared" si="3"/>
        <v>-0.68991988680904759</v>
      </c>
    </row>
    <row r="121" spans="1:26" s="24" customFormat="1" hidden="1" outlineLevel="1" x14ac:dyDescent="0.25">
      <c r="A121" s="44"/>
      <c r="B121" s="11" t="str">
        <f>CONCATENATE("          ", "4303", " - ", "SALES RETURN NON-TAXABLE-RENTA")</f>
        <v xml:space="preserve">          4303 - SALES RETURN NON-TAXABLE-RENTA</v>
      </c>
      <c r="C121" s="11"/>
      <c r="D121" s="2">
        <f>-184.99</f>
        <v>-184.99</v>
      </c>
      <c r="E121" s="2"/>
      <c r="F121" s="19"/>
      <c r="G121" s="2"/>
      <c r="H121" s="2">
        <f>-509.85</f>
        <v>-509.85</v>
      </c>
      <c r="I121" s="2"/>
      <c r="J121" s="19"/>
      <c r="K121" s="2"/>
      <c r="L121" s="2">
        <f t="shared" si="0"/>
        <v>324.86</v>
      </c>
      <c r="M121" s="2"/>
      <c r="N121" s="19">
        <f t="shared" si="1"/>
        <v>-0.63716779444934779</v>
      </c>
      <c r="O121" s="11"/>
      <c r="P121" s="2">
        <f>-184.99</f>
        <v>-184.99</v>
      </c>
      <c r="Q121" s="2"/>
      <c r="R121" s="19"/>
      <c r="S121" s="2"/>
      <c r="T121" s="2">
        <f>-509.85</f>
        <v>-509.85</v>
      </c>
      <c r="U121" s="2"/>
      <c r="V121" s="19"/>
      <c r="W121" s="2"/>
      <c r="X121" s="2">
        <f t="shared" si="2"/>
        <v>324.86</v>
      </c>
      <c r="Y121" s="2"/>
      <c r="Z121" s="19">
        <f t="shared" si="3"/>
        <v>-0.63716779444934779</v>
      </c>
    </row>
    <row r="122" spans="1:26" s="24" customFormat="1" hidden="1" outlineLevel="1" x14ac:dyDescent="0.25">
      <c r="A122" s="44"/>
      <c r="B122" s="11" t="str">
        <f>CONCATENATE("          ", "4304", " - ", "SALES RETURN NON TAXABLE-DIGIT")</f>
        <v xml:space="preserve">          4304 - SALES RETURN NON TAXABLE-DIGIT</v>
      </c>
      <c r="C122" s="11"/>
      <c r="D122" s="2">
        <f>-4048.76</f>
        <v>-4048.76</v>
      </c>
      <c r="E122" s="2"/>
      <c r="F122" s="19"/>
      <c r="G122" s="2"/>
      <c r="H122" s="2">
        <f>-3459.28</f>
        <v>-3459.28</v>
      </c>
      <c r="I122" s="2"/>
      <c r="J122" s="19"/>
      <c r="K122" s="2"/>
      <c r="L122" s="2">
        <f t="shared" si="0"/>
        <v>-589.48</v>
      </c>
      <c r="M122" s="2"/>
      <c r="N122" s="19">
        <f t="shared" si="1"/>
        <v>0.17040540228024328</v>
      </c>
      <c r="O122" s="11"/>
      <c r="P122" s="2">
        <f>-12515.31</f>
        <v>-12515.31</v>
      </c>
      <c r="Q122" s="2"/>
      <c r="R122" s="19"/>
      <c r="S122" s="2"/>
      <c r="T122" s="2">
        <f>-3743.75</f>
        <v>-3743.75</v>
      </c>
      <c r="U122" s="2"/>
      <c r="V122" s="19"/>
      <c r="W122" s="2"/>
      <c r="X122" s="2">
        <f t="shared" si="2"/>
        <v>-8771.56</v>
      </c>
      <c r="Y122" s="2"/>
      <c r="Z122" s="19">
        <f t="shared" si="3"/>
        <v>2.3429876460767947</v>
      </c>
    </row>
    <row r="123" spans="1:26" s="24" customFormat="1" hidden="1" outlineLevel="1" x14ac:dyDescent="0.25">
      <c r="A123" s="44"/>
      <c r="B123" s="11" t="str">
        <f>CONCATENATE("          ", "4311", " - ", "SALES RETURN NON TAXABLE-NO VA")</f>
        <v xml:space="preserve">          4311 - SALES RETURN NON TAXABLE-NO VA</v>
      </c>
      <c r="C123" s="11"/>
      <c r="D123" s="2">
        <f>-276.9</f>
        <v>-276.89999999999998</v>
      </c>
      <c r="E123" s="2"/>
      <c r="F123" s="19"/>
      <c r="G123" s="2"/>
      <c r="H123" s="2">
        <f>-145.04</f>
        <v>-145.04</v>
      </c>
      <c r="I123" s="2"/>
      <c r="J123" s="19"/>
      <c r="K123" s="2"/>
      <c r="L123" s="2">
        <f t="shared" si="0"/>
        <v>-131.85999999999999</v>
      </c>
      <c r="M123" s="2"/>
      <c r="N123" s="19">
        <f t="shared" si="1"/>
        <v>0.90912851627137337</v>
      </c>
      <c r="O123" s="11"/>
      <c r="P123" s="2">
        <f>-387.94</f>
        <v>-387.94</v>
      </c>
      <c r="Q123" s="2"/>
      <c r="R123" s="19"/>
      <c r="S123" s="2"/>
      <c r="T123" s="2">
        <f>-357.92</f>
        <v>-357.92</v>
      </c>
      <c r="U123" s="2"/>
      <c r="V123" s="19"/>
      <c r="W123" s="2"/>
      <c r="X123" s="2">
        <f t="shared" si="2"/>
        <v>-30.019999999999982</v>
      </c>
      <c r="Y123" s="2"/>
      <c r="Z123" s="19">
        <f t="shared" si="3"/>
        <v>8.3873491282968213E-2</v>
      </c>
    </row>
    <row r="124" spans="1:26" s="24" customFormat="1" hidden="1" outlineLevel="1" x14ac:dyDescent="0.25">
      <c r="A124" s="44"/>
      <c r="B124" s="11" t="str">
        <f>CONCATENATE("          ", "4326", " - ", "SALES RETURN NON TAXABLE-WRITI")</f>
        <v xml:space="preserve">          4326 - SALES RETURN NON TAXABLE-WRITI</v>
      </c>
      <c r="C124" s="11"/>
      <c r="D124" s="2">
        <f>0</f>
        <v>0</v>
      </c>
      <c r="E124" s="2"/>
      <c r="F124" s="19"/>
      <c r="G124" s="2"/>
      <c r="H124" s="2">
        <f t="shared" ref="H124:H125" si="15">0</f>
        <v>0</v>
      </c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0</f>
        <v>0</v>
      </c>
      <c r="Q124" s="2"/>
      <c r="R124" s="19"/>
      <c r="S124" s="2"/>
      <c r="T124" s="2">
        <f>-5.58</f>
        <v>-5.58</v>
      </c>
      <c r="U124" s="2"/>
      <c r="V124" s="19"/>
      <c r="W124" s="2"/>
      <c r="X124" s="2">
        <f t="shared" si="2"/>
        <v>5.58</v>
      </c>
      <c r="Y124" s="2"/>
      <c r="Z124" s="19">
        <f t="shared" si="3"/>
        <v>-1</v>
      </c>
    </row>
    <row r="125" spans="1:26" s="24" customFormat="1" hidden="1" outlineLevel="1" x14ac:dyDescent="0.25">
      <c r="A125" s="44"/>
      <c r="B125" s="11" t="str">
        <f>CONCATENATE("          ", "4327", " - ", "SALES RETURN NON TAXABLE-SCHOO")</f>
        <v xml:space="preserve">          4327 - SALES RETURN NON TAXABLE-SCHOO</v>
      </c>
      <c r="C125" s="11"/>
      <c r="D125" s="2">
        <f>-8.29</f>
        <v>-8.2899999999999991</v>
      </c>
      <c r="E125" s="2"/>
      <c r="F125" s="19"/>
      <c r="G125" s="2"/>
      <c r="H125" s="2">
        <f t="shared" si="15"/>
        <v>0</v>
      </c>
      <c r="I125" s="2"/>
      <c r="J125" s="19"/>
      <c r="K125" s="2"/>
      <c r="L125" s="2">
        <f t="shared" si="0"/>
        <v>-8.2899999999999991</v>
      </c>
      <c r="M125" s="2"/>
      <c r="N125" s="19">
        <f t="shared" si="1"/>
        <v>0</v>
      </c>
      <c r="O125" s="11"/>
      <c r="P125" s="2">
        <f>-21.87</f>
        <v>-21.87</v>
      </c>
      <c r="Q125" s="2"/>
      <c r="R125" s="19"/>
      <c r="S125" s="2"/>
      <c r="T125" s="2">
        <f>0</f>
        <v>0</v>
      </c>
      <c r="U125" s="2"/>
      <c r="V125" s="19"/>
      <c r="W125" s="2"/>
      <c r="X125" s="2">
        <f t="shared" si="2"/>
        <v>-21.87</v>
      </c>
      <c r="Y125" s="2"/>
      <c r="Z125" s="19">
        <f t="shared" si="3"/>
        <v>0</v>
      </c>
    </row>
    <row r="126" spans="1:26" s="24" customFormat="1" hidden="1" outlineLevel="1" x14ac:dyDescent="0.25">
      <c r="A126" s="44"/>
      <c r="B126" s="11" t="str">
        <f>CONCATENATE("          ", "4340", " - ", "SALES RETURN NON TAXABLE-LOGO")</f>
        <v xml:space="preserve">          4340 - SALES RETURN NON TAXABLE-LOGO</v>
      </c>
      <c r="C126" s="11"/>
      <c r="D126" s="2">
        <f>-24.95</f>
        <v>-24.95</v>
      </c>
      <c r="E126" s="2"/>
      <c r="F126" s="19"/>
      <c r="G126" s="2"/>
      <c r="H126" s="2">
        <f>-34.95</f>
        <v>-34.950000000000003</v>
      </c>
      <c r="I126" s="2"/>
      <c r="J126" s="19"/>
      <c r="K126" s="2"/>
      <c r="L126" s="2">
        <f t="shared" si="0"/>
        <v>10.000000000000004</v>
      </c>
      <c r="M126" s="2"/>
      <c r="N126" s="19">
        <f t="shared" si="1"/>
        <v>-0.28612303290414887</v>
      </c>
      <c r="O126" s="11"/>
      <c r="P126" s="2">
        <f>-293.45</f>
        <v>-293.45</v>
      </c>
      <c r="Q126" s="2"/>
      <c r="R126" s="19"/>
      <c r="S126" s="2"/>
      <c r="T126" s="2">
        <f>-226.69</f>
        <v>-226.69</v>
      </c>
      <c r="U126" s="2"/>
      <c r="V126" s="19"/>
      <c r="W126" s="2"/>
      <c r="X126" s="2">
        <f t="shared" si="2"/>
        <v>-66.759999999999991</v>
      </c>
      <c r="Y126" s="2"/>
      <c r="Z126" s="19">
        <f t="shared" si="3"/>
        <v>0.29449909568132687</v>
      </c>
    </row>
    <row r="127" spans="1:26" s="24" customFormat="1" hidden="1" outlineLevel="1" x14ac:dyDescent="0.25">
      <c r="A127" s="44"/>
      <c r="B127" s="11" t="str">
        <f>CONCATENATE("          ", "4341", " - ", "SALES RETURN NON TAXABLE-LOGO")</f>
        <v xml:space="preserve">          4341 - SALES RETURN NON TAXABLE-LOGO</v>
      </c>
      <c r="C127" s="11"/>
      <c r="D127" s="2">
        <f>0</f>
        <v>0</v>
      </c>
      <c r="E127" s="2"/>
      <c r="F127" s="19"/>
      <c r="G127" s="2"/>
      <c r="H127" s="2">
        <f>-39.95</f>
        <v>-39.950000000000003</v>
      </c>
      <c r="I127" s="2"/>
      <c r="J127" s="19"/>
      <c r="K127" s="2"/>
      <c r="L127" s="2">
        <f t="shared" si="0"/>
        <v>39.950000000000003</v>
      </c>
      <c r="M127" s="2"/>
      <c r="N127" s="19">
        <f t="shared" si="1"/>
        <v>-1</v>
      </c>
      <c r="O127" s="11"/>
      <c r="P127" s="2">
        <f>-3.95</f>
        <v>-3.95</v>
      </c>
      <c r="Q127" s="2"/>
      <c r="R127" s="19"/>
      <c r="S127" s="2"/>
      <c r="T127" s="2">
        <f>-48.1</f>
        <v>-48.1</v>
      </c>
      <c r="U127" s="2"/>
      <c r="V127" s="19"/>
      <c r="W127" s="2"/>
      <c r="X127" s="2">
        <f t="shared" si="2"/>
        <v>44.15</v>
      </c>
      <c r="Y127" s="2"/>
      <c r="Z127" s="19">
        <f t="shared" si="3"/>
        <v>-0.91787941787941785</v>
      </c>
    </row>
    <row r="128" spans="1:26" s="24" customFormat="1" hidden="1" outlineLevel="1" x14ac:dyDescent="0.25">
      <c r="A128" s="44"/>
      <c r="B128" s="11" t="str">
        <f>CONCATENATE("          ", "4342", " - ", "SALES RETURN NON TAXABLE-EVERY")</f>
        <v xml:space="preserve">          4342 - SALES RETURN NON TAXABLE-EVERY</v>
      </c>
      <c r="C128" s="11"/>
      <c r="D128" s="2">
        <f>-10</f>
        <v>-10</v>
      </c>
      <c r="E128" s="2"/>
      <c r="F128" s="19"/>
      <c r="G128" s="2"/>
      <c r="H128" s="2">
        <f t="shared" ref="H128:H132" si="16">0</f>
        <v>0</v>
      </c>
      <c r="I128" s="2"/>
      <c r="J128" s="19"/>
      <c r="K128" s="2"/>
      <c r="L128" s="2">
        <f t="shared" si="0"/>
        <v>-10</v>
      </c>
      <c r="M128" s="2"/>
      <c r="N128" s="19">
        <f t="shared" si="1"/>
        <v>0</v>
      </c>
      <c r="O128" s="11"/>
      <c r="P128" s="2">
        <f>-10</f>
        <v>-10</v>
      </c>
      <c r="Q128" s="2"/>
      <c r="R128" s="19"/>
      <c r="S128" s="2"/>
      <c r="T128" s="2">
        <f t="shared" ref="T128:T132" si="17">0</f>
        <v>0</v>
      </c>
      <c r="U128" s="2"/>
      <c r="V128" s="19"/>
      <c r="W128" s="2"/>
      <c r="X128" s="2">
        <f t="shared" si="2"/>
        <v>-10</v>
      </c>
      <c r="Y128" s="2"/>
      <c r="Z128" s="19">
        <f t="shared" si="3"/>
        <v>0</v>
      </c>
    </row>
    <row r="129" spans="1:26" s="24" customFormat="1" hidden="1" outlineLevel="1" x14ac:dyDescent="0.25">
      <c r="A129" s="44"/>
      <c r="B129" s="11" t="str">
        <f>CONCATENATE("          ", "4346", " - ", "SALES RETURN NON TAXABLE-COIN-")</f>
        <v xml:space="preserve">          4346 - SALES RETURN NON TAXABLE-COIN-</v>
      </c>
      <c r="C129" s="11"/>
      <c r="D129" s="2">
        <f>0</f>
        <v>0</v>
      </c>
      <c r="E129" s="2"/>
      <c r="F129" s="19"/>
      <c r="G129" s="2"/>
      <c r="H129" s="2">
        <f t="shared" si="16"/>
        <v>0</v>
      </c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-8.15</f>
        <v>-8.15</v>
      </c>
      <c r="Q129" s="2"/>
      <c r="R129" s="19"/>
      <c r="S129" s="2"/>
      <c r="T129" s="2">
        <f t="shared" si="17"/>
        <v>0</v>
      </c>
      <c r="U129" s="2"/>
      <c r="V129" s="19"/>
      <c r="W129" s="2"/>
      <c r="X129" s="2">
        <f t="shared" si="2"/>
        <v>-8.15</v>
      </c>
      <c r="Y129" s="2"/>
      <c r="Z129" s="19">
        <f t="shared" si="3"/>
        <v>0</v>
      </c>
    </row>
    <row r="130" spans="1:26" s="24" customFormat="1" hidden="1" outlineLevel="1" x14ac:dyDescent="0.25">
      <c r="A130" s="44"/>
      <c r="B130" s="11" t="str">
        <f>CONCATENATE("          ", "4381", " - ", "SALES RETURN NON TAXABLE-ELECT")</f>
        <v xml:space="preserve">          4381 - SALES RETURN NON TAXABLE-ELECT</v>
      </c>
      <c r="C130" s="11"/>
      <c r="D130" s="2">
        <f>-1279.84</f>
        <v>-1279.8399999999999</v>
      </c>
      <c r="E130" s="2"/>
      <c r="F130" s="19"/>
      <c r="G130" s="2"/>
      <c r="H130" s="2">
        <f t="shared" si="16"/>
        <v>0</v>
      </c>
      <c r="I130" s="2"/>
      <c r="J130" s="19"/>
      <c r="K130" s="2"/>
      <c r="L130" s="2">
        <f t="shared" si="0"/>
        <v>-1279.8399999999999</v>
      </c>
      <c r="M130" s="2"/>
      <c r="N130" s="19">
        <f t="shared" si="1"/>
        <v>0</v>
      </c>
      <c r="O130" s="11"/>
      <c r="P130" s="2">
        <f>-1279.84</f>
        <v>-1279.8399999999999</v>
      </c>
      <c r="Q130" s="2"/>
      <c r="R130" s="19"/>
      <c r="S130" s="2"/>
      <c r="T130" s="2">
        <f t="shared" si="17"/>
        <v>0</v>
      </c>
      <c r="U130" s="2"/>
      <c r="V130" s="19"/>
      <c r="W130" s="2"/>
      <c r="X130" s="2">
        <f t="shared" si="2"/>
        <v>-1279.8399999999999</v>
      </c>
      <c r="Y130" s="2"/>
      <c r="Z130" s="19">
        <f t="shared" si="3"/>
        <v>0</v>
      </c>
    </row>
    <row r="131" spans="1:26" s="24" customFormat="1" hidden="1" outlineLevel="1" x14ac:dyDescent="0.25">
      <c r="A131" s="44"/>
      <c r="B131" s="11" t="str">
        <f>CONCATENATE("          ", "4383", " - ", "SALES RETURN NON TAXABLE-COMPU")</f>
        <v xml:space="preserve">          4383 - SALES RETURN NON TAXABLE-COMPU</v>
      </c>
      <c r="C131" s="11"/>
      <c r="D131" s="2">
        <f t="shared" ref="D131:D132" si="18">0</f>
        <v>0</v>
      </c>
      <c r="E131" s="2"/>
      <c r="F131" s="19"/>
      <c r="G131" s="2"/>
      <c r="H131" s="2">
        <f t="shared" si="16"/>
        <v>0</v>
      </c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1"/>
      <c r="P131" s="2">
        <f>-24.99</f>
        <v>-24.99</v>
      </c>
      <c r="Q131" s="2"/>
      <c r="R131" s="19"/>
      <c r="S131" s="2"/>
      <c r="T131" s="2">
        <f t="shared" si="17"/>
        <v>0</v>
      </c>
      <c r="U131" s="2"/>
      <c r="V131" s="19"/>
      <c r="W131" s="2"/>
      <c r="X131" s="2">
        <f t="shared" si="2"/>
        <v>-24.99</v>
      </c>
      <c r="Y131" s="2"/>
      <c r="Z131" s="19">
        <f t="shared" si="3"/>
        <v>0</v>
      </c>
    </row>
    <row r="132" spans="1:26" s="24" customFormat="1" hidden="1" outlineLevel="1" x14ac:dyDescent="0.25">
      <c r="A132" s="44"/>
      <c r="B132" s="11" t="str">
        <f>CONCATENATE("          ", "4386", " - ", "SALES RETURN NON TAXABLE-COMPU")</f>
        <v xml:space="preserve">          4386 - SALES RETURN NON TAXABLE-COMPU</v>
      </c>
      <c r="C132" s="11"/>
      <c r="D132" s="2">
        <f t="shared" si="18"/>
        <v>0</v>
      </c>
      <c r="E132" s="2"/>
      <c r="F132" s="19"/>
      <c r="G132" s="2"/>
      <c r="H132" s="2">
        <f t="shared" si="16"/>
        <v>0</v>
      </c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>-19.99</f>
        <v>-19.989999999999998</v>
      </c>
      <c r="Q132" s="2"/>
      <c r="R132" s="19"/>
      <c r="S132" s="2"/>
      <c r="T132" s="2">
        <f t="shared" si="17"/>
        <v>0</v>
      </c>
      <c r="U132" s="2"/>
      <c r="V132" s="19"/>
      <c r="W132" s="2"/>
      <c r="X132" s="2">
        <f t="shared" si="2"/>
        <v>-19.989999999999998</v>
      </c>
      <c r="Y132" s="2"/>
      <c r="Z132" s="19">
        <f t="shared" si="3"/>
        <v>0</v>
      </c>
    </row>
    <row r="133" spans="1:26" x14ac:dyDescent="0.25">
      <c r="A133" s="9"/>
      <c r="B133" s="10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collapsed="1" x14ac:dyDescent="0.25">
      <c r="A134" s="10"/>
      <c r="B134" s="25" t="s">
        <v>8</v>
      </c>
      <c r="C134" s="10"/>
      <c r="D134" s="4">
        <f>SUM(OSRRefD16x_0)</f>
        <v>1670912.4500000004</v>
      </c>
      <c r="E134" s="4"/>
      <c r="F134" s="12">
        <f t="shared" ref="F134:F191" si="19">IF(D$12=0,0,D134/D$12)</f>
        <v>0.41681451032129851</v>
      </c>
      <c r="G134" s="4"/>
      <c r="H134" s="4">
        <f>SUM(OSRRefH16x_0)</f>
        <v>1620991.9600000002</v>
      </c>
      <c r="I134" s="4"/>
      <c r="J134" s="12">
        <f t="shared" ref="J134:J191" si="20">IF(H$12=0,0,H134/H$12)</f>
        <v>0.40150929504449046</v>
      </c>
      <c r="K134" s="4"/>
      <c r="L134" s="4">
        <f t="shared" ref="L134:L191" si="21">+D134-H134</f>
        <v>49920.490000000224</v>
      </c>
      <c r="M134" s="4"/>
      <c r="N134" s="12">
        <f t="shared" ref="N134:N191" si="22">IF(H134=0,0,L134/H134)</f>
        <v>3.079626008755788E-2</v>
      </c>
      <c r="O134" s="10"/>
      <c r="P134" s="4">
        <f>SUM(OSRRefP16x_0)</f>
        <v>5003282.5200000005</v>
      </c>
      <c r="Q134" s="4"/>
      <c r="R134" s="12">
        <f t="shared" ref="R134:R191" si="23">IF(P$12=0,0,P134/P$12)</f>
        <v>0.51400202162027486</v>
      </c>
      <c r="S134" s="4"/>
      <c r="T134" s="4">
        <f>SUM(OSRRefT16x_0)</f>
        <v>5092283.8199999984</v>
      </c>
      <c r="U134" s="4"/>
      <c r="V134" s="12">
        <f t="shared" ref="V134:V191" si="24">IF(T$12=0,0,T134/T$12)</f>
        <v>0.50740082065017367</v>
      </c>
      <c r="W134" s="4"/>
      <c r="X134" s="4">
        <f t="shared" ref="X134:X191" si="25">+P134-T134</f>
        <v>-89001.299999997951</v>
      </c>
      <c r="Y134" s="4"/>
      <c r="Z134" s="12">
        <f t="shared" ref="Z134:Z191" si="26">IF(T134=0,0,X134/T134)</f>
        <v>-1.7477678610615617E-2</v>
      </c>
    </row>
    <row r="135" spans="1:26" s="24" customFormat="1" hidden="1" outlineLevel="1" x14ac:dyDescent="0.25">
      <c r="A135" s="44"/>
      <c r="B135" s="11" t="str">
        <f>CONCATENATE("          ", "5001", " - ", "PURCHASES @ COST-NEW TEXT")</f>
        <v xml:space="preserve">          5001 - PURCHASES @ COST-NEW TEXT</v>
      </c>
      <c r="C135" s="11"/>
      <c r="D135" s="2">
        <v>104892.25</v>
      </c>
      <c r="E135" s="2"/>
      <c r="F135" s="19">
        <f t="shared" si="19"/>
        <v>2.6165710729038623E-2</v>
      </c>
      <c r="G135" s="2"/>
      <c r="H135" s="2">
        <v>297306.68</v>
      </c>
      <c r="I135" s="2"/>
      <c r="J135" s="19">
        <f t="shared" si="20"/>
        <v>7.3640954702093586E-2</v>
      </c>
      <c r="K135" s="2"/>
      <c r="L135" s="2">
        <f t="shared" si="21"/>
        <v>-192414.43</v>
      </c>
      <c r="M135" s="2"/>
      <c r="N135" s="19">
        <f t="shared" si="22"/>
        <v>-0.64719174826478842</v>
      </c>
      <c r="O135" s="11"/>
      <c r="P135" s="2">
        <v>1932650.95</v>
      </c>
      <c r="Q135" s="2"/>
      <c r="R135" s="19">
        <f t="shared" si="23"/>
        <v>0.19854695220895593</v>
      </c>
      <c r="S135" s="2"/>
      <c r="T135" s="2">
        <v>2052477.64</v>
      </c>
      <c r="U135" s="2"/>
      <c r="V135" s="19">
        <f t="shared" si="24"/>
        <v>0.20451115368155814</v>
      </c>
      <c r="W135" s="2"/>
      <c r="X135" s="2">
        <f t="shared" si="25"/>
        <v>-119826.68999999994</v>
      </c>
      <c r="Y135" s="2"/>
      <c r="Z135" s="19">
        <f t="shared" si="26"/>
        <v>-5.8381483756383308E-2</v>
      </c>
    </row>
    <row r="136" spans="1:26" s="24" customFormat="1" hidden="1" outlineLevel="1" x14ac:dyDescent="0.25">
      <c r="A136" s="44"/>
      <c r="B136" s="11" t="str">
        <f>CONCATENATE("          ", "5002", " - ", "PURCHASES @ COST-USED TEXT")</f>
        <v xml:space="preserve">          5002 - PURCHASES @ COST-USED TEXT</v>
      </c>
      <c r="C136" s="11"/>
      <c r="D136" s="2">
        <v>18830.57</v>
      </c>
      <c r="E136" s="2"/>
      <c r="F136" s="19">
        <f t="shared" si="19"/>
        <v>4.6973465387853998E-3</v>
      </c>
      <c r="G136" s="2"/>
      <c r="H136" s="2">
        <v>144475.76</v>
      </c>
      <c r="I136" s="2"/>
      <c r="J136" s="19">
        <f t="shared" si="20"/>
        <v>3.5785717622323673E-2</v>
      </c>
      <c r="K136" s="2"/>
      <c r="L136" s="2">
        <f t="shared" si="21"/>
        <v>-125645.19</v>
      </c>
      <c r="M136" s="2"/>
      <c r="N136" s="19">
        <f t="shared" si="22"/>
        <v>-0.86966277249553836</v>
      </c>
      <c r="O136" s="11"/>
      <c r="P136" s="2">
        <v>353811.24</v>
      </c>
      <c r="Q136" s="2"/>
      <c r="R136" s="19">
        <f t="shared" si="23"/>
        <v>3.6348075869194821E-2</v>
      </c>
      <c r="S136" s="2"/>
      <c r="T136" s="2">
        <v>315050.18</v>
      </c>
      <c r="U136" s="2"/>
      <c r="V136" s="19">
        <f t="shared" si="24"/>
        <v>3.1391950159994221E-2</v>
      </c>
      <c r="W136" s="2"/>
      <c r="X136" s="2">
        <f t="shared" si="25"/>
        <v>38761.06</v>
      </c>
      <c r="Y136" s="2"/>
      <c r="Z136" s="19">
        <f t="shared" si="26"/>
        <v>0.1230313850320606</v>
      </c>
    </row>
    <row r="137" spans="1:26" s="24" customFormat="1" hidden="1" outlineLevel="1" x14ac:dyDescent="0.25">
      <c r="A137" s="44"/>
      <c r="B137" s="11" t="str">
        <f>CONCATENATE("          ", "5003", " - ", "PURCHASES @ COST-RENTAL TEXT")</f>
        <v xml:space="preserve">          5003 - PURCHASES @ COST-RENTAL TEXT</v>
      </c>
      <c r="C137" s="11"/>
      <c r="D137" s="2"/>
      <c r="E137" s="2"/>
      <c r="F137" s="19">
        <f t="shared" si="19"/>
        <v>0</v>
      </c>
      <c r="G137" s="2"/>
      <c r="H137" s="2">
        <v>-2966.4</v>
      </c>
      <c r="I137" s="2"/>
      <c r="J137" s="19">
        <f t="shared" si="20"/>
        <v>-7.3475822348926178E-4</v>
      </c>
      <c r="K137" s="2"/>
      <c r="L137" s="2">
        <f t="shared" si="21"/>
        <v>2966.4</v>
      </c>
      <c r="M137" s="2"/>
      <c r="N137" s="19">
        <f t="shared" si="22"/>
        <v>-1</v>
      </c>
      <c r="O137" s="11"/>
      <c r="P137" s="2">
        <v>-78.400000000000006</v>
      </c>
      <c r="Q137" s="2"/>
      <c r="R137" s="19">
        <f t="shared" si="23"/>
        <v>-8.0542640424449887E-6</v>
      </c>
      <c r="S137" s="2"/>
      <c r="T137" s="2">
        <v>-522.1</v>
      </c>
      <c r="U137" s="2"/>
      <c r="V137" s="19">
        <f t="shared" si="24"/>
        <v>-5.2022624391241365E-5</v>
      </c>
      <c r="W137" s="2"/>
      <c r="X137" s="2">
        <f t="shared" si="25"/>
        <v>443.70000000000005</v>
      </c>
      <c r="Y137" s="2"/>
      <c r="Z137" s="19">
        <f t="shared" si="26"/>
        <v>-0.84983719593947527</v>
      </c>
    </row>
    <row r="138" spans="1:26" s="24" customFormat="1" hidden="1" outlineLevel="1" x14ac:dyDescent="0.25">
      <c r="A138" s="44"/>
      <c r="B138" s="11" t="str">
        <f>CONCATENATE("          ", "5004", " - ", "PURCHASES @ COST-DIGITAL TEXT")</f>
        <v xml:space="preserve">          5004 - PURCHASES @ COST-DIGITAL TEXT</v>
      </c>
      <c r="C138" s="11"/>
      <c r="D138" s="2">
        <v>50761.9</v>
      </c>
      <c r="E138" s="2"/>
      <c r="F138" s="19">
        <f t="shared" si="19"/>
        <v>1.266271999558009E-2</v>
      </c>
      <c r="G138" s="2"/>
      <c r="H138" s="2">
        <v>37466.380000000005</v>
      </c>
      <c r="I138" s="2"/>
      <c r="J138" s="19">
        <f t="shared" si="20"/>
        <v>9.2801816374641338E-3</v>
      </c>
      <c r="K138" s="2"/>
      <c r="L138" s="2">
        <f t="shared" si="21"/>
        <v>13295.519999999997</v>
      </c>
      <c r="M138" s="2"/>
      <c r="N138" s="19">
        <f t="shared" si="22"/>
        <v>0.35486534861387714</v>
      </c>
      <c r="O138" s="11"/>
      <c r="P138" s="2">
        <v>353728.39</v>
      </c>
      <c r="Q138" s="2"/>
      <c r="R138" s="19">
        <f t="shared" si="23"/>
        <v>3.6339564443481596E-2</v>
      </c>
      <c r="S138" s="2"/>
      <c r="T138" s="2">
        <v>239679.49000000002</v>
      </c>
      <c r="U138" s="2"/>
      <c r="V138" s="19">
        <f t="shared" si="24"/>
        <v>2.3881930822743327E-2</v>
      </c>
      <c r="W138" s="2"/>
      <c r="X138" s="2">
        <f t="shared" si="25"/>
        <v>114048.9</v>
      </c>
      <c r="Y138" s="2"/>
      <c r="Z138" s="19">
        <f t="shared" si="26"/>
        <v>0.47583921344291907</v>
      </c>
    </row>
    <row r="139" spans="1:26" s="24" customFormat="1" hidden="1" outlineLevel="1" x14ac:dyDescent="0.25">
      <c r="A139" s="44"/>
      <c r="B139" s="11" t="str">
        <f>CONCATENATE("          ", "5011", " - ", "PURCHASES @ COST-NO VALUE TEXT")</f>
        <v xml:space="preserve">          5011 - PURCHASES @ COST-NO VALUE TEXT</v>
      </c>
      <c r="C139" s="11"/>
      <c r="D139" s="2">
        <v>2928</v>
      </c>
      <c r="E139" s="2"/>
      <c r="F139" s="19">
        <f t="shared" si="19"/>
        <v>7.3039906203389751E-4</v>
      </c>
      <c r="G139" s="2"/>
      <c r="H139" s="2">
        <v>126</v>
      </c>
      <c r="I139" s="2"/>
      <c r="J139" s="19">
        <f t="shared" si="20"/>
        <v>3.1209390560830292E-5</v>
      </c>
      <c r="K139" s="2"/>
      <c r="L139" s="2">
        <f t="shared" si="21"/>
        <v>2802</v>
      </c>
      <c r="M139" s="2"/>
      <c r="N139" s="19">
        <f t="shared" si="22"/>
        <v>22.238095238095237</v>
      </c>
      <c r="O139" s="11"/>
      <c r="P139" s="2">
        <v>3585</v>
      </c>
      <c r="Q139" s="2"/>
      <c r="R139" s="19">
        <f t="shared" si="23"/>
        <v>3.6829766061435311E-4</v>
      </c>
      <c r="S139" s="2"/>
      <c r="T139" s="2">
        <v>1083</v>
      </c>
      <c r="U139" s="2"/>
      <c r="V139" s="19">
        <f t="shared" si="24"/>
        <v>1.0791132391441179E-4</v>
      </c>
      <c r="W139" s="2"/>
      <c r="X139" s="2">
        <f t="shared" si="25"/>
        <v>2502</v>
      </c>
      <c r="Y139" s="2"/>
      <c r="Z139" s="19">
        <f t="shared" si="26"/>
        <v>2.3102493074792245</v>
      </c>
    </row>
    <row r="140" spans="1:26" s="24" customFormat="1" hidden="1" outlineLevel="1" x14ac:dyDescent="0.25">
      <c r="A140" s="44"/>
      <c r="B140" s="11" t="str">
        <f>CONCATENATE("          ", "5013", " - ", "PURCHASES @ COST-TRADE BOOKS")</f>
        <v xml:space="preserve">          5013 - PURCHASES @ COST-TRADE BOOKS</v>
      </c>
      <c r="C140" s="11"/>
      <c r="D140" s="2">
        <v>269.89</v>
      </c>
      <c r="E140" s="2"/>
      <c r="F140" s="19">
        <f t="shared" si="19"/>
        <v>6.7324932668145007E-5</v>
      </c>
      <c r="G140" s="2"/>
      <c r="H140" s="2">
        <v>-1023.61</v>
      </c>
      <c r="I140" s="2"/>
      <c r="J140" s="19">
        <f t="shared" si="20"/>
        <v>-2.5354162120612298E-4</v>
      </c>
      <c r="K140" s="2"/>
      <c r="L140" s="2">
        <f t="shared" si="21"/>
        <v>1293.5</v>
      </c>
      <c r="M140" s="2"/>
      <c r="N140" s="19">
        <f t="shared" si="22"/>
        <v>-1.2636648723634978</v>
      </c>
      <c r="O140" s="11"/>
      <c r="P140" s="2">
        <v>474.79</v>
      </c>
      <c r="Q140" s="2"/>
      <c r="R140" s="19">
        <f t="shared" si="23"/>
        <v>4.8776581947862961E-5</v>
      </c>
      <c r="S140" s="2"/>
      <c r="T140" s="2">
        <v>579.38</v>
      </c>
      <c r="U140" s="2"/>
      <c r="V140" s="19">
        <f t="shared" si="24"/>
        <v>5.7730067266419117E-5</v>
      </c>
      <c r="W140" s="2"/>
      <c r="X140" s="2">
        <f t="shared" si="25"/>
        <v>-104.58999999999997</v>
      </c>
      <c r="Y140" s="2"/>
      <c r="Z140" s="19">
        <f t="shared" si="26"/>
        <v>-0.18052055645690215</v>
      </c>
    </row>
    <row r="141" spans="1:26" s="24" customFormat="1" hidden="1" outlineLevel="1" x14ac:dyDescent="0.25">
      <c r="A141" s="44"/>
      <c r="B141" s="11" t="str">
        <f>CONCATENATE("          ", "5014", " - ", "PURCHASES @ COST-REMAINDERS")</f>
        <v xml:space="preserve">          5014 - PURCHASES @ COST-REMAINDERS</v>
      </c>
      <c r="C141" s="11"/>
      <c r="D141" s="2">
        <v>55.65</v>
      </c>
      <c r="E141" s="2"/>
      <c r="F141" s="19">
        <f t="shared" si="19"/>
        <v>1.3882072336812294E-5</v>
      </c>
      <c r="G141" s="2"/>
      <c r="H141" s="2">
        <v>197.26</v>
      </c>
      <c r="I141" s="2"/>
      <c r="J141" s="19">
        <f t="shared" si="20"/>
        <v>4.886003477801098E-5</v>
      </c>
      <c r="K141" s="2"/>
      <c r="L141" s="2">
        <f t="shared" si="21"/>
        <v>-141.60999999999999</v>
      </c>
      <c r="M141" s="2"/>
      <c r="N141" s="19">
        <f t="shared" si="22"/>
        <v>-0.71788502484031225</v>
      </c>
      <c r="O141" s="11"/>
      <c r="P141" s="2">
        <v>289.97000000000003</v>
      </c>
      <c r="Q141" s="2"/>
      <c r="R141" s="19">
        <f t="shared" si="23"/>
        <v>2.9789476331476702E-5</v>
      </c>
      <c r="S141" s="2"/>
      <c r="T141" s="2">
        <v>401.26</v>
      </c>
      <c r="U141" s="2"/>
      <c r="V141" s="19">
        <f t="shared" si="24"/>
        <v>3.9981992459738573E-5</v>
      </c>
      <c r="W141" s="2"/>
      <c r="X141" s="2">
        <f t="shared" si="25"/>
        <v>-111.28999999999996</v>
      </c>
      <c r="Y141" s="2"/>
      <c r="Z141" s="19">
        <f t="shared" si="26"/>
        <v>-0.27735134326870348</v>
      </c>
    </row>
    <row r="142" spans="1:26" s="24" customFormat="1" hidden="1" outlineLevel="1" x14ac:dyDescent="0.25">
      <c r="A142" s="44"/>
      <c r="B142" s="11" t="str">
        <f>CONCATENATE("          ", "5017", " - ", "PURCHASES @ COST-DORM/HOUSEWAR")</f>
        <v xml:space="preserve">          5017 - PURCHASES @ COST-DORM/HOUSEWAR</v>
      </c>
      <c r="C142" s="11"/>
      <c r="D142" s="2">
        <v>-139.86000000000001</v>
      </c>
      <c r="E142" s="2"/>
      <c r="F142" s="19">
        <f t="shared" si="19"/>
        <v>-3.4888528967233922E-5</v>
      </c>
      <c r="G142" s="2"/>
      <c r="H142" s="2">
        <v>-959.6</v>
      </c>
      <c r="I142" s="2"/>
      <c r="J142" s="19">
        <f t="shared" si="20"/>
        <v>-2.3768675541406943E-4</v>
      </c>
      <c r="K142" s="2"/>
      <c r="L142" s="2">
        <f t="shared" si="21"/>
        <v>819.74</v>
      </c>
      <c r="M142" s="2"/>
      <c r="N142" s="19">
        <f t="shared" si="22"/>
        <v>-0.85425177157148813</v>
      </c>
      <c r="O142" s="11"/>
      <c r="P142" s="2">
        <v>0</v>
      </c>
      <c r="Q142" s="2"/>
      <c r="R142" s="19">
        <f t="shared" si="23"/>
        <v>0</v>
      </c>
      <c r="S142" s="2"/>
      <c r="T142" s="2">
        <v>0</v>
      </c>
      <c r="U142" s="2"/>
      <c r="V142" s="19">
        <f t="shared" si="24"/>
        <v>0</v>
      </c>
      <c r="W142" s="2"/>
      <c r="X142" s="2">
        <f t="shared" si="25"/>
        <v>0</v>
      </c>
      <c r="Y142" s="2"/>
      <c r="Z142" s="19">
        <f t="shared" si="26"/>
        <v>0</v>
      </c>
    </row>
    <row r="143" spans="1:26" s="24" customFormat="1" hidden="1" outlineLevel="1" x14ac:dyDescent="0.25">
      <c r="A143" s="44"/>
      <c r="B143" s="11" t="str">
        <f>CONCATENATE("          ", "5018", " - ", "PURCHASES @ COST-STUDY GUIDES")</f>
        <v xml:space="preserve">          5018 - PURCHASES @ COST-STUDY GUIDES</v>
      </c>
      <c r="C143" s="11"/>
      <c r="D143" s="2"/>
      <c r="E143" s="2"/>
      <c r="F143" s="19">
        <f t="shared" si="19"/>
        <v>0</v>
      </c>
      <c r="G143" s="2"/>
      <c r="H143" s="2">
        <v>216.04</v>
      </c>
      <c r="I143" s="2"/>
      <c r="J143" s="19">
        <f t="shared" si="20"/>
        <v>5.3511720133029966E-5</v>
      </c>
      <c r="K143" s="2"/>
      <c r="L143" s="2">
        <f t="shared" si="21"/>
        <v>-216.04</v>
      </c>
      <c r="M143" s="2"/>
      <c r="N143" s="19">
        <f t="shared" si="22"/>
        <v>-1</v>
      </c>
      <c r="O143" s="11"/>
      <c r="P143" s="2">
        <v>503.93</v>
      </c>
      <c r="Q143" s="2"/>
      <c r="R143" s="19">
        <f t="shared" si="23"/>
        <v>5.1770220394251312E-5</v>
      </c>
      <c r="S143" s="2"/>
      <c r="T143" s="2">
        <v>1034.67</v>
      </c>
      <c r="U143" s="2"/>
      <c r="V143" s="19">
        <f t="shared" si="24"/>
        <v>1.0309566898848057E-4</v>
      </c>
      <c r="W143" s="2"/>
      <c r="X143" s="2">
        <f t="shared" si="25"/>
        <v>-530.74</v>
      </c>
      <c r="Y143" s="2"/>
      <c r="Z143" s="19">
        <f t="shared" si="26"/>
        <v>-0.51295582166294562</v>
      </c>
    </row>
    <row r="144" spans="1:26" s="24" customFormat="1" hidden="1" outlineLevel="1" x14ac:dyDescent="0.25">
      <c r="A144" s="44"/>
      <c r="B144" s="11" t="str">
        <f>CONCATENATE("          ", "5025", " - ", "PURCHASES @ COST-TEST FORMS")</f>
        <v xml:space="preserve">          5025 - PURCHASES @ COST-TEST FORMS</v>
      </c>
      <c r="C144" s="11"/>
      <c r="D144" s="2">
        <v>1495.25</v>
      </c>
      <c r="E144" s="2"/>
      <c r="F144" s="19">
        <f t="shared" si="19"/>
        <v>3.729949445034786E-4</v>
      </c>
      <c r="G144" s="2"/>
      <c r="H144" s="2">
        <v>0</v>
      </c>
      <c r="I144" s="2"/>
      <c r="J144" s="19">
        <f t="shared" si="20"/>
        <v>0</v>
      </c>
      <c r="K144" s="2"/>
      <c r="L144" s="2">
        <f t="shared" si="21"/>
        <v>1495.25</v>
      </c>
      <c r="M144" s="2"/>
      <c r="N144" s="19">
        <f t="shared" si="22"/>
        <v>0</v>
      </c>
      <c r="O144" s="11"/>
      <c r="P144" s="2">
        <v>3252.39</v>
      </c>
      <c r="Q144" s="2"/>
      <c r="R144" s="19">
        <f t="shared" si="23"/>
        <v>3.3412765088019965E-4</v>
      </c>
      <c r="S144" s="2"/>
      <c r="T144" s="2">
        <v>1050</v>
      </c>
      <c r="U144" s="2"/>
      <c r="V144" s="19">
        <f t="shared" si="24"/>
        <v>1.0462316723003913E-4</v>
      </c>
      <c r="W144" s="2"/>
      <c r="X144" s="2">
        <f t="shared" si="25"/>
        <v>2202.39</v>
      </c>
      <c r="Y144" s="2"/>
      <c r="Z144" s="19">
        <f t="shared" si="26"/>
        <v>2.0975142857142854</v>
      </c>
    </row>
    <row r="145" spans="1:26" s="24" customFormat="1" hidden="1" outlineLevel="1" x14ac:dyDescent="0.25">
      <c r="A145" s="44"/>
      <c r="B145" s="11" t="str">
        <f>CONCATENATE("          ", "5026", " - ", "PURCHASES @ COST-WRITING INSTR")</f>
        <v xml:space="preserve">          5026 - PURCHASES @ COST-WRITING INSTR</v>
      </c>
      <c r="C145" s="11"/>
      <c r="D145" s="2">
        <v>2250.85</v>
      </c>
      <c r="E145" s="2"/>
      <c r="F145" s="19">
        <f t="shared" si="19"/>
        <v>5.6148180627698025E-4</v>
      </c>
      <c r="G145" s="2"/>
      <c r="H145" s="2">
        <v>18243.670000000002</v>
      </c>
      <c r="I145" s="2"/>
      <c r="J145" s="19">
        <f t="shared" si="20"/>
        <v>4.5188398594674826E-3</v>
      </c>
      <c r="K145" s="2"/>
      <c r="L145" s="2">
        <f t="shared" si="21"/>
        <v>-15992.820000000002</v>
      </c>
      <c r="M145" s="2"/>
      <c r="N145" s="19">
        <f t="shared" si="22"/>
        <v>-0.87662296018290176</v>
      </c>
      <c r="O145" s="11"/>
      <c r="P145" s="2">
        <v>14787.38</v>
      </c>
      <c r="Q145" s="2"/>
      <c r="R145" s="19">
        <f t="shared" si="23"/>
        <v>1.5191513139792112E-3</v>
      </c>
      <c r="S145" s="2"/>
      <c r="T145" s="2">
        <v>22840.489999999998</v>
      </c>
      <c r="U145" s="2"/>
      <c r="V145" s="19">
        <f t="shared" si="24"/>
        <v>2.2758518141771777E-3</v>
      </c>
      <c r="W145" s="2"/>
      <c r="X145" s="2">
        <f t="shared" si="25"/>
        <v>-8053.1099999999988</v>
      </c>
      <c r="Y145" s="2"/>
      <c r="Z145" s="19">
        <f t="shared" si="26"/>
        <v>-0.3525804393863704</v>
      </c>
    </row>
    <row r="146" spans="1:26" s="24" customFormat="1" hidden="1" outlineLevel="1" x14ac:dyDescent="0.25">
      <c r="A146" s="44"/>
      <c r="B146" s="11" t="str">
        <f>CONCATENATE("          ", "5027", " - ", "PURCHASES @ COST-SCHOOL SUPPLI")</f>
        <v xml:space="preserve">          5027 - PURCHASES @ COST-SCHOOL SUPPLI</v>
      </c>
      <c r="C146" s="11"/>
      <c r="D146" s="2">
        <v>12655.95</v>
      </c>
      <c r="E146" s="2"/>
      <c r="F146" s="19">
        <f t="shared" si="19"/>
        <v>3.1570676260751045E-3</v>
      </c>
      <c r="G146" s="2"/>
      <c r="H146" s="2">
        <v>15062.04</v>
      </c>
      <c r="I146" s="2"/>
      <c r="J146" s="19">
        <f t="shared" si="20"/>
        <v>3.7307705476416534E-3</v>
      </c>
      <c r="K146" s="2"/>
      <c r="L146" s="2">
        <f t="shared" si="21"/>
        <v>-2406.09</v>
      </c>
      <c r="M146" s="2"/>
      <c r="N146" s="19">
        <f t="shared" si="22"/>
        <v>-0.15974529346622371</v>
      </c>
      <c r="O146" s="11"/>
      <c r="P146" s="2">
        <v>62182.680000000008</v>
      </c>
      <c r="Q146" s="2"/>
      <c r="R146" s="19">
        <f t="shared" si="23"/>
        <v>6.3882107600365199E-3</v>
      </c>
      <c r="S146" s="2"/>
      <c r="T146" s="2">
        <v>58732.23</v>
      </c>
      <c r="U146" s="2"/>
      <c r="V146" s="19">
        <f t="shared" si="24"/>
        <v>5.8521446867458304E-3</v>
      </c>
      <c r="W146" s="2"/>
      <c r="X146" s="2">
        <f t="shared" si="25"/>
        <v>3450.4500000000044</v>
      </c>
      <c r="Y146" s="2"/>
      <c r="Z146" s="19">
        <f t="shared" si="26"/>
        <v>5.8748833476951312E-2</v>
      </c>
    </row>
    <row r="147" spans="1:26" s="24" customFormat="1" hidden="1" outlineLevel="1" x14ac:dyDescent="0.25">
      <c r="A147" s="44"/>
      <c r="B147" s="11" t="str">
        <f>CONCATENATE("          ", "5028", " - ", "PURCHASES @ COST-ART/TECH")</f>
        <v xml:space="preserve">          5028 - PURCHASES @ COST-ART/TECH</v>
      </c>
      <c r="C147" s="11"/>
      <c r="D147" s="2">
        <v>14830.009999999998</v>
      </c>
      <c r="E147" s="2"/>
      <c r="F147" s="19">
        <f t="shared" si="19"/>
        <v>3.6993939186999044E-3</v>
      </c>
      <c r="G147" s="2"/>
      <c r="H147" s="2">
        <v>15579.26</v>
      </c>
      <c r="I147" s="2"/>
      <c r="J147" s="19">
        <f t="shared" si="20"/>
        <v>3.8588826189581028E-3</v>
      </c>
      <c r="K147" s="2"/>
      <c r="L147" s="2">
        <f t="shared" si="21"/>
        <v>-749.25000000000182</v>
      </c>
      <c r="M147" s="2"/>
      <c r="N147" s="19">
        <f t="shared" si="22"/>
        <v>-4.8092784894789728E-2</v>
      </c>
      <c r="O147" s="11"/>
      <c r="P147" s="2">
        <v>70844.78</v>
      </c>
      <c r="Q147" s="2"/>
      <c r="R147" s="19">
        <f t="shared" si="23"/>
        <v>7.278093930470993E-3</v>
      </c>
      <c r="S147" s="2"/>
      <c r="T147" s="2">
        <v>53175.57</v>
      </c>
      <c r="U147" s="2"/>
      <c r="V147" s="19">
        <f t="shared" si="24"/>
        <v>5.2984729072977641E-3</v>
      </c>
      <c r="W147" s="2"/>
      <c r="X147" s="2">
        <f t="shared" si="25"/>
        <v>17669.21</v>
      </c>
      <c r="Y147" s="2"/>
      <c r="Z147" s="19">
        <f t="shared" si="26"/>
        <v>0.3322805942653741</v>
      </c>
    </row>
    <row r="148" spans="1:26" s="24" customFormat="1" hidden="1" outlineLevel="1" x14ac:dyDescent="0.25">
      <c r="A148" s="44"/>
      <c r="B148" s="11" t="str">
        <f>CONCATENATE("          ", "5031", " - ", "PURCHASES @ COST-FOOD")</f>
        <v xml:space="preserve">          5031 - PURCHASES @ COST-FOOD</v>
      </c>
      <c r="C148" s="11"/>
      <c r="D148" s="2">
        <v>5471.01</v>
      </c>
      <c r="E148" s="2"/>
      <c r="F148" s="19">
        <f t="shared" si="19"/>
        <v>1.3647611244460636E-3</v>
      </c>
      <c r="G148" s="2"/>
      <c r="H148" s="2">
        <v>4130.26</v>
      </c>
      <c r="I148" s="2"/>
      <c r="J148" s="19">
        <f t="shared" si="20"/>
        <v>1.0230388687124995E-3</v>
      </c>
      <c r="K148" s="2"/>
      <c r="L148" s="2">
        <f t="shared" si="21"/>
        <v>1340.75</v>
      </c>
      <c r="M148" s="2"/>
      <c r="N148" s="19">
        <f t="shared" si="22"/>
        <v>0.32461636797683435</v>
      </c>
      <c r="O148" s="11"/>
      <c r="P148" s="2">
        <v>8150.05</v>
      </c>
      <c r="Q148" s="2"/>
      <c r="R148" s="19">
        <f t="shared" si="23"/>
        <v>8.3727875840725475E-4</v>
      </c>
      <c r="S148" s="2"/>
      <c r="T148" s="2">
        <v>7093.43</v>
      </c>
      <c r="U148" s="2"/>
      <c r="V148" s="19">
        <f t="shared" si="24"/>
        <v>7.0679725059483482E-4</v>
      </c>
      <c r="W148" s="2"/>
      <c r="X148" s="2">
        <f t="shared" si="25"/>
        <v>1056.6199999999999</v>
      </c>
      <c r="Y148" s="2"/>
      <c r="Z148" s="19">
        <f t="shared" si="26"/>
        <v>0.14895755649946499</v>
      </c>
    </row>
    <row r="149" spans="1:26" s="24" customFormat="1" hidden="1" outlineLevel="1" x14ac:dyDescent="0.25">
      <c r="A149" s="44"/>
      <c r="B149" s="11" t="str">
        <f>CONCATENATE("          ", "5032", " - ", "PURCHASES @ COST-JUICE")</f>
        <v xml:space="preserve">          5032 - PURCHASES @ COST-JUICE</v>
      </c>
      <c r="C149" s="11"/>
      <c r="D149" s="2">
        <v>477.55</v>
      </c>
      <c r="E149" s="2"/>
      <c r="F149" s="19">
        <f t="shared" si="19"/>
        <v>1.1912639073575403E-4</v>
      </c>
      <c r="G149" s="2"/>
      <c r="H149" s="2">
        <v>1045.49</v>
      </c>
      <c r="I149" s="2"/>
      <c r="J149" s="19">
        <f t="shared" si="20"/>
        <v>2.5896115664636872E-4</v>
      </c>
      <c r="K149" s="2"/>
      <c r="L149" s="2">
        <f t="shared" si="21"/>
        <v>-567.94000000000005</v>
      </c>
      <c r="M149" s="2"/>
      <c r="N149" s="19">
        <f t="shared" si="22"/>
        <v>-0.54322853398884741</v>
      </c>
      <c r="O149" s="11"/>
      <c r="P149" s="2">
        <v>819.15</v>
      </c>
      <c r="Q149" s="2"/>
      <c r="R149" s="19">
        <f t="shared" si="23"/>
        <v>8.4153703958785868E-5</v>
      </c>
      <c r="S149" s="2"/>
      <c r="T149" s="2">
        <v>2027.58</v>
      </c>
      <c r="U149" s="2"/>
      <c r="V149" s="19">
        <f t="shared" si="24"/>
        <v>2.0203032515455499E-4</v>
      </c>
      <c r="W149" s="2"/>
      <c r="X149" s="2">
        <f t="shared" si="25"/>
        <v>-1208.4299999999998</v>
      </c>
      <c r="Y149" s="2"/>
      <c r="Z149" s="19">
        <f t="shared" si="26"/>
        <v>-0.59599621223330268</v>
      </c>
    </row>
    <row r="150" spans="1:26" s="24" customFormat="1" hidden="1" outlineLevel="1" x14ac:dyDescent="0.25">
      <c r="A150" s="44"/>
      <c r="B150" s="11" t="str">
        <f>CONCATENATE("          ", "5033", " - ", "PURCHASES @ COST-CANDY")</f>
        <v xml:space="preserve">          5033 - PURCHASES @ COST-CANDY</v>
      </c>
      <c r="C150" s="11"/>
      <c r="D150" s="2">
        <v>1366.65</v>
      </c>
      <c r="E150" s="2"/>
      <c r="F150" s="19">
        <f t="shared" si="19"/>
        <v>3.409152589237111E-4</v>
      </c>
      <c r="G150" s="2"/>
      <c r="H150" s="2">
        <v>682.94</v>
      </c>
      <c r="I150" s="2"/>
      <c r="J150" s="19">
        <f t="shared" si="20"/>
        <v>1.6915985071121778E-4</v>
      </c>
      <c r="K150" s="2"/>
      <c r="L150" s="2">
        <f t="shared" si="21"/>
        <v>683.71</v>
      </c>
      <c r="M150" s="2"/>
      <c r="N150" s="19">
        <f t="shared" si="22"/>
        <v>1.0011274782557764</v>
      </c>
      <c r="O150" s="11"/>
      <c r="P150" s="2">
        <v>2353.11</v>
      </c>
      <c r="Q150" s="2"/>
      <c r="R150" s="19">
        <f t="shared" si="23"/>
        <v>2.4174195485864448E-4</v>
      </c>
      <c r="S150" s="2"/>
      <c r="T150" s="2">
        <v>1772.86</v>
      </c>
      <c r="U150" s="2"/>
      <c r="V150" s="19">
        <f t="shared" si="24"/>
        <v>1.7664974119566398E-4</v>
      </c>
      <c r="W150" s="2"/>
      <c r="X150" s="2">
        <f t="shared" si="25"/>
        <v>580.25000000000023</v>
      </c>
      <c r="Y150" s="2"/>
      <c r="Z150" s="19">
        <f t="shared" si="26"/>
        <v>0.32729600758097099</v>
      </c>
    </row>
    <row r="151" spans="1:26" s="24" customFormat="1" hidden="1" outlineLevel="1" x14ac:dyDescent="0.25">
      <c r="A151" s="44"/>
      <c r="B151" s="11" t="str">
        <f>CONCATENATE("          ", "5034", " - ", "PURCHASES @ COST-SODA")</f>
        <v xml:space="preserve">          5034 - PURCHASES @ COST-SODA</v>
      </c>
      <c r="C151" s="11"/>
      <c r="D151" s="2">
        <v>330.04</v>
      </c>
      <c r="E151" s="2"/>
      <c r="F151" s="19">
        <f t="shared" si="19"/>
        <v>8.2329544547017617E-5</v>
      </c>
      <c r="G151" s="2"/>
      <c r="H151" s="2">
        <v>148.22</v>
      </c>
      <c r="I151" s="2"/>
      <c r="J151" s="19">
        <f t="shared" si="20"/>
        <v>3.6713141816875123E-5</v>
      </c>
      <c r="K151" s="2"/>
      <c r="L151" s="2">
        <f t="shared" si="21"/>
        <v>181.82000000000002</v>
      </c>
      <c r="M151" s="2"/>
      <c r="N151" s="19">
        <f t="shared" si="22"/>
        <v>1.2266900553231683</v>
      </c>
      <c r="O151" s="11"/>
      <c r="P151" s="2">
        <v>618.54</v>
      </c>
      <c r="Q151" s="2"/>
      <c r="R151" s="19">
        <f t="shared" si="23"/>
        <v>6.3544444908340855E-5</v>
      </c>
      <c r="S151" s="2"/>
      <c r="T151" s="2">
        <v>687.16</v>
      </c>
      <c r="U151" s="2"/>
      <c r="V151" s="19">
        <f t="shared" si="24"/>
        <v>6.8469386279803511E-5</v>
      </c>
      <c r="W151" s="2"/>
      <c r="X151" s="2">
        <f t="shared" si="25"/>
        <v>-68.62</v>
      </c>
      <c r="Y151" s="2"/>
      <c r="Z151" s="19">
        <f t="shared" si="26"/>
        <v>-9.9860294545666237E-2</v>
      </c>
    </row>
    <row r="152" spans="1:26" s="24" customFormat="1" hidden="1" outlineLevel="1" x14ac:dyDescent="0.25">
      <c r="A152" s="44"/>
      <c r="B152" s="11" t="str">
        <f>CONCATENATE("          ", "5035", " - ", "PURCHASES @ COST-HEALTH &amp; BEAU")</f>
        <v xml:space="preserve">          5035 - PURCHASES @ COST-HEALTH &amp; BEAU</v>
      </c>
      <c r="C152" s="11"/>
      <c r="D152" s="2">
        <v>210.83</v>
      </c>
      <c r="E152" s="2"/>
      <c r="F152" s="19">
        <f t="shared" si="19"/>
        <v>5.259222481168259E-5</v>
      </c>
      <c r="G152" s="2"/>
      <c r="H152" s="2">
        <v>81.03</v>
      </c>
      <c r="I152" s="2"/>
      <c r="J152" s="19">
        <f t="shared" si="20"/>
        <v>2.0070610453524433E-5</v>
      </c>
      <c r="K152" s="2"/>
      <c r="L152" s="2">
        <f t="shared" si="21"/>
        <v>129.80000000000001</v>
      </c>
      <c r="M152" s="2"/>
      <c r="N152" s="19">
        <f t="shared" si="22"/>
        <v>1.601875848451191</v>
      </c>
      <c r="O152" s="11"/>
      <c r="P152" s="2">
        <v>287.56</v>
      </c>
      <c r="Q152" s="2"/>
      <c r="R152" s="19">
        <f t="shared" si="23"/>
        <v>2.9541889898539295E-5</v>
      </c>
      <c r="S152" s="2"/>
      <c r="T152" s="2">
        <v>125.52</v>
      </c>
      <c r="U152" s="2"/>
      <c r="V152" s="19">
        <f t="shared" si="24"/>
        <v>1.2506952334013822E-5</v>
      </c>
      <c r="W152" s="2"/>
      <c r="X152" s="2">
        <f t="shared" si="25"/>
        <v>162.04000000000002</v>
      </c>
      <c r="Y152" s="2"/>
      <c r="Z152" s="19">
        <f t="shared" si="26"/>
        <v>1.290949649458254</v>
      </c>
    </row>
    <row r="153" spans="1:26" s="24" customFormat="1" hidden="1" outlineLevel="1" x14ac:dyDescent="0.25">
      <c r="A153" s="44"/>
      <c r="B153" s="11" t="str">
        <f>CONCATENATE("          ", "5037", " - ", "PURCHASES @ COST-WATER")</f>
        <v xml:space="preserve">          5037 - PURCHASES @ COST-WATER</v>
      </c>
      <c r="C153" s="11"/>
      <c r="D153" s="2">
        <v>896.64</v>
      </c>
      <c r="E153" s="2"/>
      <c r="F153" s="19">
        <f t="shared" si="19"/>
        <v>2.2366974555398697E-4</v>
      </c>
      <c r="G153" s="2"/>
      <c r="H153" s="2">
        <v>615.67999999999995</v>
      </c>
      <c r="I153" s="2"/>
      <c r="J153" s="19">
        <f t="shared" si="20"/>
        <v>1.5249998079755548E-4</v>
      </c>
      <c r="K153" s="2"/>
      <c r="L153" s="2">
        <f t="shared" si="21"/>
        <v>280.96000000000004</v>
      </c>
      <c r="M153" s="2"/>
      <c r="N153" s="19">
        <f t="shared" si="22"/>
        <v>0.45634095634095645</v>
      </c>
      <c r="O153" s="11"/>
      <c r="P153" s="2">
        <v>1392.58</v>
      </c>
      <c r="Q153" s="2"/>
      <c r="R153" s="19">
        <f t="shared" si="23"/>
        <v>1.4306386505392909E-4</v>
      </c>
      <c r="S153" s="2"/>
      <c r="T153" s="2">
        <v>1206.74</v>
      </c>
      <c r="U153" s="2"/>
      <c r="V153" s="19">
        <f t="shared" si="24"/>
        <v>1.2024091506969279E-4</v>
      </c>
      <c r="W153" s="2"/>
      <c r="X153" s="2">
        <f t="shared" si="25"/>
        <v>185.83999999999992</v>
      </c>
      <c r="Y153" s="2"/>
      <c r="Z153" s="19">
        <f t="shared" si="26"/>
        <v>0.15400169050499687</v>
      </c>
    </row>
    <row r="154" spans="1:26" s="24" customFormat="1" hidden="1" outlineLevel="1" x14ac:dyDescent="0.25">
      <c r="A154" s="44"/>
      <c r="B154" s="11" t="str">
        <f>CONCATENATE("          ", "5040", " - ", "PURCHASES @ COST-LOGO CLOTHING")</f>
        <v xml:space="preserve">          5040 - PURCHASES @ COST-LOGO CLOTHING</v>
      </c>
      <c r="C154" s="11"/>
      <c r="D154" s="2">
        <v>150282.89000000001</v>
      </c>
      <c r="E154" s="2"/>
      <c r="F154" s="19">
        <f t="shared" si="19"/>
        <v>3.7488552560021655E-2</v>
      </c>
      <c r="G154" s="2"/>
      <c r="H154" s="2">
        <v>126875.2</v>
      </c>
      <c r="I154" s="2"/>
      <c r="J154" s="19">
        <f t="shared" si="20"/>
        <v>3.1426171978440123E-2</v>
      </c>
      <c r="K154" s="2"/>
      <c r="L154" s="2">
        <f t="shared" si="21"/>
        <v>23407.690000000017</v>
      </c>
      <c r="M154" s="2"/>
      <c r="N154" s="19">
        <f t="shared" si="22"/>
        <v>0.1844938175466917</v>
      </c>
      <c r="O154" s="11"/>
      <c r="P154" s="2">
        <v>335851.86000000004</v>
      </c>
      <c r="Q154" s="2"/>
      <c r="R154" s="19">
        <f t="shared" si="23"/>
        <v>3.450305560696771E-2</v>
      </c>
      <c r="S154" s="2"/>
      <c r="T154" s="2">
        <v>295122.42</v>
      </c>
      <c r="U154" s="2"/>
      <c r="V154" s="19">
        <f t="shared" si="24"/>
        <v>2.9406326000946521E-2</v>
      </c>
      <c r="W154" s="2"/>
      <c r="X154" s="2">
        <f t="shared" si="25"/>
        <v>40729.440000000061</v>
      </c>
      <c r="Y154" s="2"/>
      <c r="Z154" s="19">
        <f t="shared" si="26"/>
        <v>0.13800862706398268</v>
      </c>
    </row>
    <row r="155" spans="1:26" s="24" customFormat="1" hidden="1" outlineLevel="1" x14ac:dyDescent="0.25">
      <c r="A155" s="44"/>
      <c r="B155" s="11" t="str">
        <f>CONCATENATE("          ", "5041", " - ", "PURCHASES @ COST-LOGO GIFTS")</f>
        <v xml:space="preserve">          5041 - PURCHASES @ COST-LOGO GIFTS</v>
      </c>
      <c r="C155" s="11"/>
      <c r="D155" s="2">
        <v>14167.32</v>
      </c>
      <c r="E155" s="2"/>
      <c r="F155" s="19">
        <f t="shared" si="19"/>
        <v>3.5340837566714745E-3</v>
      </c>
      <c r="G155" s="2"/>
      <c r="H155" s="2">
        <v>2643.64</v>
      </c>
      <c r="I155" s="2"/>
      <c r="J155" s="19">
        <f t="shared" si="20"/>
        <v>6.5481264493836026E-4</v>
      </c>
      <c r="K155" s="2"/>
      <c r="L155" s="2">
        <f t="shared" si="21"/>
        <v>11523.68</v>
      </c>
      <c r="M155" s="2"/>
      <c r="N155" s="19">
        <f t="shared" si="22"/>
        <v>4.359020138899397</v>
      </c>
      <c r="O155" s="11"/>
      <c r="P155" s="2">
        <v>42696.480000000003</v>
      </c>
      <c r="Q155" s="2"/>
      <c r="R155" s="19">
        <f t="shared" si="23"/>
        <v>4.3863357602419847E-3</v>
      </c>
      <c r="S155" s="2"/>
      <c r="T155" s="2">
        <v>43498.54</v>
      </c>
      <c r="U155" s="2"/>
      <c r="V155" s="19">
        <f t="shared" si="24"/>
        <v>4.3342428806500445E-3</v>
      </c>
      <c r="W155" s="2"/>
      <c r="X155" s="2">
        <f t="shared" si="25"/>
        <v>-802.05999999999767</v>
      </c>
      <c r="Y155" s="2"/>
      <c r="Z155" s="19">
        <f t="shared" si="26"/>
        <v>-1.8438779784332938E-2</v>
      </c>
    </row>
    <row r="156" spans="1:26" s="24" customFormat="1" hidden="1" outlineLevel="1" x14ac:dyDescent="0.25">
      <c r="A156" s="44"/>
      <c r="B156" s="11" t="str">
        <f>CONCATENATE("          ", "5042", " - ", "PURCHASES @ COST-EVERYDAY GIFT")</f>
        <v xml:space="preserve">          5042 - PURCHASES @ COST-EVERYDAY GIFT</v>
      </c>
      <c r="C156" s="11"/>
      <c r="D156" s="2">
        <v>11559.46</v>
      </c>
      <c r="E156" s="2"/>
      <c r="F156" s="19">
        <f t="shared" si="19"/>
        <v>2.8835446521920617E-3</v>
      </c>
      <c r="G156" s="2"/>
      <c r="H156" s="2">
        <v>11737.22</v>
      </c>
      <c r="I156" s="2"/>
      <c r="J156" s="19">
        <f t="shared" si="20"/>
        <v>2.9072339926856229E-3</v>
      </c>
      <c r="K156" s="2"/>
      <c r="L156" s="2">
        <f t="shared" si="21"/>
        <v>-177.76000000000022</v>
      </c>
      <c r="M156" s="2"/>
      <c r="N156" s="19">
        <f t="shared" si="22"/>
        <v>-1.5144983224306968E-2</v>
      </c>
      <c r="O156" s="11"/>
      <c r="P156" s="2">
        <v>35291.68</v>
      </c>
      <c r="Q156" s="2"/>
      <c r="R156" s="19">
        <f t="shared" si="23"/>
        <v>3.6256187400698333E-3</v>
      </c>
      <c r="S156" s="2"/>
      <c r="T156" s="2">
        <v>35271.049999999996</v>
      </c>
      <c r="U156" s="2"/>
      <c r="V156" s="19">
        <f t="shared" si="24"/>
        <v>3.5144466309800682E-3</v>
      </c>
      <c r="W156" s="2"/>
      <c r="X156" s="2">
        <f t="shared" si="25"/>
        <v>20.630000000004657</v>
      </c>
      <c r="Y156" s="2"/>
      <c r="Z156" s="19">
        <f t="shared" si="26"/>
        <v>5.8489894687015719E-4</v>
      </c>
    </row>
    <row r="157" spans="1:26" s="24" customFormat="1" hidden="1" outlineLevel="1" x14ac:dyDescent="0.25">
      <c r="A157" s="44"/>
      <c r="B157" s="11" t="str">
        <f>CONCATENATE("          ", "5043", " - ", "PURCHASES @ COST-CARDS")</f>
        <v xml:space="preserve">          5043 - PURCHASES @ COST-CARDS</v>
      </c>
      <c r="C157" s="11"/>
      <c r="D157" s="2">
        <v>495.49</v>
      </c>
      <c r="E157" s="2"/>
      <c r="F157" s="19">
        <f t="shared" si="19"/>
        <v>1.2360158171010105E-4</v>
      </c>
      <c r="G157" s="2"/>
      <c r="H157" s="2">
        <v>674.24</v>
      </c>
      <c r="I157" s="2"/>
      <c r="J157" s="19">
        <f t="shared" si="20"/>
        <v>1.6700491660106521E-4</v>
      </c>
      <c r="K157" s="2"/>
      <c r="L157" s="2">
        <f t="shared" si="21"/>
        <v>-178.75</v>
      </c>
      <c r="M157" s="2"/>
      <c r="N157" s="19">
        <f t="shared" si="22"/>
        <v>-0.26511331276696726</v>
      </c>
      <c r="O157" s="11"/>
      <c r="P157" s="2">
        <v>1008.99</v>
      </c>
      <c r="Q157" s="2"/>
      <c r="R157" s="19">
        <f t="shared" si="23"/>
        <v>1.0365652903299195E-4</v>
      </c>
      <c r="S157" s="2"/>
      <c r="T157" s="2">
        <v>1138.05</v>
      </c>
      <c r="U157" s="2"/>
      <c r="V157" s="19">
        <f t="shared" si="24"/>
        <v>1.1339656711061527E-4</v>
      </c>
      <c r="W157" s="2"/>
      <c r="X157" s="2">
        <f t="shared" si="25"/>
        <v>-129.05999999999995</v>
      </c>
      <c r="Y157" s="2"/>
      <c r="Z157" s="19">
        <f t="shared" si="26"/>
        <v>-0.11340450771055749</v>
      </c>
    </row>
    <row r="158" spans="1:26" s="24" customFormat="1" hidden="1" outlineLevel="1" x14ac:dyDescent="0.25">
      <c r="A158" s="44"/>
      <c r="B158" s="11" t="str">
        <f>CONCATENATE("          ", "5044", " - ", "PURCHASES @ COST-ACCESSORIES")</f>
        <v xml:space="preserve">          5044 - PURCHASES @ COST-ACCESSORIES</v>
      </c>
      <c r="C158" s="11"/>
      <c r="D158" s="2">
        <v>2315.5300000000002</v>
      </c>
      <c r="E158" s="2"/>
      <c r="F158" s="19">
        <f t="shared" si="19"/>
        <v>5.7761644129486033E-4</v>
      </c>
      <c r="G158" s="2"/>
      <c r="H158" s="2">
        <v>5340.7</v>
      </c>
      <c r="I158" s="2"/>
      <c r="J158" s="19">
        <f t="shared" si="20"/>
        <v>1.3228570807002091E-3</v>
      </c>
      <c r="K158" s="2"/>
      <c r="L158" s="2">
        <f t="shared" si="21"/>
        <v>-3025.1699999999996</v>
      </c>
      <c r="M158" s="2"/>
      <c r="N158" s="19">
        <f t="shared" si="22"/>
        <v>-0.56643698391596597</v>
      </c>
      <c r="O158" s="11"/>
      <c r="P158" s="2">
        <v>20403.649999999998</v>
      </c>
      <c r="Q158" s="2"/>
      <c r="R158" s="19">
        <f t="shared" si="23"/>
        <v>2.0961273536942941E-3</v>
      </c>
      <c r="S158" s="2"/>
      <c r="T158" s="2">
        <v>13536.29</v>
      </c>
      <c r="U158" s="2"/>
      <c r="V158" s="19">
        <f t="shared" si="24"/>
        <v>1.3487709831850538E-3</v>
      </c>
      <c r="W158" s="2"/>
      <c r="X158" s="2">
        <f t="shared" si="25"/>
        <v>6867.3599999999969</v>
      </c>
      <c r="Y158" s="2"/>
      <c r="Z158" s="19">
        <f t="shared" si="26"/>
        <v>0.50732955632599452</v>
      </c>
    </row>
    <row r="159" spans="1:26" s="24" customFormat="1" hidden="1" outlineLevel="1" x14ac:dyDescent="0.25">
      <c r="A159" s="44"/>
      <c r="B159" s="11" t="str">
        <f>CONCATENATE("          ", "5045", " - ", "PURCHASES @ COST-SPECIAL ORDER")</f>
        <v xml:space="preserve">          5045 - PURCHASES @ COST-SPECIAL ORDER</v>
      </c>
      <c r="C159" s="11"/>
      <c r="D159" s="2">
        <v>4318.3999999999996</v>
      </c>
      <c r="E159" s="2"/>
      <c r="F159" s="19">
        <f t="shared" si="19"/>
        <v>1.0772388352073713E-3</v>
      </c>
      <c r="G159" s="2"/>
      <c r="H159" s="2">
        <v>3127.05</v>
      </c>
      <c r="I159" s="2"/>
      <c r="J159" s="19">
        <f t="shared" si="20"/>
        <v>7.7455019645432041E-4</v>
      </c>
      <c r="K159" s="2"/>
      <c r="L159" s="2">
        <f t="shared" si="21"/>
        <v>1191.3499999999995</v>
      </c>
      <c r="M159" s="2"/>
      <c r="N159" s="19">
        <f t="shared" si="22"/>
        <v>0.38098207575830234</v>
      </c>
      <c r="O159" s="11"/>
      <c r="P159" s="2">
        <v>24464.030000000002</v>
      </c>
      <c r="Q159" s="2"/>
      <c r="R159" s="19">
        <f t="shared" si="23"/>
        <v>2.5132622087027483E-3</v>
      </c>
      <c r="S159" s="2"/>
      <c r="T159" s="2">
        <v>33137.03</v>
      </c>
      <c r="U159" s="2"/>
      <c r="V159" s="19">
        <f t="shared" si="24"/>
        <v>3.3018105059017368E-3</v>
      </c>
      <c r="W159" s="2"/>
      <c r="X159" s="2">
        <f t="shared" si="25"/>
        <v>-8672.9999999999964</v>
      </c>
      <c r="Y159" s="2"/>
      <c r="Z159" s="19">
        <f t="shared" si="26"/>
        <v>-0.26173136216492537</v>
      </c>
    </row>
    <row r="160" spans="1:26" s="24" customFormat="1" hidden="1" outlineLevel="1" x14ac:dyDescent="0.25">
      <c r="A160" s="44"/>
      <c r="B160" s="11" t="str">
        <f>CONCATENATE("          ", "5053", " - ", "PURCHASES @ COST-FOOD")</f>
        <v xml:space="preserve">          5053 - PURCHASES @ COST-FOOD</v>
      </c>
      <c r="C160" s="11"/>
      <c r="D160" s="2">
        <v>746436.17</v>
      </c>
      <c r="E160" s="2"/>
      <c r="F160" s="19">
        <f t="shared" si="19"/>
        <v>0.18620091476645317</v>
      </c>
      <c r="G160" s="2"/>
      <c r="H160" s="2">
        <v>713417.42999999993</v>
      </c>
      <c r="I160" s="2"/>
      <c r="J160" s="19">
        <f t="shared" si="20"/>
        <v>0.17670891433153812</v>
      </c>
      <c r="K160" s="2"/>
      <c r="L160" s="2">
        <f t="shared" si="21"/>
        <v>33018.740000000107</v>
      </c>
      <c r="M160" s="2"/>
      <c r="N160" s="19">
        <f t="shared" si="22"/>
        <v>4.6282496910679781E-2</v>
      </c>
      <c r="O160" s="11"/>
      <c r="P160" s="2">
        <v>1412561.04</v>
      </c>
      <c r="Q160" s="2"/>
      <c r="R160" s="19">
        <f t="shared" si="23"/>
        <v>0.14511657643151399</v>
      </c>
      <c r="S160" s="2"/>
      <c r="T160" s="2">
        <v>1403059.19</v>
      </c>
      <c r="U160" s="2"/>
      <c r="V160" s="19">
        <f t="shared" si="24"/>
        <v>0.13980237739906023</v>
      </c>
      <c r="W160" s="2"/>
      <c r="X160" s="2">
        <f t="shared" si="25"/>
        <v>9501.8500000000931</v>
      </c>
      <c r="Y160" s="2"/>
      <c r="Z160" s="19">
        <f t="shared" si="26"/>
        <v>6.7722374563542777E-3</v>
      </c>
    </row>
    <row r="161" spans="1:26" s="24" customFormat="1" hidden="1" outlineLevel="1" x14ac:dyDescent="0.25">
      <c r="A161" s="44"/>
      <c r="B161" s="11" t="str">
        <f>CONCATENATE("          ", "5059", " - ", "PURCHASES @ COST-FOOD")</f>
        <v xml:space="preserve">          5059 - PURCHASES @ COST-FOOD</v>
      </c>
      <c r="C161" s="11"/>
      <c r="D161" s="2">
        <v>7808.84</v>
      </c>
      <c r="E161" s="2"/>
      <c r="F161" s="19">
        <f t="shared" si="19"/>
        <v>1.9479403728049115E-3</v>
      </c>
      <c r="G161" s="2"/>
      <c r="H161" s="2">
        <v>-10586.08</v>
      </c>
      <c r="I161" s="2"/>
      <c r="J161" s="19">
        <f t="shared" si="20"/>
        <v>-2.6221040097475739E-3</v>
      </c>
      <c r="K161" s="2"/>
      <c r="L161" s="2">
        <f t="shared" si="21"/>
        <v>18394.919999999998</v>
      </c>
      <c r="M161" s="2"/>
      <c r="N161" s="19">
        <f t="shared" si="22"/>
        <v>-1.737651708658918</v>
      </c>
      <c r="O161" s="11"/>
      <c r="P161" s="2">
        <v>-87541.29</v>
      </c>
      <c r="Q161" s="2"/>
      <c r="R161" s="19">
        <f t="shared" si="23"/>
        <v>-8.9933758198501145E-3</v>
      </c>
      <c r="S161" s="2"/>
      <c r="T161" s="2">
        <v>-119939.96999999999</v>
      </c>
      <c r="U161" s="2"/>
      <c r="V161" s="19">
        <f t="shared" si="24"/>
        <v>-1.1950951941786548E-2</v>
      </c>
      <c r="W161" s="2"/>
      <c r="X161" s="2">
        <f t="shared" si="25"/>
        <v>32398.679999999993</v>
      </c>
      <c r="Y161" s="2"/>
      <c r="Z161" s="19">
        <f t="shared" si="26"/>
        <v>-0.27012412959583026</v>
      </c>
    </row>
    <row r="162" spans="1:26" s="24" customFormat="1" hidden="1" outlineLevel="1" x14ac:dyDescent="0.25">
      <c r="A162" s="44"/>
      <c r="B162" s="11" t="str">
        <f>CONCATENATE("          ", "5081", " - ", "PURCHASES @ COST-ELECTRONICS")</f>
        <v xml:space="preserve">          5081 - PURCHASES @ COST-ELECTRONICS</v>
      </c>
      <c r="C162" s="11"/>
      <c r="D162" s="2">
        <v>66395.33</v>
      </c>
      <c r="E162" s="2"/>
      <c r="F162" s="19">
        <f t="shared" si="19"/>
        <v>1.6562529629587125E-2</v>
      </c>
      <c r="G162" s="2"/>
      <c r="H162" s="2">
        <v>43838.79</v>
      </c>
      <c r="I162" s="2"/>
      <c r="J162" s="19">
        <f t="shared" si="20"/>
        <v>1.0858586657335091E-2</v>
      </c>
      <c r="K162" s="2"/>
      <c r="L162" s="2">
        <f t="shared" si="21"/>
        <v>22556.54</v>
      </c>
      <c r="M162" s="2"/>
      <c r="N162" s="19">
        <f t="shared" si="22"/>
        <v>0.51453381810948706</v>
      </c>
      <c r="O162" s="11"/>
      <c r="P162" s="2">
        <v>150158.17000000001</v>
      </c>
      <c r="Q162" s="2"/>
      <c r="R162" s="19">
        <f t="shared" si="23"/>
        <v>1.5426193230999257E-2</v>
      </c>
      <c r="S162" s="2"/>
      <c r="T162" s="2">
        <v>132544.62</v>
      </c>
      <c r="U162" s="2"/>
      <c r="V162" s="19">
        <f t="shared" si="24"/>
        <v>1.320689327971618E-2</v>
      </c>
      <c r="W162" s="2"/>
      <c r="X162" s="2">
        <f t="shared" si="25"/>
        <v>17613.550000000017</v>
      </c>
      <c r="Y162" s="2"/>
      <c r="Z162" s="19">
        <f t="shared" si="26"/>
        <v>0.13288770226962074</v>
      </c>
    </row>
    <row r="163" spans="1:26" s="24" customFormat="1" hidden="1" outlineLevel="1" x14ac:dyDescent="0.25">
      <c r="A163" s="44"/>
      <c r="B163" s="11" t="str">
        <f>CONCATENATE("          ", "5082", " - ", "PURCHASES @ COST-COMPUTER HARD")</f>
        <v xml:space="preserve">          5082 - PURCHASES @ COST-COMPUTER HARD</v>
      </c>
      <c r="C163" s="11"/>
      <c r="D163" s="2">
        <v>127439.07</v>
      </c>
      <c r="E163" s="2"/>
      <c r="F163" s="19">
        <f t="shared" si="19"/>
        <v>3.1790087839642149E-2</v>
      </c>
      <c r="G163" s="2"/>
      <c r="H163" s="2">
        <v>175609.33000000002</v>
      </c>
      <c r="I163" s="2"/>
      <c r="J163" s="19">
        <f t="shared" si="20"/>
        <v>4.3497302905521687E-2</v>
      </c>
      <c r="K163" s="2"/>
      <c r="L163" s="2">
        <f t="shared" si="21"/>
        <v>-48170.260000000009</v>
      </c>
      <c r="M163" s="2"/>
      <c r="N163" s="19">
        <f t="shared" si="22"/>
        <v>-0.27430353501149402</v>
      </c>
      <c r="O163" s="11"/>
      <c r="P163" s="2">
        <v>801192.57</v>
      </c>
      <c r="Q163" s="2"/>
      <c r="R163" s="19">
        <f t="shared" si="23"/>
        <v>8.2308884025830212E-2</v>
      </c>
      <c r="S163" s="2"/>
      <c r="T163" s="2">
        <v>580605.89</v>
      </c>
      <c r="U163" s="2"/>
      <c r="V163" s="19">
        <f t="shared" si="24"/>
        <v>5.7852216308776863E-2</v>
      </c>
      <c r="W163" s="2"/>
      <c r="X163" s="2">
        <f t="shared" si="25"/>
        <v>220586.67999999993</v>
      </c>
      <c r="Y163" s="2"/>
      <c r="Z163" s="19">
        <f t="shared" si="26"/>
        <v>0.37992497802597203</v>
      </c>
    </row>
    <row r="164" spans="1:26" s="24" customFormat="1" hidden="1" outlineLevel="1" x14ac:dyDescent="0.25">
      <c r="A164" s="44"/>
      <c r="B164" s="11" t="str">
        <f>CONCATENATE("          ", "5083", " - ", "PURCHASES @ COST-COMPUTER EQUI")</f>
        <v xml:space="preserve">          5083 - PURCHASES @ COST-COMPUTER EQUI</v>
      </c>
      <c r="C164" s="11"/>
      <c r="D164" s="2">
        <v>10594.52</v>
      </c>
      <c r="E164" s="2"/>
      <c r="F164" s="19">
        <f t="shared" si="19"/>
        <v>2.6428372509219155E-3</v>
      </c>
      <c r="G164" s="2"/>
      <c r="H164" s="2">
        <v>16464.099999999999</v>
      </c>
      <c r="I164" s="2"/>
      <c r="J164" s="19">
        <f t="shared" si="20"/>
        <v>4.0780518026394125E-3</v>
      </c>
      <c r="K164" s="2"/>
      <c r="L164" s="2">
        <f t="shared" si="21"/>
        <v>-5869.5799999999981</v>
      </c>
      <c r="M164" s="2"/>
      <c r="N164" s="19">
        <f t="shared" si="22"/>
        <v>-0.35650779574953984</v>
      </c>
      <c r="O164" s="11"/>
      <c r="P164" s="2">
        <v>27868.41</v>
      </c>
      <c r="Q164" s="2"/>
      <c r="R164" s="19">
        <f t="shared" si="23"/>
        <v>2.8630042421315602E-3</v>
      </c>
      <c r="S164" s="2"/>
      <c r="T164" s="2">
        <v>30972.47</v>
      </c>
      <c r="U164" s="2"/>
      <c r="V164" s="19">
        <f t="shared" si="24"/>
        <v>3.0861313412736862E-3</v>
      </c>
      <c r="W164" s="2"/>
      <c r="X164" s="2">
        <f t="shared" si="25"/>
        <v>-3104.0600000000013</v>
      </c>
      <c r="Y164" s="2"/>
      <c r="Z164" s="19">
        <f t="shared" si="26"/>
        <v>-0.10021996954069215</v>
      </c>
    </row>
    <row r="165" spans="1:26" s="24" customFormat="1" hidden="1" outlineLevel="1" x14ac:dyDescent="0.25">
      <c r="A165" s="44"/>
      <c r="B165" s="11" t="str">
        <f>CONCATENATE("          ", "5084", " - ", "PURCHASES @ COST-SOFTWARE LICE")</f>
        <v xml:space="preserve">          5084 - PURCHASES @ COST-SOFTWARE LICE</v>
      </c>
      <c r="C165" s="11"/>
      <c r="D165" s="2"/>
      <c r="E165" s="2"/>
      <c r="F165" s="19">
        <f t="shared" si="19"/>
        <v>0</v>
      </c>
      <c r="G165" s="2"/>
      <c r="H165" s="2"/>
      <c r="I165" s="2"/>
      <c r="J165" s="19">
        <f t="shared" si="20"/>
        <v>0</v>
      </c>
      <c r="K165" s="2"/>
      <c r="L165" s="2">
        <f t="shared" si="21"/>
        <v>0</v>
      </c>
      <c r="M165" s="2"/>
      <c r="N165" s="19">
        <f t="shared" si="22"/>
        <v>0</v>
      </c>
      <c r="O165" s="11"/>
      <c r="P165" s="2">
        <v>1522</v>
      </c>
      <c r="Q165" s="2"/>
      <c r="R165" s="19">
        <f t="shared" si="23"/>
        <v>1.5635956470154685E-4</v>
      </c>
      <c r="S165" s="2"/>
      <c r="T165" s="2">
        <v>99</v>
      </c>
      <c r="U165" s="2"/>
      <c r="V165" s="19">
        <f t="shared" si="24"/>
        <v>9.8644700531179763E-6</v>
      </c>
      <c r="W165" s="2"/>
      <c r="X165" s="2">
        <f t="shared" si="25"/>
        <v>1423</v>
      </c>
      <c r="Y165" s="2"/>
      <c r="Z165" s="19">
        <f t="shared" si="26"/>
        <v>14.373737373737374</v>
      </c>
    </row>
    <row r="166" spans="1:26" s="24" customFormat="1" hidden="1" outlineLevel="1" x14ac:dyDescent="0.25">
      <c r="A166" s="44"/>
      <c r="B166" s="11" t="str">
        <f>CONCATENATE("          ", "5085", " - ", "PURCHASES @ COST-SOFTWARE")</f>
        <v xml:space="preserve">          5085 - PURCHASES @ COST-SOFTWARE</v>
      </c>
      <c r="C166" s="11"/>
      <c r="D166" s="2">
        <v>3058</v>
      </c>
      <c r="E166" s="2"/>
      <c r="F166" s="19">
        <f t="shared" si="19"/>
        <v>7.6282798213786159E-4</v>
      </c>
      <c r="G166" s="2"/>
      <c r="H166" s="2">
        <v>2564.75</v>
      </c>
      <c r="I166" s="2"/>
      <c r="J166" s="19">
        <f t="shared" si="20"/>
        <v>6.3527209873721815E-4</v>
      </c>
      <c r="K166" s="2"/>
      <c r="L166" s="2">
        <f t="shared" si="21"/>
        <v>493.25</v>
      </c>
      <c r="M166" s="2"/>
      <c r="N166" s="19">
        <f t="shared" si="22"/>
        <v>0.19231893946778439</v>
      </c>
      <c r="O166" s="11"/>
      <c r="P166" s="2">
        <v>6426</v>
      </c>
      <c r="Q166" s="2"/>
      <c r="R166" s="19">
        <f t="shared" si="23"/>
        <v>6.6016199919325888E-4</v>
      </c>
      <c r="S166" s="2"/>
      <c r="T166" s="2">
        <v>4619.63</v>
      </c>
      <c r="U166" s="2"/>
      <c r="V166" s="19">
        <f t="shared" si="24"/>
        <v>4.6030506860086256E-4</v>
      </c>
      <c r="W166" s="2"/>
      <c r="X166" s="2">
        <f t="shared" si="25"/>
        <v>1806.37</v>
      </c>
      <c r="Y166" s="2"/>
      <c r="Z166" s="19">
        <f t="shared" si="26"/>
        <v>0.39102049298320424</v>
      </c>
    </row>
    <row r="167" spans="1:26" s="24" customFormat="1" hidden="1" outlineLevel="1" x14ac:dyDescent="0.25">
      <c r="A167" s="44"/>
      <c r="B167" s="11" t="str">
        <f>CONCATENATE("          ", "5086", " - ", "PURCHASES @ COST-COMPUTER SUPP")</f>
        <v xml:space="preserve">          5086 - PURCHASES @ COST-COMPUTER SUPP</v>
      </c>
      <c r="C167" s="11"/>
      <c r="D167" s="2">
        <v>6301.87</v>
      </c>
      <c r="E167" s="2"/>
      <c r="F167" s="19">
        <f t="shared" si="19"/>
        <v>1.5720218364274447E-3</v>
      </c>
      <c r="G167" s="2"/>
      <c r="H167" s="2">
        <v>7954.65</v>
      </c>
      <c r="I167" s="2"/>
      <c r="J167" s="19">
        <f t="shared" si="20"/>
        <v>1.9703157033707035E-3</v>
      </c>
      <c r="K167" s="2"/>
      <c r="L167" s="2">
        <f t="shared" si="21"/>
        <v>-1652.7799999999997</v>
      </c>
      <c r="M167" s="2"/>
      <c r="N167" s="19">
        <f t="shared" si="22"/>
        <v>-0.20777532638142468</v>
      </c>
      <c r="O167" s="11"/>
      <c r="P167" s="2">
        <v>12566.75</v>
      </c>
      <c r="Q167" s="2"/>
      <c r="R167" s="19">
        <f t="shared" si="23"/>
        <v>1.2910194216249433E-3</v>
      </c>
      <c r="S167" s="2"/>
      <c r="T167" s="2">
        <v>14158.63</v>
      </c>
      <c r="U167" s="2"/>
      <c r="V167" s="19">
        <f t="shared" si="24"/>
        <v>1.4107816326078561E-3</v>
      </c>
      <c r="W167" s="2"/>
      <c r="X167" s="2">
        <f t="shared" si="25"/>
        <v>-1591.8799999999992</v>
      </c>
      <c r="Y167" s="2"/>
      <c r="Z167" s="19">
        <f t="shared" si="26"/>
        <v>-0.11243178188850188</v>
      </c>
    </row>
    <row r="168" spans="1:26" s="24" customFormat="1" hidden="1" outlineLevel="1" x14ac:dyDescent="0.25">
      <c r="A168" s="44"/>
      <c r="B168" s="11" t="str">
        <f>CONCATENATE("          ", "5088", " - ", "PURCHASES @ COST-MUSIC")</f>
        <v xml:space="preserve">          5088 - PURCHASES @ COST-MUSIC</v>
      </c>
      <c r="C168" s="11"/>
      <c r="D168" s="2">
        <v>6.75</v>
      </c>
      <c r="E168" s="2"/>
      <c r="F168" s="19">
        <f t="shared" si="19"/>
        <v>1.6838093130904401E-6</v>
      </c>
      <c r="G168" s="2"/>
      <c r="H168" s="2">
        <v>-84.74</v>
      </c>
      <c r="I168" s="2"/>
      <c r="J168" s="19">
        <f t="shared" si="20"/>
        <v>-2.0989553620037768E-5</v>
      </c>
      <c r="K168" s="2"/>
      <c r="L168" s="2">
        <f t="shared" si="21"/>
        <v>91.49</v>
      </c>
      <c r="M168" s="2"/>
      <c r="N168" s="19">
        <f t="shared" si="22"/>
        <v>-1.0796554165683268</v>
      </c>
      <c r="O168" s="11"/>
      <c r="P168" s="2">
        <v>88.75</v>
      </c>
      <c r="Q168" s="2"/>
      <c r="R168" s="19">
        <f t="shared" si="23"/>
        <v>9.1175501755993969E-6</v>
      </c>
      <c r="S168" s="2"/>
      <c r="T168" s="2">
        <v>0</v>
      </c>
      <c r="U168" s="2"/>
      <c r="V168" s="19">
        <f t="shared" si="24"/>
        <v>0</v>
      </c>
      <c r="W168" s="2"/>
      <c r="X168" s="2">
        <f t="shared" si="25"/>
        <v>88.75</v>
      </c>
      <c r="Y168" s="2"/>
      <c r="Z168" s="19">
        <f t="shared" si="26"/>
        <v>0</v>
      </c>
    </row>
    <row r="169" spans="1:26" s="24" customFormat="1" hidden="1" outlineLevel="1" x14ac:dyDescent="0.25">
      <c r="A169" s="44"/>
      <c r="B169" s="11" t="str">
        <f>CONCATENATE("          ", "5092", " - ", "PURCHASES @ COST-GRAD MERCH")</f>
        <v xml:space="preserve">          5092 - PURCHASES @ COST-GRAD MERCH</v>
      </c>
      <c r="C169" s="11"/>
      <c r="D169" s="2">
        <v>-628</v>
      </c>
      <c r="E169" s="2"/>
      <c r="F169" s="19">
        <f t="shared" si="19"/>
        <v>-1.5665662942530316E-4</v>
      </c>
      <c r="G169" s="2"/>
      <c r="H169" s="2">
        <v>-525.4</v>
      </c>
      <c r="I169" s="2"/>
      <c r="J169" s="19">
        <f t="shared" si="20"/>
        <v>-1.3013820476714472E-4</v>
      </c>
      <c r="K169" s="2"/>
      <c r="L169" s="2">
        <f t="shared" si="21"/>
        <v>-102.60000000000002</v>
      </c>
      <c r="M169" s="2"/>
      <c r="N169" s="19">
        <f t="shared" si="22"/>
        <v>0.19527978682908265</v>
      </c>
      <c r="O169" s="11"/>
      <c r="P169" s="2">
        <v>0</v>
      </c>
      <c r="Q169" s="2"/>
      <c r="R169" s="19">
        <f t="shared" si="23"/>
        <v>0</v>
      </c>
      <c r="S169" s="2"/>
      <c r="T169" s="2">
        <v>-3270.44</v>
      </c>
      <c r="U169" s="2"/>
      <c r="V169" s="19">
        <f t="shared" si="24"/>
        <v>-3.2587027717696115E-4</v>
      </c>
      <c r="W169" s="2"/>
      <c r="X169" s="2">
        <f t="shared" si="25"/>
        <v>3270.44</v>
      </c>
      <c r="Y169" s="2"/>
      <c r="Z169" s="19">
        <f t="shared" si="26"/>
        <v>-1</v>
      </c>
    </row>
    <row r="170" spans="1:26" s="24" customFormat="1" hidden="1" outlineLevel="1" x14ac:dyDescent="0.25">
      <c r="A170" s="44"/>
      <c r="B170" s="11" t="str">
        <f>CONCATENATE("          ", "5095", " - ", "PURCHASES @ COST-CUSTOMER SERV")</f>
        <v xml:space="preserve">          5095 - PURCHASES @ COST-CUSTOMER SERV</v>
      </c>
      <c r="C170" s="11"/>
      <c r="D170" s="2"/>
      <c r="E170" s="2"/>
      <c r="F170" s="19">
        <f t="shared" si="19"/>
        <v>0</v>
      </c>
      <c r="G170" s="2"/>
      <c r="H170" s="2"/>
      <c r="I170" s="2"/>
      <c r="J170" s="19">
        <f t="shared" si="20"/>
        <v>0</v>
      </c>
      <c r="K170" s="2"/>
      <c r="L170" s="2">
        <f t="shared" si="21"/>
        <v>0</v>
      </c>
      <c r="M170" s="2"/>
      <c r="N170" s="19">
        <f t="shared" si="22"/>
        <v>0</v>
      </c>
      <c r="O170" s="11"/>
      <c r="P170" s="2">
        <v>0</v>
      </c>
      <c r="Q170" s="2"/>
      <c r="R170" s="19">
        <f t="shared" si="23"/>
        <v>0</v>
      </c>
      <c r="S170" s="2"/>
      <c r="T170" s="2"/>
      <c r="U170" s="2"/>
      <c r="V170" s="19">
        <f t="shared" si="24"/>
        <v>0</v>
      </c>
      <c r="W170" s="2"/>
      <c r="X170" s="2">
        <f t="shared" si="25"/>
        <v>0</v>
      </c>
      <c r="Y170" s="2"/>
      <c r="Z170" s="19">
        <f t="shared" si="26"/>
        <v>0</v>
      </c>
    </row>
    <row r="171" spans="1:26" s="24" customFormat="1" hidden="1" outlineLevel="1" x14ac:dyDescent="0.25">
      <c r="A171" s="44"/>
      <c r="B171" s="11" t="str">
        <f>CONCATENATE("          ", "5200", " - ", "PURCHASES OFFSET")</f>
        <v xml:space="preserve">          5200 - PURCHASES OFFSET</v>
      </c>
      <c r="C171" s="11"/>
      <c r="D171" s="2">
        <v>-493649</v>
      </c>
      <c r="E171" s="2"/>
      <c r="F171" s="19">
        <f t="shared" si="19"/>
        <v>-0.12314233831078261</v>
      </c>
      <c r="G171" s="2"/>
      <c r="H171" s="2">
        <v>-785832</v>
      </c>
      <c r="I171" s="2"/>
      <c r="J171" s="19">
        <f t="shared" si="20"/>
        <v>-0.19464553812062213</v>
      </c>
      <c r="K171" s="2"/>
      <c r="L171" s="2">
        <f t="shared" si="21"/>
        <v>292183</v>
      </c>
      <c r="M171" s="2"/>
      <c r="N171" s="19">
        <f t="shared" si="22"/>
        <v>-0.37181356829449552</v>
      </c>
      <c r="O171" s="11"/>
      <c r="P171" s="2">
        <v>-3635482</v>
      </c>
      <c r="Q171" s="2"/>
      <c r="R171" s="19">
        <f t="shared" si="23"/>
        <v>-0.37348382588719375</v>
      </c>
      <c r="S171" s="2"/>
      <c r="T171" s="2">
        <v>-3197674</v>
      </c>
      <c r="U171" s="2"/>
      <c r="V171" s="19">
        <f t="shared" si="24"/>
        <v>-0.31861979204680779</v>
      </c>
      <c r="W171" s="2"/>
      <c r="X171" s="2">
        <f t="shared" si="25"/>
        <v>-437808</v>
      </c>
      <c r="Y171" s="2"/>
      <c r="Z171" s="19">
        <f t="shared" si="26"/>
        <v>0.13691451974153712</v>
      </c>
    </row>
    <row r="172" spans="1:26" s="24" customFormat="1" hidden="1" outlineLevel="1" x14ac:dyDescent="0.25">
      <c r="A172" s="44"/>
      <c r="B172" s="11" t="str">
        <f>CONCATENATE("          ", "5300", " - ", "COG$ OFFSET")</f>
        <v xml:space="preserve">          5300 - COG$ OFFSET</v>
      </c>
      <c r="C172" s="11"/>
      <c r="D172" s="2">
        <v>777079</v>
      </c>
      <c r="E172" s="2"/>
      <c r="F172" s="19">
        <f t="shared" si="19"/>
        <v>0.19384486773437126</v>
      </c>
      <c r="G172" s="2"/>
      <c r="H172" s="2">
        <v>750412</v>
      </c>
      <c r="I172" s="2"/>
      <c r="J172" s="19">
        <f t="shared" si="20"/>
        <v>0.18587223166296651</v>
      </c>
      <c r="K172" s="2"/>
      <c r="L172" s="2">
        <f t="shared" si="21"/>
        <v>26667</v>
      </c>
      <c r="M172" s="2"/>
      <c r="N172" s="19">
        <f t="shared" si="22"/>
        <v>3.5536478627740495E-2</v>
      </c>
      <c r="O172" s="11"/>
      <c r="P172" s="2">
        <v>3003907</v>
      </c>
      <c r="Q172" s="2"/>
      <c r="R172" s="19">
        <f t="shared" si="23"/>
        <v>0.30860025684883668</v>
      </c>
      <c r="S172" s="2"/>
      <c r="T172" s="2">
        <v>3022350</v>
      </c>
      <c r="U172" s="2"/>
      <c r="V172" s="19">
        <f t="shared" si="24"/>
        <v>0.3011503137882941</v>
      </c>
      <c r="W172" s="2"/>
      <c r="X172" s="2">
        <f t="shared" si="25"/>
        <v>-18443</v>
      </c>
      <c r="Y172" s="2"/>
      <c r="Z172" s="19">
        <f t="shared" si="26"/>
        <v>-6.1022052376462025E-3</v>
      </c>
    </row>
    <row r="173" spans="1:26" s="24" customFormat="1" hidden="1" outlineLevel="1" x14ac:dyDescent="0.25">
      <c r="A173" s="44"/>
      <c r="B173" s="11" t="str">
        <f>CONCATENATE("          ", "5500", " - ", "FREIGHT-IN")</f>
        <v xml:space="preserve">          5500 - FREIGHT-IN</v>
      </c>
      <c r="C173" s="11"/>
      <c r="D173" s="2">
        <v>-49</v>
      </c>
      <c r="E173" s="2"/>
      <c r="F173" s="19">
        <f t="shared" si="19"/>
        <v>-1.2223208346878751E-5</v>
      </c>
      <c r="G173" s="2"/>
      <c r="H173" s="2">
        <v>103.39</v>
      </c>
      <c r="I173" s="2"/>
      <c r="J173" s="19">
        <f t="shared" si="20"/>
        <v>2.560903881019241E-5</v>
      </c>
      <c r="K173" s="2"/>
      <c r="L173" s="2">
        <f t="shared" si="21"/>
        <v>-152.38999999999999</v>
      </c>
      <c r="M173" s="2"/>
      <c r="N173" s="19">
        <f t="shared" si="22"/>
        <v>-1.4739336492890993</v>
      </c>
      <c r="O173" s="11"/>
      <c r="P173" s="2">
        <v>0</v>
      </c>
      <c r="Q173" s="2"/>
      <c r="R173" s="19">
        <f t="shared" si="23"/>
        <v>0</v>
      </c>
      <c r="S173" s="2"/>
      <c r="T173" s="2">
        <v>317.36</v>
      </c>
      <c r="U173" s="2"/>
      <c r="V173" s="19">
        <f t="shared" si="24"/>
        <v>3.1622103192500209E-5</v>
      </c>
      <c r="W173" s="2"/>
      <c r="X173" s="2">
        <f t="shared" si="25"/>
        <v>-317.36</v>
      </c>
      <c r="Y173" s="2"/>
      <c r="Z173" s="19">
        <f t="shared" si="26"/>
        <v>-1</v>
      </c>
    </row>
    <row r="174" spans="1:26" s="24" customFormat="1" hidden="1" outlineLevel="1" x14ac:dyDescent="0.25">
      <c r="A174" s="44"/>
      <c r="B174" s="11" t="str">
        <f>CONCATENATE("          ", "5501", " - ", "FREIGHT-IN-NEW TEXT")</f>
        <v xml:space="preserve">          5501 - FREIGHT-IN-NEW TEXT</v>
      </c>
      <c r="C174" s="11"/>
      <c r="D174" s="2">
        <v>13859.22</v>
      </c>
      <c r="E174" s="2"/>
      <c r="F174" s="19">
        <f t="shared" si="19"/>
        <v>3.4572272160250796E-3</v>
      </c>
      <c r="G174" s="2"/>
      <c r="H174" s="2">
        <v>17256.72</v>
      </c>
      <c r="I174" s="2"/>
      <c r="J174" s="19">
        <f t="shared" si="20"/>
        <v>4.2743786847531063E-3</v>
      </c>
      <c r="K174" s="2"/>
      <c r="L174" s="2">
        <f t="shared" si="21"/>
        <v>-3397.5000000000018</v>
      </c>
      <c r="M174" s="2"/>
      <c r="N174" s="19">
        <f t="shared" si="22"/>
        <v>-0.19687982420761313</v>
      </c>
      <c r="O174" s="11"/>
      <c r="P174" s="2">
        <v>26583.46</v>
      </c>
      <c r="Q174" s="2"/>
      <c r="R174" s="19">
        <f t="shared" si="23"/>
        <v>2.7309975255328397E-3</v>
      </c>
      <c r="S174" s="2"/>
      <c r="T174" s="2">
        <v>26255.8</v>
      </c>
      <c r="U174" s="2"/>
      <c r="V174" s="19">
        <f t="shared" si="24"/>
        <v>2.6161570991985348E-3</v>
      </c>
      <c r="W174" s="2"/>
      <c r="X174" s="2">
        <f t="shared" si="25"/>
        <v>327.65999999999985</v>
      </c>
      <c r="Y174" s="2"/>
      <c r="Z174" s="19">
        <f t="shared" si="26"/>
        <v>1.2479528332787418E-2</v>
      </c>
    </row>
    <row r="175" spans="1:26" s="24" customFormat="1" hidden="1" outlineLevel="1" x14ac:dyDescent="0.25">
      <c r="A175" s="44"/>
      <c r="B175" s="11" t="str">
        <f>CONCATENATE("          ", "5502", " - ", "FREIGHT-IN-USED TEXT")</f>
        <v xml:space="preserve">          5502 - FREIGHT-IN-USED TEXT</v>
      </c>
      <c r="C175" s="11"/>
      <c r="D175" s="2">
        <v>1998.66</v>
      </c>
      <c r="E175" s="2"/>
      <c r="F175" s="19">
        <f t="shared" si="19"/>
        <v>4.9857219580760578E-4</v>
      </c>
      <c r="G175" s="2"/>
      <c r="H175" s="2">
        <v>4462.3100000000004</v>
      </c>
      <c r="I175" s="2"/>
      <c r="J175" s="19">
        <f t="shared" si="20"/>
        <v>1.1052855205833224E-3</v>
      </c>
      <c r="K175" s="2"/>
      <c r="L175" s="2">
        <f t="shared" si="21"/>
        <v>-2463.6500000000005</v>
      </c>
      <c r="M175" s="2"/>
      <c r="N175" s="19">
        <f t="shared" si="22"/>
        <v>-0.55210193823378484</v>
      </c>
      <c r="O175" s="11"/>
      <c r="P175" s="2">
        <v>6261.17</v>
      </c>
      <c r="Q175" s="2"/>
      <c r="R175" s="19">
        <f t="shared" si="23"/>
        <v>6.432285254417766E-4</v>
      </c>
      <c r="S175" s="2"/>
      <c r="T175" s="2">
        <v>6257.15</v>
      </c>
      <c r="U175" s="2"/>
      <c r="V175" s="19">
        <f t="shared" si="24"/>
        <v>6.2346938174613273E-4</v>
      </c>
      <c r="W175" s="2"/>
      <c r="X175" s="2">
        <f t="shared" si="25"/>
        <v>4.0200000000004366</v>
      </c>
      <c r="Y175" s="2"/>
      <c r="Z175" s="19">
        <f t="shared" si="26"/>
        <v>6.4246502001717026E-4</v>
      </c>
    </row>
    <row r="176" spans="1:26" s="24" customFormat="1" hidden="1" outlineLevel="1" x14ac:dyDescent="0.25">
      <c r="A176" s="44"/>
      <c r="B176" s="11" t="str">
        <f>CONCATENATE("          ", "5504", " - ", "FREIGHT-IN-DIGITAL TEXT")</f>
        <v xml:space="preserve">          5504 - FREIGHT-IN-DIGITAL TEXT</v>
      </c>
      <c r="C176" s="11"/>
      <c r="D176" s="2"/>
      <c r="E176" s="2"/>
      <c r="F176" s="19">
        <f t="shared" si="19"/>
        <v>0</v>
      </c>
      <c r="G176" s="2"/>
      <c r="H176" s="2">
        <v>163.72</v>
      </c>
      <c r="I176" s="2"/>
      <c r="J176" s="19">
        <f t="shared" si="20"/>
        <v>4.0552392243009009E-5</v>
      </c>
      <c r="K176" s="2"/>
      <c r="L176" s="2">
        <f t="shared" si="21"/>
        <v>-163.72</v>
      </c>
      <c r="M176" s="2"/>
      <c r="N176" s="19">
        <f t="shared" si="22"/>
        <v>-1</v>
      </c>
      <c r="O176" s="11"/>
      <c r="P176" s="2">
        <v>7.03</v>
      </c>
      <c r="Q176" s="2"/>
      <c r="R176" s="19">
        <f t="shared" si="23"/>
        <v>7.2221270686719728E-7</v>
      </c>
      <c r="S176" s="2"/>
      <c r="T176" s="2">
        <v>166.22</v>
      </c>
      <c r="U176" s="2"/>
      <c r="V176" s="19">
        <f t="shared" si="24"/>
        <v>1.6562345578073432E-5</v>
      </c>
      <c r="W176" s="2"/>
      <c r="X176" s="2">
        <f t="shared" si="25"/>
        <v>-159.19</v>
      </c>
      <c r="Y176" s="2"/>
      <c r="Z176" s="19">
        <f t="shared" si="26"/>
        <v>-0.95770665383227049</v>
      </c>
    </row>
    <row r="177" spans="1:26" s="24" customFormat="1" hidden="1" outlineLevel="1" x14ac:dyDescent="0.25">
      <c r="A177" s="44"/>
      <c r="B177" s="11" t="str">
        <f>CONCATENATE("          ", "5513", " - ", "FREIGHT-IN-TRADE BOOKS")</f>
        <v xml:space="preserve">          5513 - FREIGHT-IN-TRADE BOOKS</v>
      </c>
      <c r="C177" s="11"/>
      <c r="D177" s="2"/>
      <c r="E177" s="2"/>
      <c r="F177" s="19">
        <f t="shared" si="19"/>
        <v>0</v>
      </c>
      <c r="G177" s="2"/>
      <c r="H177" s="2">
        <v>4.95</v>
      </c>
      <c r="I177" s="2"/>
      <c r="J177" s="19">
        <f t="shared" si="20"/>
        <v>1.2260832006040472E-6</v>
      </c>
      <c r="K177" s="2"/>
      <c r="L177" s="2">
        <f t="shared" si="21"/>
        <v>-4.95</v>
      </c>
      <c r="M177" s="2"/>
      <c r="N177" s="19">
        <f t="shared" si="22"/>
        <v>-1</v>
      </c>
      <c r="O177" s="11"/>
      <c r="P177" s="2"/>
      <c r="Q177" s="2"/>
      <c r="R177" s="19">
        <f t="shared" si="23"/>
        <v>0</v>
      </c>
      <c r="S177" s="2"/>
      <c r="T177" s="2">
        <v>12.22</v>
      </c>
      <c r="U177" s="2"/>
      <c r="V177" s="19">
        <f t="shared" si="24"/>
        <v>1.2176143843343604E-6</v>
      </c>
      <c r="W177" s="2"/>
      <c r="X177" s="2">
        <f t="shared" si="25"/>
        <v>-12.22</v>
      </c>
      <c r="Y177" s="2"/>
      <c r="Z177" s="19">
        <f t="shared" si="26"/>
        <v>-1</v>
      </c>
    </row>
    <row r="178" spans="1:26" s="24" customFormat="1" hidden="1" outlineLevel="1" x14ac:dyDescent="0.25">
      <c r="A178" s="44"/>
      <c r="B178" s="11" t="str">
        <f>CONCATENATE("          ", "5526", " - ", "FREIGHT-IN-WRITING INSTRUMENTS")</f>
        <v xml:space="preserve">          5526 - FREIGHT-IN-WRITING INSTRUMENTS</v>
      </c>
      <c r="C178" s="11"/>
      <c r="D178" s="2"/>
      <c r="E178" s="2"/>
      <c r="F178" s="19">
        <f t="shared" si="19"/>
        <v>0</v>
      </c>
      <c r="G178" s="2"/>
      <c r="H178" s="2"/>
      <c r="I178" s="2"/>
      <c r="J178" s="19">
        <f t="shared" si="20"/>
        <v>0</v>
      </c>
      <c r="K178" s="2"/>
      <c r="L178" s="2">
        <f t="shared" si="21"/>
        <v>0</v>
      </c>
      <c r="M178" s="2"/>
      <c r="N178" s="19">
        <f t="shared" si="22"/>
        <v>0</v>
      </c>
      <c r="O178" s="11"/>
      <c r="P178" s="2">
        <v>56.57</v>
      </c>
      <c r="Q178" s="2"/>
      <c r="R178" s="19">
        <f t="shared" si="23"/>
        <v>5.8116035316468492E-6</v>
      </c>
      <c r="S178" s="2"/>
      <c r="T178" s="2">
        <v>42.74</v>
      </c>
      <c r="U178" s="2"/>
      <c r="V178" s="19">
        <f t="shared" si="24"/>
        <v>4.2586611118208313E-6</v>
      </c>
      <c r="W178" s="2"/>
      <c r="X178" s="2">
        <f t="shared" si="25"/>
        <v>13.829999999999998</v>
      </c>
      <c r="Y178" s="2"/>
      <c r="Z178" s="19">
        <f t="shared" si="26"/>
        <v>0.32358446420215248</v>
      </c>
    </row>
    <row r="179" spans="1:26" s="24" customFormat="1" hidden="1" outlineLevel="1" x14ac:dyDescent="0.25">
      <c r="A179" s="44"/>
      <c r="B179" s="11" t="str">
        <f>CONCATENATE("          ", "5527", " - ", "FREIGHT-IN-SCHOOL SUPPLIES")</f>
        <v xml:space="preserve">          5527 - FREIGHT-IN-SCHOOL SUPPLIES</v>
      </c>
      <c r="C179" s="11"/>
      <c r="D179" s="2">
        <v>133.38999999999999</v>
      </c>
      <c r="E179" s="2"/>
      <c r="F179" s="19">
        <f t="shared" si="19"/>
        <v>3.327456655898278E-5</v>
      </c>
      <c r="G179" s="2"/>
      <c r="H179" s="2">
        <v>444.43</v>
      </c>
      <c r="I179" s="2"/>
      <c r="J179" s="19">
        <f t="shared" si="20"/>
        <v>1.1008245592817307E-4</v>
      </c>
      <c r="K179" s="2"/>
      <c r="L179" s="2">
        <f t="shared" si="21"/>
        <v>-311.04000000000002</v>
      </c>
      <c r="M179" s="2"/>
      <c r="N179" s="19">
        <f t="shared" si="22"/>
        <v>-0.69986274553923011</v>
      </c>
      <c r="O179" s="11"/>
      <c r="P179" s="2">
        <v>393.9</v>
      </c>
      <c r="Q179" s="2"/>
      <c r="R179" s="19">
        <f t="shared" si="23"/>
        <v>4.0466512835702556E-5</v>
      </c>
      <c r="S179" s="2"/>
      <c r="T179" s="2">
        <v>725.1</v>
      </c>
      <c r="U179" s="2"/>
      <c r="V179" s="19">
        <f t="shared" si="24"/>
        <v>7.2249770055715596E-5</v>
      </c>
      <c r="W179" s="2"/>
      <c r="X179" s="2">
        <f t="shared" si="25"/>
        <v>-331.20000000000005</v>
      </c>
      <c r="Y179" s="2"/>
      <c r="Z179" s="19">
        <f t="shared" si="26"/>
        <v>-0.45676458419528349</v>
      </c>
    </row>
    <row r="180" spans="1:26" s="24" customFormat="1" hidden="1" outlineLevel="1" x14ac:dyDescent="0.25">
      <c r="A180" s="44"/>
      <c r="B180" s="11" t="str">
        <f>CONCATENATE("          ", "5528", " - ", "FREIGHT-IN-ART/TECH")</f>
        <v xml:space="preserve">          5528 - FREIGHT-IN-ART/TECH</v>
      </c>
      <c r="C180" s="11"/>
      <c r="D180" s="2">
        <v>332.97</v>
      </c>
      <c r="E180" s="2"/>
      <c r="F180" s="19">
        <f t="shared" si="19"/>
        <v>8.306044251551465E-5</v>
      </c>
      <c r="G180" s="2"/>
      <c r="H180" s="2">
        <v>330.52</v>
      </c>
      <c r="I180" s="2"/>
      <c r="J180" s="19">
        <f t="shared" si="20"/>
        <v>8.1867680699727197E-5</v>
      </c>
      <c r="K180" s="2"/>
      <c r="L180" s="2">
        <f t="shared" si="21"/>
        <v>2.4500000000000455</v>
      </c>
      <c r="M180" s="2"/>
      <c r="N180" s="19">
        <f t="shared" si="22"/>
        <v>7.4125620234782932E-3</v>
      </c>
      <c r="O180" s="11"/>
      <c r="P180" s="2">
        <v>632.77</v>
      </c>
      <c r="Q180" s="2"/>
      <c r="R180" s="19">
        <f t="shared" si="23"/>
        <v>6.5006334925228509E-5</v>
      </c>
      <c r="S180" s="2"/>
      <c r="T180" s="2">
        <v>557.78</v>
      </c>
      <c r="U180" s="2"/>
      <c r="V180" s="19">
        <f t="shared" si="24"/>
        <v>5.5577819254829741E-5</v>
      </c>
      <c r="W180" s="2"/>
      <c r="X180" s="2">
        <f t="shared" si="25"/>
        <v>74.990000000000009</v>
      </c>
      <c r="Y180" s="2"/>
      <c r="Z180" s="19">
        <f t="shared" si="26"/>
        <v>0.13444368747534874</v>
      </c>
    </row>
    <row r="181" spans="1:26" s="24" customFormat="1" hidden="1" outlineLevel="1" x14ac:dyDescent="0.25">
      <c r="A181" s="44"/>
      <c r="B181" s="11" t="str">
        <f>CONCATENATE("          ", "5540", " - ", "FREIGHT-IN-LOGO CLOTHING")</f>
        <v xml:space="preserve">          5540 - FREIGHT-IN-LOGO CLOTHING</v>
      </c>
      <c r="C181" s="11"/>
      <c r="D181" s="2">
        <v>2672.92</v>
      </c>
      <c r="E181" s="2"/>
      <c r="F181" s="19">
        <f t="shared" si="19"/>
        <v>6.6676853172528878E-4</v>
      </c>
      <c r="G181" s="2"/>
      <c r="H181" s="2">
        <v>2773.09</v>
      </c>
      <c r="I181" s="2"/>
      <c r="J181" s="19">
        <f t="shared" si="20"/>
        <v>6.8687657833597525E-4</v>
      </c>
      <c r="K181" s="2"/>
      <c r="L181" s="2">
        <f t="shared" si="21"/>
        <v>-100.17000000000007</v>
      </c>
      <c r="M181" s="2"/>
      <c r="N181" s="19">
        <f t="shared" si="22"/>
        <v>-3.6122159756805612E-2</v>
      </c>
      <c r="O181" s="11"/>
      <c r="P181" s="2">
        <v>5004.8599999999997</v>
      </c>
      <c r="Q181" s="2"/>
      <c r="R181" s="19">
        <f t="shared" si="23"/>
        <v>5.141640808095819E-4</v>
      </c>
      <c r="S181" s="2"/>
      <c r="T181" s="2">
        <v>5693.24</v>
      </c>
      <c r="U181" s="2"/>
      <c r="V181" s="19">
        <f t="shared" si="24"/>
        <v>5.6728076247690288E-4</v>
      </c>
      <c r="W181" s="2"/>
      <c r="X181" s="2">
        <f t="shared" si="25"/>
        <v>-688.38000000000011</v>
      </c>
      <c r="Y181" s="2"/>
      <c r="Z181" s="19">
        <f t="shared" si="26"/>
        <v>-0.12091181822652833</v>
      </c>
    </row>
    <row r="182" spans="1:26" s="24" customFormat="1" hidden="1" outlineLevel="1" x14ac:dyDescent="0.25">
      <c r="A182" s="44"/>
      <c r="B182" s="11" t="str">
        <f>CONCATENATE("          ", "5541", " - ", "FREIGHT-IN-LOGO GIFTS")</f>
        <v xml:space="preserve">          5541 - FREIGHT-IN-LOGO GIFTS</v>
      </c>
      <c r="C182" s="11"/>
      <c r="D182" s="2">
        <v>97.6</v>
      </c>
      <c r="E182" s="2"/>
      <c r="F182" s="19">
        <f t="shared" si="19"/>
        <v>2.4346635401129915E-5</v>
      </c>
      <c r="G182" s="2"/>
      <c r="H182" s="2">
        <v>929.59</v>
      </c>
      <c r="I182" s="2"/>
      <c r="J182" s="19">
        <f t="shared" si="20"/>
        <v>2.3025347120192248E-4</v>
      </c>
      <c r="K182" s="2"/>
      <c r="L182" s="2">
        <f t="shared" si="21"/>
        <v>-831.99</v>
      </c>
      <c r="M182" s="2"/>
      <c r="N182" s="19">
        <f t="shared" si="22"/>
        <v>-0.8950074764143332</v>
      </c>
      <c r="O182" s="11"/>
      <c r="P182" s="2">
        <v>818.01</v>
      </c>
      <c r="Q182" s="2"/>
      <c r="R182" s="19">
        <f t="shared" si="23"/>
        <v>8.40365883846993E-5</v>
      </c>
      <c r="S182" s="2"/>
      <c r="T182" s="2">
        <v>2171.12</v>
      </c>
      <c r="U182" s="2"/>
      <c r="V182" s="19">
        <f t="shared" si="24"/>
        <v>2.1633281032045959E-4</v>
      </c>
      <c r="W182" s="2"/>
      <c r="X182" s="2">
        <f t="shared" si="25"/>
        <v>-1353.11</v>
      </c>
      <c r="Y182" s="2"/>
      <c r="Z182" s="19">
        <f t="shared" si="26"/>
        <v>-0.62323132760971289</v>
      </c>
    </row>
    <row r="183" spans="1:26" s="24" customFormat="1" hidden="1" outlineLevel="1" x14ac:dyDescent="0.25">
      <c r="A183" s="44"/>
      <c r="B183" s="11" t="str">
        <f>CONCATENATE("          ", "5542", " - ", "FREIGHT-IN-EVERYDAY GIFTS")</f>
        <v xml:space="preserve">          5542 - FREIGHT-IN-EVERYDAY GIFTS</v>
      </c>
      <c r="C183" s="11"/>
      <c r="D183" s="2">
        <v>58.91</v>
      </c>
      <c r="E183" s="2"/>
      <c r="F183" s="19">
        <f t="shared" si="19"/>
        <v>1.4695289871727085E-5</v>
      </c>
      <c r="G183" s="2"/>
      <c r="H183" s="2">
        <v>54.74</v>
      </c>
      <c r="I183" s="2"/>
      <c r="J183" s="19">
        <f t="shared" si="20"/>
        <v>1.3558746343649605E-5</v>
      </c>
      <c r="K183" s="2"/>
      <c r="L183" s="2">
        <f t="shared" si="21"/>
        <v>4.1699999999999946</v>
      </c>
      <c r="M183" s="2"/>
      <c r="N183" s="19">
        <f t="shared" si="22"/>
        <v>7.6178297405918791E-2</v>
      </c>
      <c r="O183" s="11"/>
      <c r="P183" s="2">
        <v>171.68</v>
      </c>
      <c r="Q183" s="2"/>
      <c r="R183" s="19">
        <f t="shared" si="23"/>
        <v>1.7637194525598924E-5</v>
      </c>
      <c r="S183" s="2"/>
      <c r="T183" s="2">
        <v>477.53</v>
      </c>
      <c r="U183" s="2"/>
      <c r="V183" s="19">
        <f t="shared" si="24"/>
        <v>4.7581620045105318E-5</v>
      </c>
      <c r="W183" s="2"/>
      <c r="X183" s="2">
        <f t="shared" si="25"/>
        <v>-305.84999999999997</v>
      </c>
      <c r="Y183" s="2"/>
      <c r="Z183" s="19">
        <f t="shared" si="26"/>
        <v>-0.6404833204196595</v>
      </c>
    </row>
    <row r="184" spans="1:26" s="24" customFormat="1" hidden="1" outlineLevel="1" x14ac:dyDescent="0.25">
      <c r="A184" s="44"/>
      <c r="B184" s="11" t="str">
        <f>CONCATENATE("          ", "5543", " - ", "FREIGHT-IN-CARDS")</f>
        <v xml:space="preserve">          5543 - FREIGHT-IN-CARDS</v>
      </c>
      <c r="C184" s="11"/>
      <c r="D184" s="2"/>
      <c r="E184" s="2"/>
      <c r="F184" s="19">
        <f t="shared" si="19"/>
        <v>0</v>
      </c>
      <c r="G184" s="2"/>
      <c r="H184" s="2"/>
      <c r="I184" s="2"/>
      <c r="J184" s="19">
        <f t="shared" si="20"/>
        <v>0</v>
      </c>
      <c r="K184" s="2"/>
      <c r="L184" s="2">
        <f t="shared" si="21"/>
        <v>0</v>
      </c>
      <c r="M184" s="2"/>
      <c r="N184" s="19">
        <f t="shared" si="22"/>
        <v>0</v>
      </c>
      <c r="O184" s="11"/>
      <c r="P184" s="2">
        <v>4.58</v>
      </c>
      <c r="Q184" s="2"/>
      <c r="R184" s="19">
        <f t="shared" si="23"/>
        <v>4.7051695554079139E-7</v>
      </c>
      <c r="S184" s="2"/>
      <c r="T184" s="2"/>
      <c r="U184" s="2"/>
      <c r="V184" s="19">
        <f t="shared" si="24"/>
        <v>0</v>
      </c>
      <c r="W184" s="2"/>
      <c r="X184" s="2">
        <f t="shared" si="25"/>
        <v>4.58</v>
      </c>
      <c r="Y184" s="2"/>
      <c r="Z184" s="19">
        <f t="shared" si="26"/>
        <v>0</v>
      </c>
    </row>
    <row r="185" spans="1:26" s="24" customFormat="1" hidden="1" outlineLevel="1" x14ac:dyDescent="0.25">
      <c r="A185" s="44"/>
      <c r="B185" s="11" t="str">
        <f>CONCATENATE("          ", "5544", " - ", "FREIGHT-IN-ACCESSORIES")</f>
        <v xml:space="preserve">          5544 - FREIGHT-IN-ACCESSORIES</v>
      </c>
      <c r="C185" s="11"/>
      <c r="D185" s="2">
        <v>34.18</v>
      </c>
      <c r="E185" s="2"/>
      <c r="F185" s="19">
        <f t="shared" si="19"/>
        <v>8.5263114550268498E-6</v>
      </c>
      <c r="G185" s="2"/>
      <c r="H185" s="2">
        <v>317.79000000000002</v>
      </c>
      <c r="I185" s="2"/>
      <c r="J185" s="19">
        <f t="shared" si="20"/>
        <v>7.8714541478779829E-5</v>
      </c>
      <c r="K185" s="2"/>
      <c r="L185" s="2">
        <f t="shared" si="21"/>
        <v>-283.61</v>
      </c>
      <c r="M185" s="2"/>
      <c r="N185" s="19">
        <f t="shared" si="22"/>
        <v>-0.89244469618301392</v>
      </c>
      <c r="O185" s="11"/>
      <c r="P185" s="2">
        <v>135.84</v>
      </c>
      <c r="Q185" s="2"/>
      <c r="R185" s="19">
        <f t="shared" si="23"/>
        <v>1.3955245249052643E-5</v>
      </c>
      <c r="S185" s="2"/>
      <c r="T185" s="2">
        <v>470.64</v>
      </c>
      <c r="U185" s="2"/>
      <c r="V185" s="19">
        <f t="shared" si="24"/>
        <v>4.6895092785852973E-5</v>
      </c>
      <c r="W185" s="2"/>
      <c r="X185" s="2">
        <f t="shared" si="25"/>
        <v>-334.79999999999995</v>
      </c>
      <c r="Y185" s="2"/>
      <c r="Z185" s="19">
        <f t="shared" si="26"/>
        <v>-0.71137174910759804</v>
      </c>
    </row>
    <row r="186" spans="1:26" s="24" customFormat="1" hidden="1" outlineLevel="1" x14ac:dyDescent="0.25">
      <c r="A186" s="44"/>
      <c r="B186" s="11" t="str">
        <f>CONCATENATE("          ", "5545", " - ", "FREIGHT-IN-SPECIAL ORDERS")</f>
        <v xml:space="preserve">          5545 - FREIGHT-IN-SPECIAL ORDERS</v>
      </c>
      <c r="C186" s="11"/>
      <c r="D186" s="2">
        <v>26.56</v>
      </c>
      <c r="E186" s="2"/>
      <c r="F186" s="19">
        <f t="shared" si="19"/>
        <v>6.6254778304714202E-6</v>
      </c>
      <c r="G186" s="2"/>
      <c r="H186" s="2">
        <v>31.52</v>
      </c>
      <c r="I186" s="2"/>
      <c r="J186" s="19">
        <f t="shared" si="20"/>
        <v>7.8073015117251651E-6</v>
      </c>
      <c r="K186" s="2"/>
      <c r="L186" s="2">
        <f t="shared" si="21"/>
        <v>-4.9600000000000009</v>
      </c>
      <c r="M186" s="2"/>
      <c r="N186" s="19">
        <f t="shared" si="22"/>
        <v>-0.15736040609137059</v>
      </c>
      <c r="O186" s="11"/>
      <c r="P186" s="2">
        <v>262.51</v>
      </c>
      <c r="Q186" s="2"/>
      <c r="R186" s="19">
        <f t="shared" si="23"/>
        <v>2.6968429257426452E-5</v>
      </c>
      <c r="S186" s="2"/>
      <c r="T186" s="2">
        <v>1186.56</v>
      </c>
      <c r="U186" s="2"/>
      <c r="V186" s="19">
        <f t="shared" si="24"/>
        <v>1.1823015743664308E-4</v>
      </c>
      <c r="W186" s="2"/>
      <c r="X186" s="2">
        <f t="shared" si="25"/>
        <v>-924.05</v>
      </c>
      <c r="Y186" s="2"/>
      <c r="Z186" s="19">
        <f t="shared" si="26"/>
        <v>-0.77876382146709822</v>
      </c>
    </row>
    <row r="187" spans="1:26" s="24" customFormat="1" hidden="1" outlineLevel="1" x14ac:dyDescent="0.25">
      <c r="A187" s="44"/>
      <c r="B187" s="11" t="str">
        <f>CONCATENATE("          ", "5581", " - ", "FREIGHT-IN-ELECTRONICS")</f>
        <v xml:space="preserve">          5581 - FREIGHT-IN-ELECTRONICS</v>
      </c>
      <c r="C187" s="11"/>
      <c r="D187" s="2">
        <v>92.95</v>
      </c>
      <c r="E187" s="2"/>
      <c r="F187" s="19">
        <f t="shared" si="19"/>
        <v>2.3186677874334283E-5</v>
      </c>
      <c r="G187" s="2"/>
      <c r="H187" s="2"/>
      <c r="I187" s="2"/>
      <c r="J187" s="19">
        <f t="shared" si="20"/>
        <v>0</v>
      </c>
      <c r="K187" s="2"/>
      <c r="L187" s="2">
        <f t="shared" si="21"/>
        <v>92.95</v>
      </c>
      <c r="M187" s="2"/>
      <c r="N187" s="19">
        <f t="shared" si="22"/>
        <v>0</v>
      </c>
      <c r="O187" s="11"/>
      <c r="P187" s="2">
        <v>92.95</v>
      </c>
      <c r="Q187" s="2"/>
      <c r="R187" s="19">
        <f t="shared" si="23"/>
        <v>9.5490286064446645E-6</v>
      </c>
      <c r="S187" s="2"/>
      <c r="T187" s="2"/>
      <c r="U187" s="2"/>
      <c r="V187" s="19">
        <f t="shared" si="24"/>
        <v>0</v>
      </c>
      <c r="W187" s="2"/>
      <c r="X187" s="2">
        <f t="shared" si="25"/>
        <v>92.95</v>
      </c>
      <c r="Y187" s="2"/>
      <c r="Z187" s="19">
        <f t="shared" si="26"/>
        <v>0</v>
      </c>
    </row>
    <row r="188" spans="1:26" s="24" customFormat="1" hidden="1" outlineLevel="1" x14ac:dyDescent="0.25">
      <c r="A188" s="44"/>
      <c r="B188" s="11" t="str">
        <f>CONCATENATE("          ", "5582", " - ", "FREIGHT-IN-COMPUTER HARDWARE")</f>
        <v xml:space="preserve">          5582 - FREIGHT-IN-COMPUTER HARDWARE</v>
      </c>
      <c r="C188" s="11"/>
      <c r="D188" s="2">
        <v>4.84</v>
      </c>
      <c r="E188" s="2"/>
      <c r="F188" s="19">
        <f t="shared" si="19"/>
        <v>1.2073536407937377E-6</v>
      </c>
      <c r="G188" s="2"/>
      <c r="H188" s="2"/>
      <c r="I188" s="2"/>
      <c r="J188" s="19">
        <f t="shared" si="20"/>
        <v>0</v>
      </c>
      <c r="K188" s="2"/>
      <c r="L188" s="2">
        <f t="shared" si="21"/>
        <v>4.84</v>
      </c>
      <c r="M188" s="2"/>
      <c r="N188" s="19">
        <f t="shared" si="22"/>
        <v>0</v>
      </c>
      <c r="O188" s="11"/>
      <c r="P188" s="2">
        <v>4.84</v>
      </c>
      <c r="Q188" s="2"/>
      <c r="R188" s="19">
        <f t="shared" si="23"/>
        <v>4.9722752506930792E-7</v>
      </c>
      <c r="S188" s="2"/>
      <c r="T188" s="2"/>
      <c r="U188" s="2"/>
      <c r="V188" s="19">
        <f t="shared" si="24"/>
        <v>0</v>
      </c>
      <c r="W188" s="2"/>
      <c r="X188" s="2">
        <f t="shared" si="25"/>
        <v>4.84</v>
      </c>
      <c r="Y188" s="2"/>
      <c r="Z188" s="19">
        <f t="shared" si="26"/>
        <v>0</v>
      </c>
    </row>
    <row r="189" spans="1:26" s="24" customFormat="1" hidden="1" outlineLevel="1" x14ac:dyDescent="0.25">
      <c r="A189" s="44"/>
      <c r="B189" s="11" t="str">
        <f>CONCATENATE("          ", "5583", " - ", "FREIGHT-IN-COMPUTER EQUIPMENT")</f>
        <v xml:space="preserve">          5583 - FREIGHT-IN-COMPUTER EQUIPMENT</v>
      </c>
      <c r="C189" s="11"/>
      <c r="D189" s="2">
        <v>7.86</v>
      </c>
      <c r="E189" s="2"/>
      <c r="F189" s="19">
        <f t="shared" si="19"/>
        <v>1.9607024001319791E-6</v>
      </c>
      <c r="G189" s="2"/>
      <c r="H189" s="2"/>
      <c r="I189" s="2"/>
      <c r="J189" s="19">
        <f t="shared" si="20"/>
        <v>0</v>
      </c>
      <c r="K189" s="2"/>
      <c r="L189" s="2">
        <f t="shared" si="21"/>
        <v>7.86</v>
      </c>
      <c r="M189" s="2"/>
      <c r="N189" s="19">
        <f t="shared" si="22"/>
        <v>0</v>
      </c>
      <c r="O189" s="11"/>
      <c r="P189" s="2">
        <v>41</v>
      </c>
      <c r="Q189" s="2"/>
      <c r="R189" s="19">
        <f t="shared" si="23"/>
        <v>4.2120513487276089E-6</v>
      </c>
      <c r="S189" s="2"/>
      <c r="T189" s="2">
        <v>8.27</v>
      </c>
      <c r="U189" s="2"/>
      <c r="V189" s="19">
        <f t="shared" si="24"/>
        <v>8.2403199332611772E-7</v>
      </c>
      <c r="W189" s="2"/>
      <c r="X189" s="2">
        <f t="shared" si="25"/>
        <v>32.730000000000004</v>
      </c>
      <c r="Y189" s="2"/>
      <c r="Z189" s="19">
        <f t="shared" si="26"/>
        <v>3.9576783555018147</v>
      </c>
    </row>
    <row r="190" spans="1:26" s="24" customFormat="1" hidden="1" outlineLevel="1" x14ac:dyDescent="0.25">
      <c r="A190" s="44"/>
      <c r="B190" s="11" t="str">
        <f>CONCATENATE("          ", "5586", " - ", "FREIGHT-IN-COMPUTER SUPPLIES")</f>
        <v xml:space="preserve">          5586 - FREIGHT-IN-COMPUTER SUPPLIES</v>
      </c>
      <c r="C190" s="11"/>
      <c r="D190" s="2">
        <v>65.36</v>
      </c>
      <c r="E190" s="2"/>
      <c r="F190" s="19">
        <f t="shared" si="19"/>
        <v>1.6304263215346839E-5</v>
      </c>
      <c r="G190" s="2"/>
      <c r="H190" s="2">
        <v>55.6</v>
      </c>
      <c r="I190" s="2"/>
      <c r="J190" s="19">
        <f t="shared" si="20"/>
        <v>1.3771762818906065E-5</v>
      </c>
      <c r="K190" s="2"/>
      <c r="L190" s="2">
        <f t="shared" si="21"/>
        <v>9.759999999999998</v>
      </c>
      <c r="M190" s="2"/>
      <c r="N190" s="19">
        <f t="shared" si="22"/>
        <v>0.17553956834532369</v>
      </c>
      <c r="O190" s="11"/>
      <c r="P190" s="2">
        <v>102.39</v>
      </c>
      <c r="Q190" s="2"/>
      <c r="R190" s="19">
        <f t="shared" si="23"/>
        <v>1.0518827746249264E-5</v>
      </c>
      <c r="S190" s="2"/>
      <c r="T190" s="2">
        <v>104.29</v>
      </c>
      <c r="U190" s="2"/>
      <c r="V190" s="19">
        <f t="shared" si="24"/>
        <v>1.0391571533734079E-5</v>
      </c>
      <c r="W190" s="2"/>
      <c r="X190" s="2">
        <f t="shared" si="25"/>
        <v>-1.9000000000000057</v>
      </c>
      <c r="Y190" s="2"/>
      <c r="Z190" s="19">
        <f t="shared" si="26"/>
        <v>-1.8218429379614591E-2</v>
      </c>
    </row>
    <row r="191" spans="1:26" s="24" customFormat="1" hidden="1" outlineLevel="1" x14ac:dyDescent="0.25">
      <c r="A191" s="44"/>
      <c r="B191" s="11" t="str">
        <f>CONCATENATE("          ", "5592", " - ", "FREIGHT-IN-GRAD MERCH")</f>
        <v xml:space="preserve">          5592 - FREIGHT-IN-GRAD MERCH</v>
      </c>
      <c r="C191" s="11"/>
      <c r="D191" s="2">
        <v>11.21</v>
      </c>
      <c r="E191" s="2"/>
      <c r="F191" s="19">
        <f t="shared" si="19"/>
        <v>2.7963707258879756E-6</v>
      </c>
      <c r="G191" s="2"/>
      <c r="H191" s="2">
        <v>5.61</v>
      </c>
      <c r="I191" s="2"/>
      <c r="J191" s="19">
        <f t="shared" si="20"/>
        <v>1.3895609606845869E-6</v>
      </c>
      <c r="K191" s="2"/>
      <c r="L191" s="2">
        <f t="shared" si="21"/>
        <v>5.6000000000000005</v>
      </c>
      <c r="M191" s="2"/>
      <c r="N191" s="19">
        <f t="shared" si="22"/>
        <v>0.99821746880570417</v>
      </c>
      <c r="O191" s="11"/>
      <c r="P191" s="2">
        <v>70.78</v>
      </c>
      <c r="Q191" s="2"/>
      <c r="R191" s="19">
        <f t="shared" si="23"/>
        <v>7.2714388893400036E-6</v>
      </c>
      <c r="S191" s="2"/>
      <c r="T191" s="2">
        <v>114.3</v>
      </c>
      <c r="U191" s="2"/>
      <c r="V191" s="19">
        <f t="shared" si="24"/>
        <v>1.1388979061327118E-5</v>
      </c>
      <c r="W191" s="2"/>
      <c r="X191" s="2">
        <f t="shared" si="25"/>
        <v>-43.519999999999996</v>
      </c>
      <c r="Y191" s="2"/>
      <c r="Z191" s="19">
        <f t="shared" si="26"/>
        <v>-0.3807524059492563</v>
      </c>
    </row>
    <row r="192" spans="1:26" x14ac:dyDescent="0.25">
      <c r="A192" s="9"/>
      <c r="B192" s="10"/>
      <c r="C192" s="10"/>
      <c r="D192" s="3"/>
      <c r="E192" s="3"/>
      <c r="F192" s="8"/>
      <c r="G192" s="3"/>
      <c r="H192" s="3"/>
      <c r="I192" s="3"/>
      <c r="J192" s="8"/>
      <c r="K192" s="3"/>
      <c r="L192" s="3"/>
      <c r="M192" s="3"/>
      <c r="N192" s="8"/>
      <c r="O192" s="10"/>
      <c r="P192" s="3"/>
      <c r="Q192" s="3"/>
      <c r="R192" s="8"/>
      <c r="S192" s="3"/>
      <c r="T192" s="3"/>
      <c r="U192" s="3"/>
      <c r="V192" s="8"/>
      <c r="W192" s="3"/>
      <c r="X192" s="3"/>
      <c r="Y192" s="3"/>
      <c r="Z192" s="8"/>
    </row>
    <row r="193" spans="1:26" s="23" customFormat="1" x14ac:dyDescent="0.25">
      <c r="A193" s="10"/>
      <c r="B193" s="26" t="s">
        <v>6</v>
      </c>
      <c r="C193" s="26"/>
      <c r="D193" s="21">
        <f>D12-D134</f>
        <v>2337855.0199999986</v>
      </c>
      <c r="E193" s="13"/>
      <c r="F193" s="20">
        <f>IF(D$12=0,0,D193/D$12)</f>
        <v>0.58318548967870143</v>
      </c>
      <c r="G193" s="13"/>
      <c r="H193" s="21">
        <f>H12-H134</f>
        <v>2416254.4500000002</v>
      </c>
      <c r="I193" s="13"/>
      <c r="J193" s="20">
        <f>IF(H$12=0,0,H193/H$12)</f>
        <v>0.59849070495550949</v>
      </c>
      <c r="K193" s="15"/>
      <c r="L193" s="21">
        <f>+D193-H193</f>
        <v>-78399.430000001565</v>
      </c>
      <c r="M193" s="15"/>
      <c r="N193" s="20">
        <f>IF(H193=0,0,L193/H193)</f>
        <v>-3.244667795645511E-2</v>
      </c>
      <c r="O193" s="25"/>
      <c r="P193" s="21">
        <f>P12-P134</f>
        <v>4730691.8799999962</v>
      </c>
      <c r="Q193" s="13"/>
      <c r="R193" s="20">
        <f>IF(P$12=0,0,P193/P$12)</f>
        <v>0.48599797837972514</v>
      </c>
      <c r="S193" s="13"/>
      <c r="T193" s="21">
        <f>T12-T134</f>
        <v>4943734.2800000049</v>
      </c>
      <c r="U193" s="13"/>
      <c r="V193" s="20">
        <f>IF(T$12=0,0,T193/T$12)</f>
        <v>0.49259917934982633</v>
      </c>
      <c r="W193" s="15"/>
      <c r="X193" s="21">
        <f>+P193-T193</f>
        <v>-213042.40000000875</v>
      </c>
      <c r="Y193" s="15"/>
      <c r="Z193" s="20">
        <f>IF(T193=0,0,X193/T193)</f>
        <v>-4.3093416420432802E-2</v>
      </c>
    </row>
    <row r="194" spans="1:26" x14ac:dyDescent="0.25">
      <c r="A194" s="9"/>
      <c r="B194" s="10"/>
      <c r="C194" s="9"/>
      <c r="D194" s="1"/>
      <c r="E194" s="1"/>
      <c r="F194" s="5"/>
      <c r="G194" s="1"/>
      <c r="H194" s="1"/>
      <c r="I194" s="1"/>
      <c r="J194" s="5"/>
      <c r="K194" s="1"/>
      <c r="L194" s="1"/>
      <c r="M194" s="1"/>
      <c r="N194" s="5"/>
      <c r="O194" s="37"/>
      <c r="P194" s="1"/>
      <c r="Q194" s="1"/>
      <c r="R194" s="5"/>
      <c r="S194" s="1"/>
      <c r="T194" s="1"/>
      <c r="U194" s="1"/>
      <c r="V194" s="5"/>
      <c r="W194" s="1"/>
      <c r="X194" s="1"/>
      <c r="Y194" s="1"/>
      <c r="Z194" s="5"/>
    </row>
    <row r="195" spans="1:26" s="23" customFormat="1" x14ac:dyDescent="0.25">
      <c r="A195" s="10"/>
      <c r="B195" s="25" t="s">
        <v>9</v>
      </c>
      <c r="C195" s="10"/>
      <c r="D195" s="22">
        <f>SUM(OSRRefD22x_0)</f>
        <v>1621976.6500000006</v>
      </c>
      <c r="E195" s="22"/>
      <c r="F195" s="34">
        <f t="shared" ref="F195:F205" si="27">IF(D$12=0,0,D195/D$12)</f>
        <v>0.40460731687188656</v>
      </c>
      <c r="G195" s="22"/>
      <c r="H195" s="22">
        <f>SUM(OSRRefH22x_0)</f>
        <v>1482893.3500000003</v>
      </c>
      <c r="I195" s="22"/>
      <c r="J195" s="34">
        <f t="shared" ref="J195:J205" si="28">IF(H$12=0,0,H195/H$12)</f>
        <v>0.36730315650958745</v>
      </c>
      <c r="K195" s="4"/>
      <c r="L195" s="22">
        <f t="shared" ref="L195:L205" si="29">+D195-H195</f>
        <v>139083.30000000028</v>
      </c>
      <c r="M195" s="4"/>
      <c r="N195" s="34">
        <f t="shared" ref="N195:N205" si="30">IF(H195=0,0,L195/H195)</f>
        <v>9.3791842818635771E-2</v>
      </c>
      <c r="O195" s="10"/>
      <c r="P195" s="22">
        <f>SUM(OSRRefP22x_0)</f>
        <v>4285479.4999999991</v>
      </c>
      <c r="Q195" s="22"/>
      <c r="R195" s="34">
        <f t="shared" ref="R195:R205" si="31">IF(P$12=0,0,P195/P$12)</f>
        <v>0.44025999287608569</v>
      </c>
      <c r="S195" s="22"/>
      <c r="T195" s="22">
        <f>SUM(OSRRefT22x_0)</f>
        <v>4138511.75</v>
      </c>
      <c r="U195" s="22"/>
      <c r="V195" s="34">
        <f t="shared" ref="V195:V205" si="32">IF(T$12=0,0,T195/T$12)</f>
        <v>0.41236591133688755</v>
      </c>
      <c r="W195" s="4"/>
      <c r="X195" s="22">
        <f t="shared" ref="X195:X205" si="33">+P195-T195</f>
        <v>146967.74999999907</v>
      </c>
      <c r="Y195" s="4"/>
      <c r="Z195" s="34">
        <f t="shared" ref="Z195:Z205" si="34">IF(T195=0,0,X195/T195)</f>
        <v>3.551222247949376E-2</v>
      </c>
    </row>
    <row r="196" spans="1:26" s="29" customFormat="1" outlineLevel="1" collapsed="1" x14ac:dyDescent="0.25">
      <c r="A196" s="27"/>
      <c r="B196" s="14" t="str">
        <f>CONCATENATE("     ","*Benefits                                         ")</f>
        <v xml:space="preserve">     *Benefits                                         </v>
      </c>
      <c r="C196" s="14"/>
      <c r="D196" s="1">
        <f>SUM(OSRRefD22_0x_0)</f>
        <v>239113.31000000003</v>
      </c>
      <c r="E196" s="1"/>
      <c r="F196" s="5">
        <f t="shared" si="27"/>
        <v>5.9647587890649112E-2</v>
      </c>
      <c r="G196" s="1"/>
      <c r="H196" s="1">
        <f>SUM(OSRRefH22_0x_0)</f>
        <v>200353.81000000003</v>
      </c>
      <c r="I196" s="1"/>
      <c r="J196" s="5">
        <f t="shared" si="28"/>
        <v>4.962635164000307E-2</v>
      </c>
      <c r="K196" s="1"/>
      <c r="L196" s="1">
        <f t="shared" si="29"/>
        <v>38759.5</v>
      </c>
      <c r="M196" s="1"/>
      <c r="N196" s="5">
        <f t="shared" si="30"/>
        <v>0.19345526795821849</v>
      </c>
      <c r="O196" s="14"/>
      <c r="P196" s="1">
        <f>SUM(OSRRefP22_0x_0)</f>
        <v>700895.40000000014</v>
      </c>
      <c r="Q196" s="1"/>
      <c r="R196" s="5">
        <f t="shared" si="31"/>
        <v>7.2005058899682367E-2</v>
      </c>
      <c r="S196" s="1"/>
      <c r="T196" s="1">
        <f>SUM(OSRRefT22_0x_0)</f>
        <v>616089.44999999995</v>
      </c>
      <c r="U196" s="1"/>
      <c r="V196" s="5">
        <f t="shared" si="32"/>
        <v>6.138783767239317E-2</v>
      </c>
      <c r="W196" s="1"/>
      <c r="X196" s="1">
        <f t="shared" si="33"/>
        <v>84805.950000000186</v>
      </c>
      <c r="Y196" s="1"/>
      <c r="Z196" s="5">
        <f t="shared" si="34"/>
        <v>0.13765200816212678</v>
      </c>
    </row>
    <row r="197" spans="1:26" s="24" customFormat="1" hidden="1" outlineLevel="2" x14ac:dyDescent="0.25">
      <c r="A197" s="28"/>
      <c r="B197" s="11" t="str">
        <f>CONCATENATE("          ", "6111", " - ", "F.I.C.A.")</f>
        <v xml:space="preserve">          6111 - F.I.C.A.</v>
      </c>
      <c r="C197" s="11"/>
      <c r="D197" s="6">
        <v>35451.65</v>
      </c>
      <c r="E197" s="2"/>
      <c r="F197" s="7">
        <f t="shared" si="27"/>
        <v>8.8435286569515121E-3</v>
      </c>
      <c r="G197" s="2"/>
      <c r="H197" s="6">
        <v>32135.95</v>
      </c>
      <c r="I197" s="2"/>
      <c r="J197" s="7">
        <f t="shared" si="28"/>
        <v>7.9598683697882089E-3</v>
      </c>
      <c r="K197" s="2"/>
      <c r="L197" s="6">
        <f t="shared" si="29"/>
        <v>3315.7000000000007</v>
      </c>
      <c r="M197" s="2"/>
      <c r="N197" s="7">
        <f t="shared" si="30"/>
        <v>0.1031772827627626</v>
      </c>
      <c r="O197" s="11"/>
      <c r="P197" s="6">
        <v>117898.25</v>
      </c>
      <c r="Q197" s="2"/>
      <c r="R197" s="7">
        <f t="shared" si="31"/>
        <v>1.2112036168905483E-2</v>
      </c>
      <c r="S197" s="2"/>
      <c r="T197" s="6">
        <v>110030.28</v>
      </c>
      <c r="U197" s="2"/>
      <c r="V197" s="7">
        <f t="shared" si="32"/>
        <v>1.0963539414102887E-2</v>
      </c>
      <c r="W197" s="2"/>
      <c r="X197" s="6">
        <f t="shared" si="33"/>
        <v>7867.9700000000012</v>
      </c>
      <c r="Y197" s="2"/>
      <c r="Z197" s="7">
        <f t="shared" si="34"/>
        <v>7.1507315986108558E-2</v>
      </c>
    </row>
    <row r="198" spans="1:26" s="24" customFormat="1" hidden="1" outlineLevel="2" x14ac:dyDescent="0.25">
      <c r="A198" s="28"/>
      <c r="B198" s="11" t="str">
        <f>CONCATENATE("          ", "6112", " - ", "COMPENSATION INSURANCE")</f>
        <v xml:space="preserve">          6112 - COMPENSATION INSURANCE</v>
      </c>
      <c r="C198" s="11"/>
      <c r="D198" s="6">
        <v>24731.89</v>
      </c>
      <c r="E198" s="2"/>
      <c r="F198" s="7">
        <f t="shared" si="27"/>
        <v>6.1694498833078995E-3</v>
      </c>
      <c r="G198" s="2"/>
      <c r="H198" s="6"/>
      <c r="I198" s="2"/>
      <c r="J198" s="7">
        <f t="shared" si="28"/>
        <v>0</v>
      </c>
      <c r="K198" s="2"/>
      <c r="L198" s="6">
        <f t="shared" si="29"/>
        <v>24731.89</v>
      </c>
      <c r="M198" s="2"/>
      <c r="N198" s="7">
        <f t="shared" si="30"/>
        <v>0</v>
      </c>
      <c r="O198" s="11"/>
      <c r="P198" s="6">
        <v>56642.409999999996</v>
      </c>
      <c r="Q198" s="2"/>
      <c r="R198" s="7">
        <f t="shared" si="31"/>
        <v>5.8190424252605403E-3</v>
      </c>
      <c r="S198" s="2"/>
      <c r="T198" s="6">
        <v>30217.439999999999</v>
      </c>
      <c r="U198" s="2"/>
      <c r="V198" s="7">
        <f t="shared" si="32"/>
        <v>3.0108993127463558E-3</v>
      </c>
      <c r="W198" s="2"/>
      <c r="X198" s="6">
        <f t="shared" si="33"/>
        <v>26424.969999999998</v>
      </c>
      <c r="Y198" s="2"/>
      <c r="Z198" s="7">
        <f t="shared" si="34"/>
        <v>0.87449400081542306</v>
      </c>
    </row>
    <row r="199" spans="1:26" s="24" customFormat="1" hidden="1" outlineLevel="2" x14ac:dyDescent="0.25">
      <c r="A199" s="28"/>
      <c r="B199" s="11" t="str">
        <f>CONCATENATE("          ", "6113", " - ", "GROUP INSURANCE")</f>
        <v xml:space="preserve">          6113 - GROUP INSURANCE</v>
      </c>
      <c r="C199" s="11"/>
      <c r="D199" s="6">
        <v>93890.200000000012</v>
      </c>
      <c r="E199" s="2"/>
      <c r="F199" s="7">
        <f t="shared" si="27"/>
        <v>2.3421213802655414E-2</v>
      </c>
      <c r="G199" s="2"/>
      <c r="H199" s="6">
        <v>104523.77</v>
      </c>
      <c r="I199" s="2"/>
      <c r="J199" s="7">
        <f t="shared" si="28"/>
        <v>2.5889866355717432E-2</v>
      </c>
      <c r="K199" s="2"/>
      <c r="L199" s="6">
        <f t="shared" si="29"/>
        <v>-10633.569999999992</v>
      </c>
      <c r="M199" s="2"/>
      <c r="N199" s="7">
        <f t="shared" si="30"/>
        <v>-0.10173350999490348</v>
      </c>
      <c r="O199" s="11"/>
      <c r="P199" s="6">
        <v>280351.12</v>
      </c>
      <c r="Q199" s="2"/>
      <c r="R199" s="7">
        <f t="shared" si="31"/>
        <v>2.8801300319836479E-2</v>
      </c>
      <c r="S199" s="2"/>
      <c r="T199" s="6">
        <v>245737.71999999997</v>
      </c>
      <c r="U199" s="2"/>
      <c r="V199" s="7">
        <f t="shared" si="32"/>
        <v>2.4485579594560505E-2</v>
      </c>
      <c r="W199" s="2"/>
      <c r="X199" s="6">
        <f t="shared" si="33"/>
        <v>34613.400000000023</v>
      </c>
      <c r="Y199" s="2"/>
      <c r="Z199" s="7">
        <f t="shared" si="34"/>
        <v>0.14085505473071055</v>
      </c>
    </row>
    <row r="200" spans="1:26" s="24" customFormat="1" hidden="1" outlineLevel="2" x14ac:dyDescent="0.25">
      <c r="A200" s="28"/>
      <c r="B200" s="11" t="str">
        <f>CONCATENATE("          ", "6114", " - ", "STATE UNEMPLOYMENT INSURANCE")</f>
        <v xml:space="preserve">          6114 - STATE UNEMPLOYMENT INSURANCE</v>
      </c>
      <c r="C200" s="11"/>
      <c r="D200" s="6">
        <v>2173.44</v>
      </c>
      <c r="E200" s="2"/>
      <c r="F200" s="7">
        <f t="shared" si="27"/>
        <v>5.4217163162122758E-4</v>
      </c>
      <c r="G200" s="2"/>
      <c r="H200" s="6">
        <v>2010.26</v>
      </c>
      <c r="I200" s="2"/>
      <c r="J200" s="7">
        <f t="shared" si="28"/>
        <v>4.9792848784773575E-4</v>
      </c>
      <c r="K200" s="2"/>
      <c r="L200" s="6">
        <f t="shared" si="29"/>
        <v>163.18000000000006</v>
      </c>
      <c r="M200" s="2"/>
      <c r="N200" s="7">
        <f t="shared" si="30"/>
        <v>8.1173579536975349E-2</v>
      </c>
      <c r="O200" s="11"/>
      <c r="P200" s="6">
        <v>5034.71</v>
      </c>
      <c r="Q200" s="2"/>
      <c r="R200" s="7">
        <f t="shared" si="31"/>
        <v>5.1723065965737509E-4</v>
      </c>
      <c r="S200" s="2"/>
      <c r="T200" s="6">
        <v>5285.11</v>
      </c>
      <c r="U200" s="2"/>
      <c r="V200" s="7">
        <f t="shared" si="32"/>
        <v>5.2661423558014492E-4</v>
      </c>
      <c r="W200" s="2"/>
      <c r="X200" s="6">
        <f t="shared" si="33"/>
        <v>-250.39999999999964</v>
      </c>
      <c r="Y200" s="2"/>
      <c r="Z200" s="7">
        <f t="shared" si="34"/>
        <v>-4.7378389475337249E-2</v>
      </c>
    </row>
    <row r="201" spans="1:26" s="24" customFormat="1" hidden="1" outlineLevel="2" x14ac:dyDescent="0.25">
      <c r="A201" s="28"/>
      <c r="B201" s="11" t="str">
        <f>CONCATENATE("          ", "6115", " - ", "P.E.R.S.")</f>
        <v xml:space="preserve">          6115 - P.E.R.S.</v>
      </c>
      <c r="C201" s="11"/>
      <c r="D201" s="6">
        <v>18918.350000000002</v>
      </c>
      <c r="E201" s="2"/>
      <c r="F201" s="7">
        <f t="shared" si="27"/>
        <v>4.7192435434525231E-3</v>
      </c>
      <c r="G201" s="2"/>
      <c r="H201" s="6">
        <v>16774.129999999997</v>
      </c>
      <c r="I201" s="2"/>
      <c r="J201" s="7">
        <f t="shared" si="28"/>
        <v>4.154844241969366E-3</v>
      </c>
      <c r="K201" s="2"/>
      <c r="L201" s="6">
        <f t="shared" si="29"/>
        <v>2144.2200000000048</v>
      </c>
      <c r="M201" s="2"/>
      <c r="N201" s="7">
        <f t="shared" si="30"/>
        <v>0.12782898427519074</v>
      </c>
      <c r="O201" s="11"/>
      <c r="P201" s="6">
        <v>55541.18</v>
      </c>
      <c r="Q201" s="2"/>
      <c r="R201" s="7">
        <f t="shared" si="31"/>
        <v>5.7059098080225095E-3</v>
      </c>
      <c r="S201" s="2"/>
      <c r="T201" s="6">
        <v>58586.93</v>
      </c>
      <c r="U201" s="2"/>
      <c r="V201" s="7">
        <f t="shared" si="32"/>
        <v>5.8376668332234252E-3</v>
      </c>
      <c r="W201" s="2"/>
      <c r="X201" s="6">
        <f t="shared" si="33"/>
        <v>-3045.75</v>
      </c>
      <c r="Y201" s="2"/>
      <c r="Z201" s="7">
        <f t="shared" si="34"/>
        <v>-5.1986850992192288E-2</v>
      </c>
    </row>
    <row r="202" spans="1:26" s="24" customFormat="1" hidden="1" outlineLevel="2" x14ac:dyDescent="0.25">
      <c r="A202" s="28"/>
      <c r="B202" s="11" t="str">
        <f>CONCATENATE("          ", "6117", " - ", "RETIREMENT STAFF HOURLY")</f>
        <v xml:space="preserve">          6117 - RETIREMENT STAFF HOURLY</v>
      </c>
      <c r="C202" s="11"/>
      <c r="D202" s="6">
        <v>2816.51</v>
      </c>
      <c r="E202" s="2"/>
      <c r="F202" s="7">
        <f t="shared" si="27"/>
        <v>7.0258752124627494E-4</v>
      </c>
      <c r="G202" s="2"/>
      <c r="H202" s="6">
        <v>3112.45</v>
      </c>
      <c r="I202" s="2"/>
      <c r="J202" s="7">
        <f t="shared" si="28"/>
        <v>7.7093387024647808E-4</v>
      </c>
      <c r="K202" s="2"/>
      <c r="L202" s="6">
        <f t="shared" si="29"/>
        <v>-295.9399999999996</v>
      </c>
      <c r="M202" s="2"/>
      <c r="N202" s="7">
        <f t="shared" si="30"/>
        <v>-9.5082651930151363E-2</v>
      </c>
      <c r="O202" s="11"/>
      <c r="P202" s="6">
        <v>6042.17</v>
      </c>
      <c r="Q202" s="2"/>
      <c r="R202" s="7">
        <f t="shared" si="31"/>
        <v>6.2073000726198767E-4</v>
      </c>
      <c r="S202" s="2"/>
      <c r="T202" s="6">
        <v>6738.2</v>
      </c>
      <c r="U202" s="2"/>
      <c r="V202" s="7">
        <f t="shared" si="32"/>
        <v>6.7140173850423776E-4</v>
      </c>
      <c r="W202" s="2"/>
      <c r="X202" s="6">
        <f t="shared" si="33"/>
        <v>-696.02999999999975</v>
      </c>
      <c r="Y202" s="2"/>
      <c r="Z202" s="7">
        <f t="shared" si="34"/>
        <v>-0.10329613249829328</v>
      </c>
    </row>
    <row r="203" spans="1:26" s="24" customFormat="1" hidden="1" outlineLevel="2" x14ac:dyDescent="0.25">
      <c r="A203" s="28"/>
      <c r="B203" s="11" t="str">
        <f>CONCATENATE("          ", "6118", " - ", "VACATION")</f>
        <v xml:space="preserve">          6118 - VACATION</v>
      </c>
      <c r="C203" s="11"/>
      <c r="D203" s="6">
        <v>25071.38</v>
      </c>
      <c r="E203" s="2"/>
      <c r="F203" s="7">
        <f t="shared" si="27"/>
        <v>6.2541367608932438E-3</v>
      </c>
      <c r="G203" s="2"/>
      <c r="H203" s="6">
        <v>19289.28</v>
      </c>
      <c r="I203" s="2"/>
      <c r="J203" s="7">
        <f t="shared" si="28"/>
        <v>4.7778307393429561E-3</v>
      </c>
      <c r="K203" s="2"/>
      <c r="L203" s="6">
        <f t="shared" si="29"/>
        <v>5782.1000000000022</v>
      </c>
      <c r="M203" s="2"/>
      <c r="N203" s="7">
        <f t="shared" si="30"/>
        <v>0.29975717082234288</v>
      </c>
      <c r="O203" s="11"/>
      <c r="P203" s="6">
        <v>73900.099999999991</v>
      </c>
      <c r="Q203" s="2"/>
      <c r="R203" s="7">
        <f t="shared" si="31"/>
        <v>7.5919759969781736E-3</v>
      </c>
      <c r="S203" s="2"/>
      <c r="T203" s="6">
        <v>68388</v>
      </c>
      <c r="U203" s="2"/>
      <c r="V203" s="7">
        <f t="shared" si="32"/>
        <v>6.8142563433599207E-3</v>
      </c>
      <c r="W203" s="2"/>
      <c r="X203" s="6">
        <f t="shared" si="33"/>
        <v>5512.0999999999913</v>
      </c>
      <c r="Y203" s="2"/>
      <c r="Z203" s="7">
        <f t="shared" si="34"/>
        <v>8.060039773059588E-2</v>
      </c>
    </row>
    <row r="204" spans="1:26" s="24" customFormat="1" hidden="1" outlineLevel="2" x14ac:dyDescent="0.25">
      <c r="A204" s="28"/>
      <c r="B204" s="11" t="str">
        <f>CONCATENATE("          ", "6119", " - ", "SICK LEAVE")</f>
        <v xml:space="preserve">          6119 - SICK LEAVE</v>
      </c>
      <c r="C204" s="11"/>
      <c r="D204" s="6">
        <v>26478.46</v>
      </c>
      <c r="E204" s="2"/>
      <c r="F204" s="7">
        <f t="shared" si="27"/>
        <v>6.6051374139692873E-3</v>
      </c>
      <c r="G204" s="2"/>
      <c r="H204" s="6">
        <v>13169.81</v>
      </c>
      <c r="I204" s="2"/>
      <c r="J204" s="7">
        <f t="shared" si="28"/>
        <v>3.262077332554987E-3</v>
      </c>
      <c r="K204" s="2"/>
      <c r="L204" s="6">
        <f t="shared" si="29"/>
        <v>13308.65</v>
      </c>
      <c r="M204" s="2"/>
      <c r="N204" s="7">
        <f t="shared" si="30"/>
        <v>1.0105422933208603</v>
      </c>
      <c r="O204" s="11"/>
      <c r="P204" s="6">
        <v>79594.42</v>
      </c>
      <c r="Q204" s="2"/>
      <c r="R204" s="7">
        <f t="shared" si="31"/>
        <v>8.1769703441997976E-3</v>
      </c>
      <c r="S204" s="2"/>
      <c r="T204" s="6">
        <v>63310.720000000001</v>
      </c>
      <c r="U204" s="2"/>
      <c r="V204" s="7">
        <f t="shared" si="32"/>
        <v>6.3083505200135078E-3</v>
      </c>
      <c r="W204" s="2"/>
      <c r="X204" s="6">
        <f t="shared" si="33"/>
        <v>16283.699999999997</v>
      </c>
      <c r="Y204" s="2"/>
      <c r="Z204" s="7">
        <f t="shared" si="34"/>
        <v>0.25720288759944598</v>
      </c>
    </row>
    <row r="205" spans="1:26" s="24" customFormat="1" hidden="1" outlineLevel="2" x14ac:dyDescent="0.25">
      <c r="A205" s="28"/>
      <c r="B205" s="11" t="str">
        <f>CONCATENATE("          ", "6156", " - ", "EMPLOYEE MEALS")</f>
        <v xml:space="preserve">          6156 - EMPLOYEE MEALS</v>
      </c>
      <c r="C205" s="11"/>
      <c r="D205" s="6">
        <v>9581.43</v>
      </c>
      <c r="E205" s="2"/>
      <c r="F205" s="7">
        <f t="shared" si="27"/>
        <v>2.3901186765517236E-3</v>
      </c>
      <c r="G205" s="2"/>
      <c r="H205" s="6">
        <v>9338.16</v>
      </c>
      <c r="I205" s="2"/>
      <c r="J205" s="7">
        <f t="shared" si="28"/>
        <v>2.3130022425358969E-3</v>
      </c>
      <c r="K205" s="2"/>
      <c r="L205" s="6">
        <f t="shared" si="29"/>
        <v>243.27000000000044</v>
      </c>
      <c r="M205" s="2"/>
      <c r="N205" s="7">
        <f t="shared" si="30"/>
        <v>2.6051170680305376E-2</v>
      </c>
      <c r="O205" s="11"/>
      <c r="P205" s="6">
        <v>25891.040000000001</v>
      </c>
      <c r="Q205" s="2"/>
      <c r="R205" s="7">
        <f t="shared" si="31"/>
        <v>2.6598631695600112E-3</v>
      </c>
      <c r="S205" s="2"/>
      <c r="T205" s="6">
        <v>27795.05</v>
      </c>
      <c r="U205" s="2"/>
      <c r="V205" s="7">
        <f t="shared" si="32"/>
        <v>2.7695296803021898E-3</v>
      </c>
      <c r="W205" s="2"/>
      <c r="X205" s="6">
        <f t="shared" si="33"/>
        <v>-1904.0099999999984</v>
      </c>
      <c r="Y205" s="2"/>
      <c r="Z205" s="7">
        <f t="shared" si="34"/>
        <v>-6.8501765602148532E-2</v>
      </c>
    </row>
    <row r="206" spans="1:26" s="29" customFormat="1" outlineLevel="1" collapsed="1" x14ac:dyDescent="0.25">
      <c r="A206" s="27"/>
      <c r="B206" s="14" t="str">
        <f>CONCATENATE("     ","*Payroll                                          ")</f>
        <v xml:space="preserve">     *Payroll                                          </v>
      </c>
      <c r="C206" s="14"/>
      <c r="D206" s="1">
        <f>SUM(OSRRefD22_1x_0)</f>
        <v>793810.63</v>
      </c>
      <c r="E206" s="1"/>
      <c r="F206" s="5">
        <f t="shared" ref="F206:F213" si="35">IF(D$12=0,0,D206/D$12)</f>
        <v>0.19801862690728733</v>
      </c>
      <c r="G206" s="1"/>
      <c r="H206" s="1">
        <f>SUM(OSRRefH22_1x_0)</f>
        <v>702596.82</v>
      </c>
      <c r="I206" s="1"/>
      <c r="J206" s="5">
        <f t="shared" ref="J206:J213" si="36">IF(H$12=0,0,H206/H$12)</f>
        <v>0.1740287187474395</v>
      </c>
      <c r="K206" s="1"/>
      <c r="L206" s="1">
        <f t="shared" ref="L206:L213" si="37">+D206-H206</f>
        <v>91213.810000000056</v>
      </c>
      <c r="M206" s="1"/>
      <c r="N206" s="5">
        <f t="shared" ref="N206:N213" si="38">IF(H206=0,0,L206/H206)</f>
        <v>0.12982382983173774</v>
      </c>
      <c r="O206" s="14"/>
      <c r="P206" s="1">
        <f>SUM(OSRRefP22_1x_0)</f>
        <v>2064466.3699999999</v>
      </c>
      <c r="Q206" s="1"/>
      <c r="R206" s="5">
        <f t="shared" ref="R206:R213" si="39">IF(P$12=0,0,P206/P$12)</f>
        <v>0.21208874044295828</v>
      </c>
      <c r="S206" s="1"/>
      <c r="T206" s="1">
        <f>SUM(OSRRefT22_1x_0)</f>
        <v>1897631.3899999997</v>
      </c>
      <c r="U206" s="1"/>
      <c r="V206" s="5">
        <f t="shared" ref="V206:V213" si="40">IF(T$12=0,0,T206/T$12)</f>
        <v>0.18908210119708721</v>
      </c>
      <c r="W206" s="1"/>
      <c r="X206" s="1">
        <f t="shared" ref="X206:X213" si="41">+P206-T206</f>
        <v>166834.98000000021</v>
      </c>
      <c r="Y206" s="1"/>
      <c r="Z206" s="5">
        <f t="shared" ref="Z206:Z213" si="42">IF(T206=0,0,X206/T206)</f>
        <v>8.791748538687498E-2</v>
      </c>
    </row>
    <row r="207" spans="1:26" s="24" customFormat="1" hidden="1" outlineLevel="2" x14ac:dyDescent="0.25">
      <c r="A207" s="28"/>
      <c r="B207" s="11" t="str">
        <f>CONCATENATE("          ", "6001", " - ", "ADMINISTRATIVE SALARIES")</f>
        <v xml:space="preserve">          6001 - ADMINISTRATIVE SALARIES</v>
      </c>
      <c r="C207" s="11"/>
      <c r="D207" s="6">
        <v>35074.049999999996</v>
      </c>
      <c r="E207" s="2"/>
      <c r="F207" s="7">
        <f t="shared" si="35"/>
        <v>8.7493351167110735E-3</v>
      </c>
      <c r="G207" s="2"/>
      <c r="H207" s="6">
        <v>33931.619999999995</v>
      </c>
      <c r="I207" s="2"/>
      <c r="J207" s="7">
        <f t="shared" si="36"/>
        <v>8.4046442931879385E-3</v>
      </c>
      <c r="K207" s="2"/>
      <c r="L207" s="6">
        <f t="shared" si="37"/>
        <v>1142.4300000000003</v>
      </c>
      <c r="M207" s="2"/>
      <c r="N207" s="7">
        <f t="shared" si="38"/>
        <v>3.3668595840693739E-2</v>
      </c>
      <c r="O207" s="11"/>
      <c r="P207" s="6">
        <v>106630.32</v>
      </c>
      <c r="Q207" s="2"/>
      <c r="R207" s="7">
        <f t="shared" si="39"/>
        <v>1.0954448370030647E-2</v>
      </c>
      <c r="S207" s="2"/>
      <c r="T207" s="6">
        <v>106654.36</v>
      </c>
      <c r="U207" s="2"/>
      <c r="V207" s="7">
        <f t="shared" si="40"/>
        <v>1.062715899246933E-2</v>
      </c>
      <c r="W207" s="2"/>
      <c r="X207" s="6">
        <f t="shared" si="41"/>
        <v>-24.039999999993597</v>
      </c>
      <c r="Y207" s="2"/>
      <c r="Z207" s="7">
        <f t="shared" si="42"/>
        <v>-2.254010056409658E-4</v>
      </c>
    </row>
    <row r="208" spans="1:26" s="24" customFormat="1" hidden="1" outlineLevel="2" x14ac:dyDescent="0.25">
      <c r="A208" s="28"/>
      <c r="B208" s="11" t="str">
        <f>CONCATENATE("          ", "6002", " - ", "STAFF SALARIES")</f>
        <v xml:space="preserve">          6002 - STAFF SALARIES</v>
      </c>
      <c r="C208" s="11"/>
      <c r="D208" s="6">
        <v>177558.41999999998</v>
      </c>
      <c r="E208" s="2"/>
      <c r="F208" s="7">
        <f t="shared" si="35"/>
        <v>4.4292521661277603E-2</v>
      </c>
      <c r="G208" s="2"/>
      <c r="H208" s="6">
        <v>160023.18</v>
      </c>
      <c r="I208" s="2"/>
      <c r="J208" s="7">
        <f t="shared" si="36"/>
        <v>3.9636713677825765E-2</v>
      </c>
      <c r="K208" s="2"/>
      <c r="L208" s="6">
        <f t="shared" si="37"/>
        <v>17535.239999999991</v>
      </c>
      <c r="M208" s="2"/>
      <c r="N208" s="7">
        <f t="shared" si="38"/>
        <v>0.10957937468809201</v>
      </c>
      <c r="O208" s="11"/>
      <c r="P208" s="6">
        <v>542062.06999999995</v>
      </c>
      <c r="Q208" s="2"/>
      <c r="R208" s="7">
        <f t="shared" si="39"/>
        <v>5.5687640805794615E-2</v>
      </c>
      <c r="S208" s="2"/>
      <c r="T208" s="6">
        <v>511679.03999999992</v>
      </c>
      <c r="U208" s="2"/>
      <c r="V208" s="7">
        <f t="shared" si="40"/>
        <v>5.0984268352405597E-2</v>
      </c>
      <c r="W208" s="2"/>
      <c r="X208" s="6">
        <f t="shared" si="41"/>
        <v>30383.030000000028</v>
      </c>
      <c r="Y208" s="2"/>
      <c r="Z208" s="7">
        <f t="shared" si="42"/>
        <v>5.9379078728728135E-2</v>
      </c>
    </row>
    <row r="209" spans="1:26" s="24" customFormat="1" hidden="1" outlineLevel="2" x14ac:dyDescent="0.25">
      <c r="A209" s="28"/>
      <c r="B209" s="11" t="str">
        <f>CONCATENATE("          ", "6004", " - ", "STAFF HOURLY")</f>
        <v xml:space="preserve">          6004 - STAFF HOURLY</v>
      </c>
      <c r="C209" s="11"/>
      <c r="D209" s="6">
        <v>84287.74</v>
      </c>
      <c r="E209" s="2"/>
      <c r="F209" s="7">
        <f t="shared" si="35"/>
        <v>2.1025849124643795E-2</v>
      </c>
      <c r="G209" s="2"/>
      <c r="H209" s="6">
        <v>83285.039999999994</v>
      </c>
      <c r="I209" s="2"/>
      <c r="J209" s="7">
        <f t="shared" si="36"/>
        <v>2.0629169374875977E-2</v>
      </c>
      <c r="K209" s="2"/>
      <c r="L209" s="6">
        <f t="shared" si="37"/>
        <v>1002.7000000000116</v>
      </c>
      <c r="M209" s="2"/>
      <c r="N209" s="7">
        <f t="shared" si="38"/>
        <v>1.2039377059793832E-2</v>
      </c>
      <c r="O209" s="11"/>
      <c r="P209" s="6">
        <v>205806.9</v>
      </c>
      <c r="Q209" s="2"/>
      <c r="R209" s="7">
        <f t="shared" si="39"/>
        <v>2.1143151968840194E-2</v>
      </c>
      <c r="S209" s="2"/>
      <c r="T209" s="6">
        <v>221372.94999999998</v>
      </c>
      <c r="U209" s="2"/>
      <c r="V209" s="7">
        <f t="shared" si="40"/>
        <v>2.2057846826721038E-2</v>
      </c>
      <c r="W209" s="2"/>
      <c r="X209" s="6">
        <f t="shared" si="41"/>
        <v>-15566.049999999988</v>
      </c>
      <c r="Y209" s="2"/>
      <c r="Z209" s="7">
        <f t="shared" si="42"/>
        <v>-7.0315953236382261E-2</v>
      </c>
    </row>
    <row r="210" spans="1:26" s="24" customFormat="1" hidden="1" outlineLevel="2" x14ac:dyDescent="0.25">
      <c r="A210" s="28"/>
      <c r="B210" s="11" t="str">
        <f>CONCATENATE("          ", "6005", " - ", "TEMPORARY WAGES-HOURLY")</f>
        <v xml:space="preserve">          6005 - TEMPORARY WAGES-HOURLY</v>
      </c>
      <c r="C210" s="11"/>
      <c r="D210" s="6">
        <v>140603.4</v>
      </c>
      <c r="E210" s="2"/>
      <c r="F210" s="7">
        <f t="shared" si="35"/>
        <v>3.507397249958228E-2</v>
      </c>
      <c r="G210" s="2"/>
      <c r="H210" s="6">
        <v>117244.69</v>
      </c>
      <c r="I210" s="2"/>
      <c r="J210" s="7">
        <f t="shared" si="36"/>
        <v>2.9040756518995823E-2</v>
      </c>
      <c r="K210" s="2"/>
      <c r="L210" s="6">
        <f t="shared" si="37"/>
        <v>23358.709999999992</v>
      </c>
      <c r="M210" s="2"/>
      <c r="N210" s="7">
        <f t="shared" si="38"/>
        <v>0.19923042996659374</v>
      </c>
      <c r="O210" s="11"/>
      <c r="P210" s="6">
        <v>330390.83999999997</v>
      </c>
      <c r="Q210" s="2"/>
      <c r="R210" s="7">
        <f t="shared" si="39"/>
        <v>3.3942028859249934E-2</v>
      </c>
      <c r="S210" s="2"/>
      <c r="T210" s="6">
        <v>269552.8</v>
      </c>
      <c r="U210" s="2"/>
      <c r="V210" s="7">
        <f t="shared" si="40"/>
        <v>2.6858540639738374E-2</v>
      </c>
      <c r="W210" s="2"/>
      <c r="X210" s="6">
        <f t="shared" si="41"/>
        <v>60838.039999999979</v>
      </c>
      <c r="Y210" s="2"/>
      <c r="Z210" s="7">
        <f t="shared" si="42"/>
        <v>0.22569989998248946</v>
      </c>
    </row>
    <row r="211" spans="1:26" s="24" customFormat="1" hidden="1" outlineLevel="2" x14ac:dyDescent="0.25">
      <c r="A211" s="28"/>
      <c r="B211" s="11" t="str">
        <f>CONCATENATE("          ", "6006", " - ", "TEMPORARY PART TIME")</f>
        <v xml:space="preserve">          6006 - TEMPORARY PART TIME</v>
      </c>
      <c r="C211" s="11"/>
      <c r="D211" s="6">
        <v>18360.919999999998</v>
      </c>
      <c r="E211" s="2"/>
      <c r="F211" s="7">
        <f t="shared" si="35"/>
        <v>4.5801908285790401E-3</v>
      </c>
      <c r="G211" s="2"/>
      <c r="H211" s="6">
        <v>18827.400000000001</v>
      </c>
      <c r="I211" s="2"/>
      <c r="J211" s="7">
        <f t="shared" si="36"/>
        <v>4.6634260305156846E-3</v>
      </c>
      <c r="K211" s="2"/>
      <c r="L211" s="6">
        <f t="shared" si="37"/>
        <v>-466.4800000000032</v>
      </c>
      <c r="M211" s="2"/>
      <c r="N211" s="7">
        <f t="shared" si="38"/>
        <v>-2.4776655300254052E-2</v>
      </c>
      <c r="O211" s="11"/>
      <c r="P211" s="6">
        <v>46446.89</v>
      </c>
      <c r="Q211" s="2"/>
      <c r="R211" s="7">
        <f t="shared" si="39"/>
        <v>4.77162647972446E-3</v>
      </c>
      <c r="S211" s="2"/>
      <c r="T211" s="6">
        <v>48144.140000000007</v>
      </c>
      <c r="U211" s="2"/>
      <c r="V211" s="7">
        <f t="shared" si="40"/>
        <v>4.7971356289203976E-3</v>
      </c>
      <c r="W211" s="2"/>
      <c r="X211" s="6">
        <f t="shared" si="41"/>
        <v>-1697.2500000000073</v>
      </c>
      <c r="Y211" s="2"/>
      <c r="Z211" s="7">
        <f t="shared" si="42"/>
        <v>-3.5253511642330863E-2</v>
      </c>
    </row>
    <row r="212" spans="1:26" s="24" customFormat="1" hidden="1" outlineLevel="2" x14ac:dyDescent="0.25">
      <c r="A212" s="28"/>
      <c r="B212" s="11" t="str">
        <f>CONCATENATE("          ", "6007", " - ", "STUDENT HOURLY")</f>
        <v xml:space="preserve">          6007 - STUDENT HOURLY</v>
      </c>
      <c r="C212" s="11"/>
      <c r="D212" s="6">
        <v>305295.46999999997</v>
      </c>
      <c r="E212" s="2"/>
      <c r="F212" s="7">
        <f t="shared" si="35"/>
        <v>7.6156941574862663E-2</v>
      </c>
      <c r="G212" s="2"/>
      <c r="H212" s="6">
        <v>256472.67</v>
      </c>
      <c r="I212" s="2"/>
      <c r="J212" s="7">
        <f t="shared" si="36"/>
        <v>6.3526632747690021E-2</v>
      </c>
      <c r="K212" s="2"/>
      <c r="L212" s="6">
        <f t="shared" si="37"/>
        <v>48822.799999999959</v>
      </c>
      <c r="M212" s="2"/>
      <c r="N212" s="7">
        <f t="shared" si="38"/>
        <v>0.1903625832725177</v>
      </c>
      <c r="O212" s="11"/>
      <c r="P212" s="6">
        <v>770862.02</v>
      </c>
      <c r="Q212" s="2"/>
      <c r="R212" s="7">
        <f t="shared" si="39"/>
        <v>7.9192936854241197E-2</v>
      </c>
      <c r="S212" s="2"/>
      <c r="T212" s="6">
        <v>680522.55999999994</v>
      </c>
      <c r="U212" s="2"/>
      <c r="V212" s="7">
        <f t="shared" si="40"/>
        <v>6.7808024379708898E-2</v>
      </c>
      <c r="W212" s="2"/>
      <c r="X212" s="6">
        <f t="shared" si="41"/>
        <v>90339.460000000079</v>
      </c>
      <c r="Y212" s="2"/>
      <c r="Z212" s="7">
        <f t="shared" si="42"/>
        <v>0.13275013248642351</v>
      </c>
    </row>
    <row r="213" spans="1:26" s="24" customFormat="1" hidden="1" outlineLevel="2" x14ac:dyDescent="0.25">
      <c r="A213" s="28"/>
      <c r="B213" s="11" t="str">
        <f>CONCATENATE("          ", "6008", " - ", "STUDENT HOURLY-FICA EXEMPT")</f>
        <v xml:space="preserve">          6008 - STUDENT HOURLY-FICA EXEMPT</v>
      </c>
      <c r="C213" s="11"/>
      <c r="D213" s="6">
        <v>32630.63</v>
      </c>
      <c r="E213" s="2"/>
      <c r="F213" s="7">
        <f t="shared" si="35"/>
        <v>8.1398161016308611E-3</v>
      </c>
      <c r="G213" s="2"/>
      <c r="H213" s="6">
        <v>32812.22</v>
      </c>
      <c r="I213" s="2"/>
      <c r="J213" s="7">
        <f t="shared" si="36"/>
        <v>8.1273761043483099E-3</v>
      </c>
      <c r="K213" s="2"/>
      <c r="L213" s="6">
        <f t="shared" si="37"/>
        <v>-181.59000000000015</v>
      </c>
      <c r="M213" s="2"/>
      <c r="N213" s="7">
        <f t="shared" si="38"/>
        <v>-5.5342186539039462E-3</v>
      </c>
      <c r="O213" s="11"/>
      <c r="P213" s="6">
        <v>62267.33</v>
      </c>
      <c r="Q213" s="2"/>
      <c r="R213" s="7">
        <f t="shared" si="39"/>
        <v>6.3969071050772458E-3</v>
      </c>
      <c r="S213" s="2"/>
      <c r="T213" s="6">
        <v>59705.539999999994</v>
      </c>
      <c r="U213" s="2"/>
      <c r="V213" s="7">
        <f t="shared" si="40"/>
        <v>5.94912637712361E-3</v>
      </c>
      <c r="W213" s="2"/>
      <c r="X213" s="6">
        <f t="shared" si="41"/>
        <v>2561.7900000000081</v>
      </c>
      <c r="Y213" s="2"/>
      <c r="Z213" s="7">
        <f t="shared" si="42"/>
        <v>4.2907073614944419E-2</v>
      </c>
    </row>
    <row r="214" spans="1:26" s="29" customFormat="1" outlineLevel="1" collapsed="1" x14ac:dyDescent="0.25">
      <c r="A214" s="27"/>
      <c r="B214" s="14" t="str">
        <f>CONCATENATE("     ","Advertising/Promo                                 ")</f>
        <v xml:space="preserve">     Advertising/Promo                                 </v>
      </c>
      <c r="C214" s="14"/>
      <c r="D214" s="1">
        <f>SUM(OSRRefD22_2x_0)</f>
        <v>1492.68</v>
      </c>
      <c r="E214" s="1"/>
      <c r="F214" s="5">
        <f t="shared" ref="F214:F223" si="43">IF(D$12=0,0,D214/D$12)</f>
        <v>3.7235384969834637E-4</v>
      </c>
      <c r="G214" s="1"/>
      <c r="H214" s="1">
        <f>SUM(OSRRefH22_2x_0)</f>
        <v>11672.71</v>
      </c>
      <c r="I214" s="1"/>
      <c r="J214" s="5">
        <f t="shared" ref="J214:J223" si="44">IF(H$12=0,0,H214/H$12)</f>
        <v>2.8912552801056294E-3</v>
      </c>
      <c r="K214" s="1"/>
      <c r="L214" s="1">
        <f t="shared" ref="L214:L223" si="45">+D214-H214</f>
        <v>-10180.029999999999</v>
      </c>
      <c r="M214" s="1"/>
      <c r="N214" s="5">
        <f t="shared" ref="N214:N223" si="46">IF(H214=0,0,L214/H214)</f>
        <v>-0.87212224067932809</v>
      </c>
      <c r="O214" s="14"/>
      <c r="P214" s="1">
        <f>SUM(OSRRefP22_2x_0)</f>
        <v>21984.09</v>
      </c>
      <c r="Q214" s="1"/>
      <c r="R214" s="5">
        <f t="shared" ref="R214:R223" si="47">IF(P$12=0,0,P214/P$12)</f>
        <v>2.2584906325621738E-3</v>
      </c>
      <c r="S214" s="1"/>
      <c r="T214" s="1">
        <f>SUM(OSRRefT22_2x_0)</f>
        <v>31162.670000000002</v>
      </c>
      <c r="U214" s="1"/>
      <c r="V214" s="5">
        <f t="shared" ref="V214:V223" si="48">IF(T$12=0,0,T214/T$12)</f>
        <v>3.1050830807090703E-3</v>
      </c>
      <c r="W214" s="1"/>
      <c r="X214" s="1">
        <f t="shared" ref="X214:X223" si="49">+P214-T214</f>
        <v>-9178.5800000000017</v>
      </c>
      <c r="Y214" s="1"/>
      <c r="Z214" s="5">
        <f t="shared" ref="Z214:Z223" si="50">IF(T214=0,0,X214/T214)</f>
        <v>-0.29453766317199398</v>
      </c>
    </row>
    <row r="215" spans="1:26" s="24" customFormat="1" hidden="1" outlineLevel="2" x14ac:dyDescent="0.25">
      <c r="A215" s="28"/>
      <c r="B215" s="11" t="str">
        <f>CONCATENATE("          ", "6362", " - ", "ADVERTISING EXPENSE")</f>
        <v xml:space="preserve">          6362 - ADVERTISING EXPENSE</v>
      </c>
      <c r="C215" s="11"/>
      <c r="D215" s="6">
        <v>1492.68</v>
      </c>
      <c r="E215" s="2"/>
      <c r="F215" s="7">
        <f t="shared" si="43"/>
        <v>3.7235384969834637E-4</v>
      </c>
      <c r="G215" s="2"/>
      <c r="H215" s="6">
        <v>11672.71</v>
      </c>
      <c r="I215" s="2"/>
      <c r="J215" s="7">
        <f t="shared" si="44"/>
        <v>2.8912552801056294E-3</v>
      </c>
      <c r="K215" s="2"/>
      <c r="L215" s="6">
        <f t="shared" si="45"/>
        <v>-10180.029999999999</v>
      </c>
      <c r="M215" s="2"/>
      <c r="N215" s="7">
        <f t="shared" si="46"/>
        <v>-0.87212224067932809</v>
      </c>
      <c r="O215" s="11"/>
      <c r="P215" s="6">
        <v>21984.09</v>
      </c>
      <c r="Q215" s="2"/>
      <c r="R215" s="7">
        <f t="shared" si="47"/>
        <v>2.2584906325621738E-3</v>
      </c>
      <c r="S215" s="2"/>
      <c r="T215" s="6">
        <v>31162.670000000002</v>
      </c>
      <c r="U215" s="2"/>
      <c r="V215" s="7">
        <f t="shared" si="48"/>
        <v>3.1050830807090703E-3</v>
      </c>
      <c r="W215" s="2"/>
      <c r="X215" s="6">
        <f t="shared" si="49"/>
        <v>-9178.5800000000017</v>
      </c>
      <c r="Y215" s="2"/>
      <c r="Z215" s="7">
        <f t="shared" si="50"/>
        <v>-0.29453766317199398</v>
      </c>
    </row>
    <row r="216" spans="1:26" s="29" customFormat="1" outlineLevel="1" collapsed="1" x14ac:dyDescent="0.25">
      <c r="A216" s="27"/>
      <c r="B216" s="14" t="str">
        <f>CONCATENATE("     ","Bad Debts/Over/Short                              ")</f>
        <v xml:space="preserve">     Bad Debts/Over/Short                              </v>
      </c>
      <c r="C216" s="14"/>
      <c r="D216" s="1">
        <f>SUM(OSRRefD22_3x_0)</f>
        <v>-231.3</v>
      </c>
      <c r="E216" s="1"/>
      <c r="F216" s="5">
        <f t="shared" si="43"/>
        <v>-5.7698532461899085E-5</v>
      </c>
      <c r="G216" s="1"/>
      <c r="H216" s="1">
        <f>SUM(OSRRefH22_3x_0)</f>
        <v>81.099999999999994</v>
      </c>
      <c r="I216" s="1"/>
      <c r="J216" s="5">
        <f t="shared" si="44"/>
        <v>2.0087949003836004E-5</v>
      </c>
      <c r="K216" s="1"/>
      <c r="L216" s="1">
        <f t="shared" si="45"/>
        <v>-312.39999999999998</v>
      </c>
      <c r="M216" s="1"/>
      <c r="N216" s="5">
        <f t="shared" si="46"/>
        <v>-3.8520345252774351</v>
      </c>
      <c r="O216" s="14"/>
      <c r="P216" s="1">
        <f>SUM(OSRRefP22_3x_0)</f>
        <v>-336.28</v>
      </c>
      <c r="Q216" s="1"/>
      <c r="R216" s="5">
        <f t="shared" si="47"/>
        <v>-3.454703969634439E-5</v>
      </c>
      <c r="S216" s="1"/>
      <c r="T216" s="1">
        <f>SUM(OSRRefT22_3x_0)</f>
        <v>286.37</v>
      </c>
      <c r="U216" s="1"/>
      <c r="V216" s="5">
        <f t="shared" si="48"/>
        <v>2.8534225142539342E-5</v>
      </c>
      <c r="W216" s="1"/>
      <c r="X216" s="1">
        <f t="shared" si="49"/>
        <v>-622.65</v>
      </c>
      <c r="Y216" s="1"/>
      <c r="Z216" s="5">
        <f t="shared" si="50"/>
        <v>-2.1742850158885356</v>
      </c>
    </row>
    <row r="217" spans="1:26" s="24" customFormat="1" hidden="1" outlineLevel="2" x14ac:dyDescent="0.25">
      <c r="A217" s="28"/>
      <c r="B217" s="11" t="str">
        <f>CONCATENATE("          ", "6272", " - ", "CASH (OVER/SHORT)")</f>
        <v xml:space="preserve">          6272 - CASH (OVER/SHORT)</v>
      </c>
      <c r="C217" s="11"/>
      <c r="D217" s="6">
        <v>-231.3</v>
      </c>
      <c r="E217" s="2"/>
      <c r="F217" s="7">
        <f t="shared" si="43"/>
        <v>-5.7698532461899085E-5</v>
      </c>
      <c r="G217" s="2"/>
      <c r="H217" s="6">
        <v>81.099999999999994</v>
      </c>
      <c r="I217" s="2"/>
      <c r="J217" s="7">
        <f t="shared" si="44"/>
        <v>2.0087949003836004E-5</v>
      </c>
      <c r="K217" s="2"/>
      <c r="L217" s="6">
        <f t="shared" si="45"/>
        <v>-312.39999999999998</v>
      </c>
      <c r="M217" s="2"/>
      <c r="N217" s="7">
        <f t="shared" si="46"/>
        <v>-3.8520345252774351</v>
      </c>
      <c r="O217" s="11"/>
      <c r="P217" s="6">
        <v>-336.28</v>
      </c>
      <c r="Q217" s="2"/>
      <c r="R217" s="7">
        <f t="shared" si="47"/>
        <v>-3.454703969634439E-5</v>
      </c>
      <c r="S217" s="2"/>
      <c r="T217" s="6">
        <v>286.37</v>
      </c>
      <c r="U217" s="2"/>
      <c r="V217" s="7">
        <f t="shared" si="48"/>
        <v>2.8534225142539342E-5</v>
      </c>
      <c r="W217" s="2"/>
      <c r="X217" s="6">
        <f t="shared" si="49"/>
        <v>-622.65</v>
      </c>
      <c r="Y217" s="2"/>
      <c r="Z217" s="7">
        <f t="shared" si="50"/>
        <v>-2.1742850158885356</v>
      </c>
    </row>
    <row r="218" spans="1:26" s="29" customFormat="1" outlineLevel="1" collapsed="1" x14ac:dyDescent="0.25">
      <c r="A218" s="27"/>
      <c r="B218" s="14" t="str">
        <f>CONCATENATE("     ","Bank/card Fees                                    ")</f>
        <v xml:space="preserve">     Bank/card Fees                                    </v>
      </c>
      <c r="C218" s="14"/>
      <c r="D218" s="1">
        <f>SUM(OSRRefD22_4x_0)</f>
        <v>59370.49</v>
      </c>
      <c r="E218" s="1"/>
      <c r="F218" s="5">
        <f t="shared" si="43"/>
        <v>1.4810160590332272E-2</v>
      </c>
      <c r="G218" s="1"/>
      <c r="H218" s="1">
        <f>SUM(OSRRefH22_4x_0)</f>
        <v>62347.80000000001</v>
      </c>
      <c r="I218" s="1"/>
      <c r="J218" s="5">
        <f t="shared" si="44"/>
        <v>1.544314953022647E-2</v>
      </c>
      <c r="K218" s="1"/>
      <c r="L218" s="1">
        <f t="shared" si="45"/>
        <v>-2977.3100000000122</v>
      </c>
      <c r="M218" s="1"/>
      <c r="N218" s="5">
        <f t="shared" si="46"/>
        <v>-4.7753248711261853E-2</v>
      </c>
      <c r="O218" s="14"/>
      <c r="P218" s="1">
        <f>SUM(OSRRefP22_4x_0)</f>
        <v>120854.33</v>
      </c>
      <c r="Q218" s="1"/>
      <c r="R218" s="5">
        <f t="shared" si="47"/>
        <v>1.2415723016489549E-2</v>
      </c>
      <c r="S218" s="1"/>
      <c r="T218" s="1">
        <f>SUM(OSRRefT22_4x_0)</f>
        <v>119057.83</v>
      </c>
      <c r="U218" s="1"/>
      <c r="V218" s="5">
        <f t="shared" si="48"/>
        <v>1.1863054531557686E-2</v>
      </c>
      <c r="W218" s="1"/>
      <c r="X218" s="1">
        <f t="shared" si="49"/>
        <v>1796.5</v>
      </c>
      <c r="Y218" s="1"/>
      <c r="Z218" s="5">
        <f t="shared" si="50"/>
        <v>1.5089305760066347E-2</v>
      </c>
    </row>
    <row r="219" spans="1:26" s="24" customFormat="1" hidden="1" outlineLevel="2" x14ac:dyDescent="0.25">
      <c r="A219" s="28"/>
      <c r="B219" s="11" t="str">
        <f>CONCATENATE("          ", "6381", " - ", "BANK/CREDIT CARD FEES")</f>
        <v xml:space="preserve">          6381 - BANK/CREDIT CARD FEES</v>
      </c>
      <c r="C219" s="11"/>
      <c r="D219" s="6">
        <v>59370.49</v>
      </c>
      <c r="E219" s="2"/>
      <c r="F219" s="7">
        <f t="shared" si="43"/>
        <v>1.4810160590332272E-2</v>
      </c>
      <c r="G219" s="2"/>
      <c r="H219" s="6">
        <v>62347.80000000001</v>
      </c>
      <c r="I219" s="2"/>
      <c r="J219" s="7">
        <f t="shared" si="44"/>
        <v>1.544314953022647E-2</v>
      </c>
      <c r="K219" s="2"/>
      <c r="L219" s="6">
        <f t="shared" si="45"/>
        <v>-2977.3100000000122</v>
      </c>
      <c r="M219" s="2"/>
      <c r="N219" s="7">
        <f t="shared" si="46"/>
        <v>-4.7753248711261853E-2</v>
      </c>
      <c r="O219" s="11"/>
      <c r="P219" s="6">
        <v>120854.33</v>
      </c>
      <c r="Q219" s="2"/>
      <c r="R219" s="7">
        <f t="shared" si="47"/>
        <v>1.2415723016489549E-2</v>
      </c>
      <c r="S219" s="2"/>
      <c r="T219" s="6">
        <v>119057.83</v>
      </c>
      <c r="U219" s="2"/>
      <c r="V219" s="7">
        <f t="shared" si="48"/>
        <v>1.1863054531557686E-2</v>
      </c>
      <c r="W219" s="2"/>
      <c r="X219" s="6">
        <f t="shared" si="49"/>
        <v>1796.5</v>
      </c>
      <c r="Y219" s="2"/>
      <c r="Z219" s="7">
        <f t="shared" si="50"/>
        <v>1.5089305760066347E-2</v>
      </c>
    </row>
    <row r="220" spans="1:26" s="29" customFormat="1" outlineLevel="1" collapsed="1" x14ac:dyDescent="0.25">
      <c r="A220" s="27"/>
      <c r="B220" s="14" t="str">
        <f>CONCATENATE("     ","Depreciation                                      ")</f>
        <v xml:space="preserve">     Depreciation                                      </v>
      </c>
      <c r="C220" s="14"/>
      <c r="D220" s="1">
        <f>SUM(OSRRefD22_5x_0)</f>
        <v>77862.400000000009</v>
      </c>
      <c r="E220" s="1"/>
      <c r="F220" s="5">
        <f t="shared" si="43"/>
        <v>1.9423027297714533E-2</v>
      </c>
      <c r="G220" s="1"/>
      <c r="H220" s="1">
        <f>SUM(OSRRefH22_5x_0)</f>
        <v>79743.8</v>
      </c>
      <c r="I220" s="1"/>
      <c r="J220" s="5">
        <f t="shared" si="44"/>
        <v>1.9752026976228083E-2</v>
      </c>
      <c r="K220" s="1"/>
      <c r="L220" s="1">
        <f t="shared" si="45"/>
        <v>-1881.3999999999942</v>
      </c>
      <c r="M220" s="1"/>
      <c r="N220" s="5">
        <f t="shared" si="46"/>
        <v>-2.3593056764287558E-2</v>
      </c>
      <c r="O220" s="14"/>
      <c r="P220" s="1">
        <f>SUM(OSRRefP22_5x_0)</f>
        <v>233587.20000000001</v>
      </c>
      <c r="Q220" s="1"/>
      <c r="R220" s="5">
        <f t="shared" si="47"/>
        <v>2.3997104409890384E-2</v>
      </c>
      <c r="S220" s="1"/>
      <c r="T220" s="1">
        <f>SUM(OSRRefT22_5x_0)</f>
        <v>239231.4</v>
      </c>
      <c r="U220" s="1"/>
      <c r="V220" s="5">
        <f t="shared" si="48"/>
        <v>2.3837282637025128E-2</v>
      </c>
      <c r="W220" s="1"/>
      <c r="X220" s="1">
        <f t="shared" si="49"/>
        <v>-5644.1999999999825</v>
      </c>
      <c r="Y220" s="1"/>
      <c r="Z220" s="5">
        <f t="shared" si="50"/>
        <v>-2.3593056764287558E-2</v>
      </c>
    </row>
    <row r="221" spans="1:26" s="24" customFormat="1" hidden="1" outlineLevel="2" x14ac:dyDescent="0.25">
      <c r="A221" s="28"/>
      <c r="B221" s="11" t="str">
        <f>CONCATENATE("          ", "6321", " - ", "BUILDING DEPRECIATION")</f>
        <v xml:space="preserve">          6321 - BUILDING DEPRECIATION</v>
      </c>
      <c r="C221" s="11"/>
      <c r="D221" s="6">
        <v>45519.990000000005</v>
      </c>
      <c r="E221" s="2"/>
      <c r="F221" s="7">
        <f t="shared" si="43"/>
        <v>1.1355108606486475E-2</v>
      </c>
      <c r="G221" s="2"/>
      <c r="H221" s="6">
        <v>49375.020000000004</v>
      </c>
      <c r="I221" s="2"/>
      <c r="J221" s="7">
        <f t="shared" si="44"/>
        <v>1.2229875262927039E-2</v>
      </c>
      <c r="K221" s="2"/>
      <c r="L221" s="6">
        <f t="shared" si="45"/>
        <v>-3855.0299999999988</v>
      </c>
      <c r="M221" s="2"/>
      <c r="N221" s="7">
        <f t="shared" si="46"/>
        <v>-7.8076525336090968E-2</v>
      </c>
      <c r="O221" s="11"/>
      <c r="P221" s="6">
        <v>136559.97</v>
      </c>
      <c r="Q221" s="2"/>
      <c r="R221" s="7">
        <f t="shared" si="47"/>
        <v>1.4029209898065897E-2</v>
      </c>
      <c r="S221" s="2"/>
      <c r="T221" s="6">
        <v>148125.06</v>
      </c>
      <c r="U221" s="2"/>
      <c r="V221" s="7">
        <f t="shared" si="48"/>
        <v>1.4759345641275791E-2</v>
      </c>
      <c r="W221" s="2"/>
      <c r="X221" s="6">
        <f t="shared" si="49"/>
        <v>-11565.089999999997</v>
      </c>
      <c r="Y221" s="2"/>
      <c r="Z221" s="7">
        <f t="shared" si="50"/>
        <v>-7.8076525336090982E-2</v>
      </c>
    </row>
    <row r="222" spans="1:26" s="24" customFormat="1" hidden="1" outlineLevel="2" x14ac:dyDescent="0.25">
      <c r="A222" s="28"/>
      <c r="B222" s="11" t="str">
        <f>CONCATENATE("          ", "6322", " - ", "EQUIPMENT DEPRECIATION EXPENSE")</f>
        <v xml:space="preserve">          6322 - EQUIPMENT DEPRECIATION EXPENSE</v>
      </c>
      <c r="C222" s="11"/>
      <c r="D222" s="6">
        <v>31918.16</v>
      </c>
      <c r="E222" s="2"/>
      <c r="F222" s="7">
        <f t="shared" si="43"/>
        <v>7.9620881577349267E-3</v>
      </c>
      <c r="G222" s="2"/>
      <c r="H222" s="6">
        <v>29944.53</v>
      </c>
      <c r="I222" s="2"/>
      <c r="J222" s="7">
        <f t="shared" si="44"/>
        <v>7.4170677137341224E-3</v>
      </c>
      <c r="K222" s="2"/>
      <c r="L222" s="6">
        <f t="shared" si="45"/>
        <v>1973.630000000001</v>
      </c>
      <c r="M222" s="2"/>
      <c r="N222" s="7">
        <f t="shared" si="46"/>
        <v>6.5909533393912048E-2</v>
      </c>
      <c r="O222" s="11"/>
      <c r="P222" s="6">
        <v>95754.48</v>
      </c>
      <c r="Q222" s="2"/>
      <c r="R222" s="7">
        <f t="shared" si="47"/>
        <v>9.8371411373344101E-3</v>
      </c>
      <c r="S222" s="2"/>
      <c r="T222" s="6">
        <v>89833.59</v>
      </c>
      <c r="U222" s="2"/>
      <c r="V222" s="7">
        <f t="shared" si="48"/>
        <v>8.9511187708997825E-3</v>
      </c>
      <c r="W222" s="2"/>
      <c r="X222" s="6">
        <f t="shared" si="49"/>
        <v>5920.8899999999994</v>
      </c>
      <c r="Y222" s="2"/>
      <c r="Z222" s="7">
        <f t="shared" si="50"/>
        <v>6.5909533393912006E-2</v>
      </c>
    </row>
    <row r="223" spans="1:26" s="24" customFormat="1" hidden="1" outlineLevel="2" x14ac:dyDescent="0.25">
      <c r="A223" s="28"/>
      <c r="B223" s="11" t="str">
        <f>CONCATENATE("          ", "6326", " - ", "VEHICLES DEPRECIATION EXPENSE")</f>
        <v xml:space="preserve">          6326 - VEHICLES DEPRECIATION EXPENSE</v>
      </c>
      <c r="C223" s="11"/>
      <c r="D223" s="6">
        <v>424.25</v>
      </c>
      <c r="E223" s="2"/>
      <c r="F223" s="7">
        <f t="shared" si="43"/>
        <v>1.0583053349312876E-4</v>
      </c>
      <c r="G223" s="2"/>
      <c r="H223" s="6">
        <v>424.25</v>
      </c>
      <c r="I223" s="2"/>
      <c r="J223" s="7">
        <f t="shared" si="44"/>
        <v>1.0508399956692262E-4</v>
      </c>
      <c r="K223" s="2"/>
      <c r="L223" s="6">
        <f t="shared" si="45"/>
        <v>0</v>
      </c>
      <c r="M223" s="2"/>
      <c r="N223" s="7">
        <f t="shared" si="46"/>
        <v>0</v>
      </c>
      <c r="O223" s="11"/>
      <c r="P223" s="6">
        <v>1272.75</v>
      </c>
      <c r="Q223" s="2"/>
      <c r="R223" s="7">
        <f t="shared" si="47"/>
        <v>1.3075337449007472E-4</v>
      </c>
      <c r="S223" s="2"/>
      <c r="T223" s="6">
        <v>1272.75</v>
      </c>
      <c r="U223" s="2"/>
      <c r="V223" s="7">
        <f t="shared" si="48"/>
        <v>1.2681822484955459E-4</v>
      </c>
      <c r="W223" s="2"/>
      <c r="X223" s="6">
        <f t="shared" si="49"/>
        <v>0</v>
      </c>
      <c r="Y223" s="2"/>
      <c r="Z223" s="7">
        <f t="shared" si="50"/>
        <v>0</v>
      </c>
    </row>
    <row r="224" spans="1:26" s="29" customFormat="1" outlineLevel="1" collapsed="1" x14ac:dyDescent="0.25">
      <c r="A224" s="27"/>
      <c r="B224" s="14" t="str">
        <f>CONCATENATE("     ","Discounts and Markdowns                           ")</f>
        <v xml:space="preserve">     Discounts and Markdowns                           </v>
      </c>
      <c r="C224" s="14"/>
      <c r="D224" s="1">
        <f>SUM(OSRRefD22_6x_0)</f>
        <v>1937.4800000000002</v>
      </c>
      <c r="E224" s="1"/>
      <c r="F224" s="5">
        <f t="shared" ref="F224:F226" si="51">IF(D$12=0,0,D224/D$12)</f>
        <v>4.8331064710021719E-4</v>
      </c>
      <c r="G224" s="1"/>
      <c r="H224" s="1">
        <f>SUM(OSRRefH22_6x_0)</f>
        <v>34856.269999999997</v>
      </c>
      <c r="I224" s="1"/>
      <c r="J224" s="5">
        <f t="shared" ref="J224:J226" si="52">IF(H$12=0,0,H224/H$12)</f>
        <v>8.6336741581250157E-3</v>
      </c>
      <c r="K224" s="1"/>
      <c r="L224" s="1">
        <f t="shared" ref="L224:L226" si="53">+D224-H224</f>
        <v>-32918.789999999994</v>
      </c>
      <c r="M224" s="1"/>
      <c r="N224" s="5">
        <f t="shared" ref="N224:N226" si="54">IF(H224=0,0,L224/H224)</f>
        <v>-0.9444151654781191</v>
      </c>
      <c r="O224" s="14"/>
      <c r="P224" s="1">
        <f>SUM(OSRRefP22_6x_0)</f>
        <v>131060.15000000001</v>
      </c>
      <c r="Q224" s="1"/>
      <c r="R224" s="5">
        <f t="shared" ref="R224:R226" si="55">IF(P$12=0,0,P224/P$12)</f>
        <v>1.3464197111510798E-2</v>
      </c>
      <c r="S224" s="1"/>
      <c r="T224" s="1">
        <f>SUM(OSRRefT22_6x_0)</f>
        <v>140481.41999999998</v>
      </c>
      <c r="U224" s="1"/>
      <c r="V224" s="5">
        <f t="shared" ref="V224:V226" si="56">IF(T$12=0,0,T224/T$12)</f>
        <v>1.3997724854641298E-2</v>
      </c>
      <c r="W224" s="1"/>
      <c r="X224" s="1">
        <f t="shared" ref="X224:X226" si="57">+P224-T224</f>
        <v>-9421.269999999975</v>
      </c>
      <c r="Y224" s="1"/>
      <c r="Z224" s="5">
        <f t="shared" ref="Z224:Z226" si="58">IF(T224=0,0,X224/T224)</f>
        <v>-6.7064171190752309E-2</v>
      </c>
    </row>
    <row r="225" spans="1:26" s="24" customFormat="1" hidden="1" outlineLevel="2" x14ac:dyDescent="0.25">
      <c r="A225" s="28"/>
      <c r="B225" s="11" t="str">
        <f>CONCATENATE("          ", "6382", " - ", "DISCOUNTS/MARK DOWNS")</f>
        <v xml:space="preserve">          6382 - DISCOUNTS/MARK DOWNS</v>
      </c>
      <c r="C225" s="11"/>
      <c r="D225" s="6">
        <v>2335.7800000000002</v>
      </c>
      <c r="E225" s="2"/>
      <c r="F225" s="7">
        <f t="shared" si="51"/>
        <v>5.8266786923413165E-4</v>
      </c>
      <c r="G225" s="2"/>
      <c r="H225" s="6">
        <v>35934.5</v>
      </c>
      <c r="I225" s="2"/>
      <c r="J225" s="7">
        <f t="shared" si="52"/>
        <v>8.9007448024456832E-3</v>
      </c>
      <c r="K225" s="2"/>
      <c r="L225" s="6">
        <f t="shared" si="53"/>
        <v>-33598.720000000001</v>
      </c>
      <c r="M225" s="2"/>
      <c r="N225" s="7">
        <f t="shared" si="54"/>
        <v>-0.93499895643462416</v>
      </c>
      <c r="O225" s="11"/>
      <c r="P225" s="6">
        <v>132708.01</v>
      </c>
      <c r="Q225" s="2"/>
      <c r="R225" s="7">
        <f t="shared" si="55"/>
        <v>1.3633486646523342E-2</v>
      </c>
      <c r="S225" s="2"/>
      <c r="T225" s="6">
        <v>142960.28999999998</v>
      </c>
      <c r="U225" s="2"/>
      <c r="V225" s="7">
        <f t="shared" si="56"/>
        <v>1.4244722217071324E-2</v>
      </c>
      <c r="W225" s="2"/>
      <c r="X225" s="6">
        <f t="shared" si="57"/>
        <v>-10252.27999999997</v>
      </c>
      <c r="Y225" s="2"/>
      <c r="Z225" s="7">
        <f t="shared" si="58"/>
        <v>-7.1714180210462442E-2</v>
      </c>
    </row>
    <row r="226" spans="1:26" s="24" customFormat="1" hidden="1" outlineLevel="2" x14ac:dyDescent="0.25">
      <c r="A226" s="28"/>
      <c r="B226" s="11" t="str">
        <f>CONCATENATE("          ", "9175", " - ", "EARNED DISCOUNTS")</f>
        <v xml:space="preserve">          9175 - EARNED DISCOUNTS</v>
      </c>
      <c r="C226" s="11"/>
      <c r="D226" s="6">
        <v>-398.3</v>
      </c>
      <c r="E226" s="2"/>
      <c r="F226" s="7">
        <f t="shared" si="51"/>
        <v>-9.9357222133914416E-5</v>
      </c>
      <c r="G226" s="2"/>
      <c r="H226" s="6">
        <v>-1078.23</v>
      </c>
      <c r="I226" s="2"/>
      <c r="J226" s="7">
        <f t="shared" si="52"/>
        <v>-2.6707064432066703E-4</v>
      </c>
      <c r="K226" s="2"/>
      <c r="L226" s="6">
        <f t="shared" si="53"/>
        <v>679.93000000000006</v>
      </c>
      <c r="M226" s="2"/>
      <c r="N226" s="7">
        <f t="shared" si="54"/>
        <v>-0.63059829535442347</v>
      </c>
      <c r="O226" s="11"/>
      <c r="P226" s="6">
        <v>-1647.86</v>
      </c>
      <c r="Q226" s="2"/>
      <c r="R226" s="7">
        <f t="shared" si="55"/>
        <v>-1.6928953501254334E-4</v>
      </c>
      <c r="S226" s="2"/>
      <c r="T226" s="6">
        <v>-2478.87</v>
      </c>
      <c r="U226" s="2"/>
      <c r="V226" s="7">
        <f t="shared" si="56"/>
        <v>-2.4699736243002582E-4</v>
      </c>
      <c r="W226" s="2"/>
      <c r="X226" s="6">
        <f t="shared" si="57"/>
        <v>831.01</v>
      </c>
      <c r="Y226" s="2"/>
      <c r="Z226" s="7">
        <f t="shared" si="58"/>
        <v>-0.33523742673072815</v>
      </c>
    </row>
    <row r="227" spans="1:26" s="29" customFormat="1" outlineLevel="1" collapsed="1" x14ac:dyDescent="0.25">
      <c r="A227" s="27"/>
      <c r="B227" s="14" t="str">
        <f>CONCATENATE("     ","Donations                                         ")</f>
        <v xml:space="preserve">     Donations                                         </v>
      </c>
      <c r="C227" s="14"/>
      <c r="D227" s="1">
        <f>SUM(OSRRefD22_7x_0)</f>
        <v>20424.36</v>
      </c>
      <c r="E227" s="1"/>
      <c r="F227" s="5">
        <f t="shared" ref="F227:F235" si="59">IF(D$12=0,0,D227/D$12)</f>
        <v>5.0949226047276829E-3</v>
      </c>
      <c r="G227" s="1"/>
      <c r="H227" s="1">
        <f>SUM(OSRRefH22_7x_0)</f>
        <v>17718.609999999997</v>
      </c>
      <c r="I227" s="1"/>
      <c r="J227" s="5">
        <f t="shared" ref="J227:J235" si="60">IF(H$12=0,0,H227/H$12)</f>
        <v>4.3887858705161358E-3</v>
      </c>
      <c r="K227" s="1"/>
      <c r="L227" s="1">
        <f t="shared" ref="L227:L235" si="61">+D227-H227</f>
        <v>2705.7500000000036</v>
      </c>
      <c r="M227" s="1"/>
      <c r="N227" s="5">
        <f t="shared" ref="N227:N235" si="62">IF(H227=0,0,L227/H227)</f>
        <v>0.15270667394338519</v>
      </c>
      <c r="O227" s="14"/>
      <c r="P227" s="1">
        <f>SUM(OSRRefP22_7x_0)</f>
        <v>31822.09</v>
      </c>
      <c r="Q227" s="1"/>
      <c r="R227" s="5">
        <f t="shared" ref="R227:R235" si="63">IF(P$12=0,0,P227/P$12)</f>
        <v>3.26917749033735E-3</v>
      </c>
      <c r="S227" s="1"/>
      <c r="T227" s="1">
        <f>SUM(OSRRefT22_7x_0)</f>
        <v>26569.02</v>
      </c>
      <c r="U227" s="1"/>
      <c r="V227" s="5">
        <f t="shared" ref="V227:V235" si="64">IF(T$12=0,0,T227/T$12)</f>
        <v>2.6473666881888136E-3</v>
      </c>
      <c r="W227" s="1"/>
      <c r="X227" s="1">
        <f t="shared" ref="X227:X235" si="65">+P227-T227</f>
        <v>5253.07</v>
      </c>
      <c r="Y227" s="1"/>
      <c r="Z227" s="5">
        <f t="shared" ref="Z227:Z235" si="66">IF(T227=0,0,X227/T227)</f>
        <v>0.19771410462260181</v>
      </c>
    </row>
    <row r="228" spans="1:26" s="24" customFormat="1" hidden="1" outlineLevel="2" x14ac:dyDescent="0.25">
      <c r="A228" s="28"/>
      <c r="B228" s="11" t="str">
        <f>CONCATENATE("          ", "6399", " - ", "DONATION-ON CAMPUS")</f>
        <v xml:space="preserve">          6399 - DONATION-ON CAMPUS</v>
      </c>
      <c r="C228" s="11"/>
      <c r="D228" s="6">
        <v>20424.36</v>
      </c>
      <c r="E228" s="2"/>
      <c r="F228" s="7">
        <f t="shared" si="59"/>
        <v>5.0949226047276829E-3</v>
      </c>
      <c r="G228" s="2"/>
      <c r="H228" s="6">
        <v>17718.609999999997</v>
      </c>
      <c r="I228" s="2"/>
      <c r="J228" s="7">
        <f t="shared" si="60"/>
        <v>4.3887858705161358E-3</v>
      </c>
      <c r="K228" s="2"/>
      <c r="L228" s="6">
        <f t="shared" si="61"/>
        <v>2705.7500000000036</v>
      </c>
      <c r="M228" s="2"/>
      <c r="N228" s="7">
        <f t="shared" si="62"/>
        <v>0.15270667394338519</v>
      </c>
      <c r="O228" s="11"/>
      <c r="P228" s="6">
        <v>31822.09</v>
      </c>
      <c r="Q228" s="2"/>
      <c r="R228" s="7">
        <f t="shared" si="63"/>
        <v>3.26917749033735E-3</v>
      </c>
      <c r="S228" s="2"/>
      <c r="T228" s="6">
        <v>26569.02</v>
      </c>
      <c r="U228" s="2"/>
      <c r="V228" s="7">
        <f t="shared" si="64"/>
        <v>2.6473666881888136E-3</v>
      </c>
      <c r="W228" s="2"/>
      <c r="X228" s="6">
        <f t="shared" si="65"/>
        <v>5253.07</v>
      </c>
      <c r="Y228" s="2"/>
      <c r="Z228" s="7">
        <f t="shared" si="66"/>
        <v>0.19771410462260181</v>
      </c>
    </row>
    <row r="229" spans="1:26" s="29" customFormat="1" outlineLevel="1" collapsed="1" x14ac:dyDescent="0.25">
      <c r="A229" s="27"/>
      <c r="B229" s="14" t="str">
        <f>CONCATENATE("     ","Employees' Appreciation                           ")</f>
        <v xml:space="preserve">     Employees' Appreciation                           </v>
      </c>
      <c r="C229" s="14"/>
      <c r="D229" s="1">
        <f>SUM(OSRRefD22_8x_0)</f>
        <v>953.58</v>
      </c>
      <c r="E229" s="1"/>
      <c r="F229" s="5">
        <f t="shared" si="59"/>
        <v>2.3787361255952325E-4</v>
      </c>
      <c r="G229" s="1"/>
      <c r="H229" s="1">
        <f>SUM(OSRRefH22_8x_0)</f>
        <v>1117.95</v>
      </c>
      <c r="I229" s="1"/>
      <c r="J229" s="5">
        <f t="shared" si="60"/>
        <v>2.7690903315460497E-4</v>
      </c>
      <c r="K229" s="1"/>
      <c r="L229" s="1">
        <f t="shared" si="61"/>
        <v>-164.37</v>
      </c>
      <c r="M229" s="1"/>
      <c r="N229" s="5">
        <f t="shared" si="62"/>
        <v>-0.14702804239903394</v>
      </c>
      <c r="O229" s="14"/>
      <c r="P229" s="1">
        <f>SUM(OSRRefP22_8x_0)</f>
        <v>1917.23</v>
      </c>
      <c r="Q229" s="1"/>
      <c r="R229" s="5">
        <f t="shared" si="63"/>
        <v>1.9696271237368374E-4</v>
      </c>
      <c r="S229" s="1"/>
      <c r="T229" s="1">
        <f>SUM(OSRRefT22_8x_0)</f>
        <v>2391.75</v>
      </c>
      <c r="U229" s="1"/>
      <c r="V229" s="5">
        <f t="shared" si="64"/>
        <v>2.3831662878328201E-4</v>
      </c>
      <c r="W229" s="1"/>
      <c r="X229" s="1">
        <f t="shared" si="65"/>
        <v>-474.52</v>
      </c>
      <c r="Y229" s="1"/>
      <c r="Z229" s="5">
        <f t="shared" si="66"/>
        <v>-0.19839866206752377</v>
      </c>
    </row>
    <row r="230" spans="1:26" s="24" customFormat="1" hidden="1" outlineLevel="2" x14ac:dyDescent="0.25">
      <c r="A230" s="28"/>
      <c r="B230" s="11" t="str">
        <f>CONCATENATE("          ", "6277", " - ", "EMPLOYEE APPRECIATION")</f>
        <v xml:space="preserve">          6277 - EMPLOYEE APPRECIATION</v>
      </c>
      <c r="C230" s="11"/>
      <c r="D230" s="6">
        <v>953.58</v>
      </c>
      <c r="E230" s="2"/>
      <c r="F230" s="7">
        <f t="shared" si="59"/>
        <v>2.3787361255952325E-4</v>
      </c>
      <c r="G230" s="2"/>
      <c r="H230" s="6">
        <v>1117.95</v>
      </c>
      <c r="I230" s="2"/>
      <c r="J230" s="7">
        <f t="shared" si="60"/>
        <v>2.7690903315460497E-4</v>
      </c>
      <c r="K230" s="2"/>
      <c r="L230" s="6">
        <f t="shared" si="61"/>
        <v>-164.37</v>
      </c>
      <c r="M230" s="2"/>
      <c r="N230" s="7">
        <f t="shared" si="62"/>
        <v>-0.14702804239903394</v>
      </c>
      <c r="O230" s="11"/>
      <c r="P230" s="6">
        <v>1917.23</v>
      </c>
      <c r="Q230" s="2"/>
      <c r="R230" s="7">
        <f t="shared" si="63"/>
        <v>1.9696271237368374E-4</v>
      </c>
      <c r="S230" s="2"/>
      <c r="T230" s="6">
        <v>2391.75</v>
      </c>
      <c r="U230" s="2"/>
      <c r="V230" s="7">
        <f t="shared" si="64"/>
        <v>2.3831662878328201E-4</v>
      </c>
      <c r="W230" s="2"/>
      <c r="X230" s="6">
        <f t="shared" si="65"/>
        <v>-474.52</v>
      </c>
      <c r="Y230" s="2"/>
      <c r="Z230" s="7">
        <f t="shared" si="66"/>
        <v>-0.19839866206752377</v>
      </c>
    </row>
    <row r="231" spans="1:26" s="29" customFormat="1" outlineLevel="1" collapsed="1" x14ac:dyDescent="0.25">
      <c r="A231" s="27"/>
      <c r="B231" s="14" t="str">
        <f>CONCATENATE("     ","Equipment Rental                                  ")</f>
        <v xml:space="preserve">     Equipment Rental                                  </v>
      </c>
      <c r="C231" s="14"/>
      <c r="D231" s="1">
        <f>SUM(OSRRefD22_9x_0)</f>
        <v>2100.9499999999998</v>
      </c>
      <c r="E231" s="1"/>
      <c r="F231" s="5">
        <f t="shared" si="59"/>
        <v>5.2408876686479402E-4</v>
      </c>
      <c r="G231" s="1"/>
      <c r="H231" s="1">
        <f>SUM(OSRRefH22_9x_0)</f>
        <v>5552.08</v>
      </c>
      <c r="I231" s="1"/>
      <c r="J231" s="5">
        <f t="shared" si="60"/>
        <v>1.37521454876964E-3</v>
      </c>
      <c r="K231" s="1"/>
      <c r="L231" s="1">
        <f t="shared" si="61"/>
        <v>-3451.13</v>
      </c>
      <c r="M231" s="1"/>
      <c r="N231" s="5">
        <f t="shared" si="62"/>
        <v>-0.62159226812293777</v>
      </c>
      <c r="O231" s="14"/>
      <c r="P231" s="1">
        <f>SUM(OSRRefP22_9x_0)</f>
        <v>11853.94</v>
      </c>
      <c r="Q231" s="1"/>
      <c r="R231" s="5">
        <f t="shared" si="63"/>
        <v>1.2177903406033208E-3</v>
      </c>
      <c r="S231" s="1"/>
      <c r="T231" s="1">
        <f>SUM(OSRRefT22_9x_0)</f>
        <v>16363.489999999998</v>
      </c>
      <c r="U231" s="1"/>
      <c r="V231" s="5">
        <f t="shared" si="64"/>
        <v>1.6304763340353075E-3</v>
      </c>
      <c r="W231" s="1"/>
      <c r="X231" s="1">
        <f t="shared" si="65"/>
        <v>-4509.5499999999975</v>
      </c>
      <c r="Y231" s="1"/>
      <c r="Z231" s="5">
        <f t="shared" si="66"/>
        <v>-0.2755860760754581</v>
      </c>
    </row>
    <row r="232" spans="1:26" s="24" customFormat="1" hidden="1" outlineLevel="2" x14ac:dyDescent="0.25">
      <c r="A232" s="28"/>
      <c r="B232" s="11" t="str">
        <f>CONCATENATE("          ", "6351", " - ", "EQUIPMENT RENTAL")</f>
        <v xml:space="preserve">          6351 - EQUIPMENT RENTAL</v>
      </c>
      <c r="C232" s="11"/>
      <c r="D232" s="6">
        <v>2100.9499999999998</v>
      </c>
      <c r="E232" s="2"/>
      <c r="F232" s="7">
        <f t="shared" si="59"/>
        <v>5.2408876686479402E-4</v>
      </c>
      <c r="G232" s="2"/>
      <c r="H232" s="6">
        <v>5552.08</v>
      </c>
      <c r="I232" s="2"/>
      <c r="J232" s="7">
        <f t="shared" si="60"/>
        <v>1.37521454876964E-3</v>
      </c>
      <c r="K232" s="2"/>
      <c r="L232" s="6">
        <f t="shared" si="61"/>
        <v>-3451.13</v>
      </c>
      <c r="M232" s="2"/>
      <c r="N232" s="7">
        <f t="shared" si="62"/>
        <v>-0.62159226812293777</v>
      </c>
      <c r="O232" s="11"/>
      <c r="P232" s="6">
        <v>11853.94</v>
      </c>
      <c r="Q232" s="2"/>
      <c r="R232" s="7">
        <f t="shared" si="63"/>
        <v>1.2177903406033208E-3</v>
      </c>
      <c r="S232" s="2"/>
      <c r="T232" s="6">
        <v>16363.489999999998</v>
      </c>
      <c r="U232" s="2"/>
      <c r="V232" s="7">
        <f t="shared" si="64"/>
        <v>1.6304763340353075E-3</v>
      </c>
      <c r="W232" s="2"/>
      <c r="X232" s="6">
        <f t="shared" si="65"/>
        <v>-4509.5499999999975</v>
      </c>
      <c r="Y232" s="2"/>
      <c r="Z232" s="7">
        <f t="shared" si="66"/>
        <v>-0.2755860760754581</v>
      </c>
    </row>
    <row r="233" spans="1:26" s="29" customFormat="1" outlineLevel="1" collapsed="1" x14ac:dyDescent="0.25">
      <c r="A233" s="27"/>
      <c r="B233" s="14" t="str">
        <f>CONCATENATE("     ","Freight out/Postage                               ")</f>
        <v xml:space="preserve">     Freight out/Postage                               </v>
      </c>
      <c r="C233" s="14"/>
      <c r="D233" s="1">
        <f>SUM(OSRRefD22_10x_0)</f>
        <v>9459.39</v>
      </c>
      <c r="E233" s="1"/>
      <c r="F233" s="5">
        <f t="shared" si="59"/>
        <v>2.3596754041710485E-3</v>
      </c>
      <c r="G233" s="1"/>
      <c r="H233" s="1">
        <f>SUM(OSRRefH22_10x_0)</f>
        <v>9470.6</v>
      </c>
      <c r="I233" s="1"/>
      <c r="J233" s="5">
        <f t="shared" si="60"/>
        <v>2.3458067797253917E-3</v>
      </c>
      <c r="K233" s="1"/>
      <c r="L233" s="1">
        <f t="shared" si="61"/>
        <v>-11.210000000000946</v>
      </c>
      <c r="M233" s="1"/>
      <c r="N233" s="5">
        <f t="shared" si="62"/>
        <v>-1.1836631258844155E-3</v>
      </c>
      <c r="O233" s="14"/>
      <c r="P233" s="1">
        <f>SUM(OSRRefP22_10x_0)</f>
        <v>-5559.8000000000011</v>
      </c>
      <c r="Q233" s="1"/>
      <c r="R233" s="5">
        <f t="shared" si="63"/>
        <v>-5.7117470947940885E-4</v>
      </c>
      <c r="S233" s="1"/>
      <c r="T233" s="1">
        <f>SUM(OSRRefT22_10x_0)</f>
        <v>994.51000000000204</v>
      </c>
      <c r="U233" s="1"/>
      <c r="V233" s="5">
        <f t="shared" si="64"/>
        <v>9.9094081944710888E-5</v>
      </c>
      <c r="W233" s="1"/>
      <c r="X233" s="1">
        <f t="shared" si="65"/>
        <v>-6554.3100000000031</v>
      </c>
      <c r="Y233" s="1"/>
      <c r="Z233" s="5">
        <f t="shared" si="66"/>
        <v>-6.5904917999818906</v>
      </c>
    </row>
    <row r="234" spans="1:26" s="24" customFormat="1" hidden="1" outlineLevel="2" x14ac:dyDescent="0.25">
      <c r="A234" s="28"/>
      <c r="B234" s="11" t="str">
        <f>CONCATENATE("          ", "6305", " - ", "FREIGHT OUT")</f>
        <v xml:space="preserve">          6305 - FREIGHT OUT</v>
      </c>
      <c r="C234" s="11"/>
      <c r="D234" s="6">
        <v>10687.83</v>
      </c>
      <c r="E234" s="2"/>
      <c r="F234" s="7">
        <f t="shared" si="59"/>
        <v>2.6661137319596144E-3</v>
      </c>
      <c r="G234" s="2"/>
      <c r="H234" s="6">
        <v>13735.94</v>
      </c>
      <c r="I234" s="2"/>
      <c r="J234" s="7">
        <f t="shared" si="60"/>
        <v>3.4023040966677082E-3</v>
      </c>
      <c r="K234" s="2"/>
      <c r="L234" s="6">
        <f t="shared" si="61"/>
        <v>-3048.1100000000006</v>
      </c>
      <c r="M234" s="2"/>
      <c r="N234" s="7">
        <f t="shared" si="62"/>
        <v>-0.2219076379192105</v>
      </c>
      <c r="O234" s="11"/>
      <c r="P234" s="6">
        <v>15082.24</v>
      </c>
      <c r="Q234" s="2"/>
      <c r="R234" s="7">
        <f t="shared" si="63"/>
        <v>1.5494431544837435E-3</v>
      </c>
      <c r="S234" s="2"/>
      <c r="T234" s="6">
        <v>19418.79</v>
      </c>
      <c r="U234" s="2"/>
      <c r="V234" s="7">
        <f t="shared" si="64"/>
        <v>1.9349098224523923E-3</v>
      </c>
      <c r="W234" s="2"/>
      <c r="X234" s="6">
        <f t="shared" si="65"/>
        <v>-4336.5500000000011</v>
      </c>
      <c r="Y234" s="2"/>
      <c r="Z234" s="7">
        <f t="shared" si="66"/>
        <v>-0.22331720977465644</v>
      </c>
    </row>
    <row r="235" spans="1:26" s="24" customFormat="1" hidden="1" outlineLevel="2" x14ac:dyDescent="0.25">
      <c r="A235" s="28"/>
      <c r="B235" s="11" t="str">
        <f>CONCATENATE("          ", "6307", " - ", "POSTAGE")</f>
        <v xml:space="preserve">          6307 - POSTAGE</v>
      </c>
      <c r="C235" s="11"/>
      <c r="D235" s="6">
        <v>-1228.44</v>
      </c>
      <c r="E235" s="2"/>
      <c r="F235" s="7">
        <f t="shared" si="59"/>
        <v>-3.0643832778856595E-4</v>
      </c>
      <c r="G235" s="2"/>
      <c r="H235" s="6">
        <v>-4265.34</v>
      </c>
      <c r="I235" s="2"/>
      <c r="J235" s="7">
        <f t="shared" si="60"/>
        <v>-1.0564973169423166E-3</v>
      </c>
      <c r="K235" s="2"/>
      <c r="L235" s="6">
        <f t="shared" si="61"/>
        <v>3036.9</v>
      </c>
      <c r="M235" s="2"/>
      <c r="N235" s="7">
        <f t="shared" si="62"/>
        <v>-0.71199482339039799</v>
      </c>
      <c r="O235" s="11"/>
      <c r="P235" s="6">
        <v>-20642.04</v>
      </c>
      <c r="Q235" s="2"/>
      <c r="R235" s="7">
        <f t="shared" si="63"/>
        <v>-2.1206178639631523E-3</v>
      </c>
      <c r="S235" s="2"/>
      <c r="T235" s="6">
        <v>-18424.28</v>
      </c>
      <c r="U235" s="2"/>
      <c r="V235" s="7">
        <f t="shared" si="64"/>
        <v>-1.8358157405076812E-3</v>
      </c>
      <c r="W235" s="2"/>
      <c r="X235" s="6">
        <f t="shared" si="65"/>
        <v>-2217.760000000002</v>
      </c>
      <c r="Y235" s="2"/>
      <c r="Z235" s="7">
        <f t="shared" si="66"/>
        <v>0.12037159661055966</v>
      </c>
    </row>
    <row r="236" spans="1:26" s="29" customFormat="1" outlineLevel="1" collapsed="1" x14ac:dyDescent="0.25">
      <c r="A236" s="27"/>
      <c r="B236" s="14" t="str">
        <f>CONCATENATE("     ","General                                           ")</f>
        <v xml:space="preserve">     General                                           </v>
      </c>
      <c r="C236" s="14"/>
      <c r="D236" s="1">
        <f>SUM(OSRRefD22_11x_0)</f>
        <v>6380.97</v>
      </c>
      <c r="E236" s="1"/>
      <c r="F236" s="5">
        <f t="shared" ref="F236:F238" si="67">IF(D$12=0,0,D236/D$12)</f>
        <v>1.591753587044549E-3</v>
      </c>
      <c r="G236" s="1"/>
      <c r="H236" s="1">
        <f>SUM(OSRRefH22_11x_0)</f>
        <v>5576.29</v>
      </c>
      <c r="I236" s="1"/>
      <c r="J236" s="5">
        <f t="shared" ref="J236:J238" si="68">IF(H$12=0,0,H236/H$12)</f>
        <v>1.3812112102416852E-3</v>
      </c>
      <c r="K236" s="1"/>
      <c r="L236" s="1">
        <f t="shared" ref="L236:L238" si="69">+D236-H236</f>
        <v>804.68000000000029</v>
      </c>
      <c r="M236" s="1"/>
      <c r="N236" s="5">
        <f t="shared" ref="N236:N238" si="70">IF(H236=0,0,L236/H236)</f>
        <v>0.14430382924847887</v>
      </c>
      <c r="O236" s="14"/>
      <c r="P236" s="1">
        <f>SUM(OSRRefP22_11x_0)</f>
        <v>24775.769999999997</v>
      </c>
      <c r="Q236" s="1"/>
      <c r="R236" s="5">
        <f t="shared" ref="R236:R238" si="71">IF(P$12=0,0,P236/P$12)</f>
        <v>2.5452881815674392E-3</v>
      </c>
      <c r="S236" s="1"/>
      <c r="T236" s="1">
        <f>SUM(OSRRefT22_11x_0)</f>
        <v>35478.369999999995</v>
      </c>
      <c r="U236" s="1"/>
      <c r="V236" s="5">
        <f t="shared" ref="V236:V238" si="72">IF(T$12=0,0,T236/T$12)</f>
        <v>3.5351042262468601E-3</v>
      </c>
      <c r="W236" s="1"/>
      <c r="X236" s="1">
        <f t="shared" ref="X236:X238" si="73">+P236-T236</f>
        <v>-10702.599999999999</v>
      </c>
      <c r="Y236" s="1"/>
      <c r="Z236" s="5">
        <f t="shared" ref="Z236:Z238" si="74">IF(T236=0,0,X236/T236)</f>
        <v>-0.30166549365148398</v>
      </c>
    </row>
    <row r="237" spans="1:26" s="24" customFormat="1" hidden="1" outlineLevel="2" x14ac:dyDescent="0.25">
      <c r="A237" s="28"/>
      <c r="B237" s="11" t="str">
        <f>CONCATENATE("          ", "6269", " - ", "ENTERTAINMENT")</f>
        <v xml:space="preserve">          6269 - ENTERTAINMENT</v>
      </c>
      <c r="C237" s="11"/>
      <c r="D237" s="6">
        <v>1050</v>
      </c>
      <c r="E237" s="2"/>
      <c r="F237" s="7">
        <f t="shared" si="67"/>
        <v>2.6192589314740178E-4</v>
      </c>
      <c r="G237" s="2"/>
      <c r="H237" s="6">
        <v>1550</v>
      </c>
      <c r="I237" s="2"/>
      <c r="J237" s="7">
        <f t="shared" si="68"/>
        <v>3.8392504261338848E-4</v>
      </c>
      <c r="K237" s="2"/>
      <c r="L237" s="6">
        <f t="shared" si="69"/>
        <v>-500</v>
      </c>
      <c r="M237" s="2"/>
      <c r="N237" s="7">
        <f t="shared" si="70"/>
        <v>-0.32258064516129031</v>
      </c>
      <c r="O237" s="11"/>
      <c r="P237" s="6">
        <v>3650</v>
      </c>
      <c r="Q237" s="2"/>
      <c r="R237" s="7">
        <f t="shared" si="71"/>
        <v>3.7497530299648223E-4</v>
      </c>
      <c r="S237" s="2"/>
      <c r="T237" s="6">
        <v>3100</v>
      </c>
      <c r="U237" s="2"/>
      <c r="V237" s="7">
        <f t="shared" si="72"/>
        <v>3.0888744610773461E-4</v>
      </c>
      <c r="W237" s="2"/>
      <c r="X237" s="6">
        <f t="shared" si="73"/>
        <v>550</v>
      </c>
      <c r="Y237" s="2"/>
      <c r="Z237" s="7">
        <f t="shared" si="74"/>
        <v>0.17741935483870969</v>
      </c>
    </row>
    <row r="238" spans="1:26" s="24" customFormat="1" hidden="1" outlineLevel="2" x14ac:dyDescent="0.25">
      <c r="A238" s="28"/>
      <c r="B238" s="11" t="str">
        <f>CONCATENATE("          ", "6279", " - ", "GENERAL EXPENSE")</f>
        <v xml:space="preserve">          6279 - GENERAL EXPENSE</v>
      </c>
      <c r="C238" s="11"/>
      <c r="D238" s="6">
        <v>5330.97</v>
      </c>
      <c r="E238" s="2"/>
      <c r="F238" s="7">
        <f t="shared" si="67"/>
        <v>1.3298276938971472E-3</v>
      </c>
      <c r="G238" s="2"/>
      <c r="H238" s="6">
        <v>4026.29</v>
      </c>
      <c r="I238" s="2"/>
      <c r="J238" s="7">
        <f t="shared" si="68"/>
        <v>9.9728616762829667E-4</v>
      </c>
      <c r="K238" s="2"/>
      <c r="L238" s="6">
        <f t="shared" si="69"/>
        <v>1304.6800000000003</v>
      </c>
      <c r="M238" s="2"/>
      <c r="N238" s="7">
        <f t="shared" si="70"/>
        <v>0.32404024548653981</v>
      </c>
      <c r="O238" s="11"/>
      <c r="P238" s="6">
        <v>21125.769999999997</v>
      </c>
      <c r="Q238" s="2"/>
      <c r="R238" s="7">
        <f t="shared" si="71"/>
        <v>2.1703128785709571E-3</v>
      </c>
      <c r="S238" s="2"/>
      <c r="T238" s="6">
        <v>32378.37</v>
      </c>
      <c r="U238" s="2"/>
      <c r="V238" s="7">
        <f t="shared" si="72"/>
        <v>3.2262167801391261E-3</v>
      </c>
      <c r="W238" s="2"/>
      <c r="X238" s="6">
        <f t="shared" si="73"/>
        <v>-11252.600000000002</v>
      </c>
      <c r="Y238" s="2"/>
      <c r="Z238" s="7">
        <f t="shared" si="74"/>
        <v>-0.34753448058070874</v>
      </c>
    </row>
    <row r="239" spans="1:26" s="29" customFormat="1" outlineLevel="1" collapsed="1" x14ac:dyDescent="0.25">
      <c r="A239" s="27"/>
      <c r="B239" s="14" t="str">
        <f>CONCATENATE("     ","Insurance                                         ")</f>
        <v xml:space="preserve">     Insurance                                         </v>
      </c>
      <c r="C239" s="14"/>
      <c r="D239" s="1">
        <f>SUM(OSRRefD22_12x_0)</f>
        <v>8563.32</v>
      </c>
      <c r="E239" s="1"/>
      <c r="F239" s="5">
        <f t="shared" ref="F239:F254" si="75">IF(D$12=0,0,D239/D$12)</f>
        <v>2.136147846959056E-3</v>
      </c>
      <c r="G239" s="1"/>
      <c r="H239" s="1">
        <f>SUM(OSRRefH22_12x_0)</f>
        <v>12652.85</v>
      </c>
      <c r="I239" s="1"/>
      <c r="J239" s="5">
        <f t="shared" ref="J239:J254" si="76">IF(H$12=0,0,H239/H$12)</f>
        <v>3.1340296615682663E-3</v>
      </c>
      <c r="K239" s="1"/>
      <c r="L239" s="1">
        <f t="shared" ref="L239:L254" si="77">+D239-H239</f>
        <v>-4089.5300000000007</v>
      </c>
      <c r="M239" s="1"/>
      <c r="N239" s="5">
        <f t="shared" ref="N239:N254" si="78">IF(H239=0,0,L239/H239)</f>
        <v>-0.32321018584745731</v>
      </c>
      <c r="O239" s="14"/>
      <c r="P239" s="1">
        <f>SUM(OSRRefP22_12x_0)</f>
        <v>25689.96</v>
      </c>
      <c r="Q239" s="1"/>
      <c r="R239" s="5">
        <f t="shared" ref="R239:R254" si="79">IF(P$12=0,0,P239/P$12)</f>
        <v>2.6392056260184952E-3</v>
      </c>
      <c r="S239" s="1"/>
      <c r="T239" s="1">
        <f>SUM(OSRRefT22_12x_0)</f>
        <v>28782.550000000003</v>
      </c>
      <c r="U239" s="1"/>
      <c r="V239" s="5">
        <f t="shared" ref="V239:V254" si="80">IF(T$12=0,0,T239/T$12)</f>
        <v>2.8679252780542505E-3</v>
      </c>
      <c r="W239" s="1"/>
      <c r="X239" s="1">
        <f t="shared" ref="X239:X254" si="81">+P239-T239</f>
        <v>-3092.5900000000038</v>
      </c>
      <c r="Y239" s="1"/>
      <c r="Z239" s="5">
        <f t="shared" ref="Z239:Z254" si="82">IF(T239=0,0,X239/T239)</f>
        <v>-0.10744669947589784</v>
      </c>
    </row>
    <row r="240" spans="1:26" s="24" customFormat="1" hidden="1" outlineLevel="2" x14ac:dyDescent="0.25">
      <c r="A240" s="28"/>
      <c r="B240" s="11" t="str">
        <f>CONCATENATE("          ", "6314", " - ", "LIABILITY INSURANCE")</f>
        <v xml:space="preserve">          6314 - LIABILITY INSURANCE</v>
      </c>
      <c r="C240" s="11"/>
      <c r="D240" s="6">
        <v>8563.32</v>
      </c>
      <c r="E240" s="2"/>
      <c r="F240" s="7">
        <f t="shared" si="75"/>
        <v>2.136147846959056E-3</v>
      </c>
      <c r="G240" s="2"/>
      <c r="H240" s="6">
        <v>12652.85</v>
      </c>
      <c r="I240" s="2"/>
      <c r="J240" s="7">
        <f t="shared" si="76"/>
        <v>3.1340296615682663E-3</v>
      </c>
      <c r="K240" s="2"/>
      <c r="L240" s="6">
        <f t="shared" si="77"/>
        <v>-4089.5300000000007</v>
      </c>
      <c r="M240" s="2"/>
      <c r="N240" s="7">
        <f t="shared" si="78"/>
        <v>-0.32321018584745731</v>
      </c>
      <c r="O240" s="11"/>
      <c r="P240" s="6">
        <v>25689.96</v>
      </c>
      <c r="Q240" s="2"/>
      <c r="R240" s="7">
        <f t="shared" si="79"/>
        <v>2.6392056260184952E-3</v>
      </c>
      <c r="S240" s="2"/>
      <c r="T240" s="6">
        <v>28782.550000000003</v>
      </c>
      <c r="U240" s="2"/>
      <c r="V240" s="7">
        <f t="shared" si="80"/>
        <v>2.8679252780542505E-3</v>
      </c>
      <c r="W240" s="2"/>
      <c r="X240" s="6">
        <f t="shared" si="81"/>
        <v>-3092.5900000000038</v>
      </c>
      <c r="Y240" s="2"/>
      <c r="Z240" s="7">
        <f t="shared" si="82"/>
        <v>-0.10744669947589784</v>
      </c>
    </row>
    <row r="241" spans="1:26" s="29" customFormat="1" outlineLevel="1" collapsed="1" x14ac:dyDescent="0.25">
      <c r="A241" s="27"/>
      <c r="B241" s="14" t="str">
        <f>CONCATENATE("     ","Interest                                          ")</f>
        <v xml:space="preserve">     Interest                                          </v>
      </c>
      <c r="C241" s="14"/>
      <c r="D241" s="1">
        <f>SUM(OSRRefD22_13x_0)</f>
        <v>11740</v>
      </c>
      <c r="E241" s="1"/>
      <c r="F241" s="5">
        <f t="shared" si="75"/>
        <v>2.9285809386195207E-3</v>
      </c>
      <c r="G241" s="1"/>
      <c r="H241" s="1">
        <f>SUM(OSRRefH22_13x_0)</f>
        <v>12229</v>
      </c>
      <c r="I241" s="1"/>
      <c r="J241" s="5">
        <f t="shared" si="76"/>
        <v>3.0290447394316954E-3</v>
      </c>
      <c r="K241" s="1"/>
      <c r="L241" s="1">
        <f t="shared" si="77"/>
        <v>-489</v>
      </c>
      <c r="M241" s="1"/>
      <c r="N241" s="5">
        <f t="shared" si="78"/>
        <v>-3.9986916346389727E-2</v>
      </c>
      <c r="O241" s="14"/>
      <c r="P241" s="1">
        <f>SUM(OSRRefP22_13x_0)</f>
        <v>35220</v>
      </c>
      <c r="Q241" s="1"/>
      <c r="R241" s="5">
        <f t="shared" si="79"/>
        <v>3.6182548415167408E-3</v>
      </c>
      <c r="S241" s="1"/>
      <c r="T241" s="1">
        <f>SUM(OSRRefT22_13x_0)</f>
        <v>36687</v>
      </c>
      <c r="U241" s="1"/>
      <c r="V241" s="5">
        <f t="shared" si="80"/>
        <v>3.6555334630175673E-3</v>
      </c>
      <c r="W241" s="1"/>
      <c r="X241" s="1">
        <f t="shared" si="81"/>
        <v>-1467</v>
      </c>
      <c r="Y241" s="1"/>
      <c r="Z241" s="5">
        <f t="shared" si="82"/>
        <v>-3.9986916346389727E-2</v>
      </c>
    </row>
    <row r="242" spans="1:26" s="24" customFormat="1" hidden="1" outlineLevel="2" x14ac:dyDescent="0.25">
      <c r="A242" s="28"/>
      <c r="B242" s="11" t="str">
        <f>CONCATENATE("          ", "6401", " - ", "INTEREST EXPENSE")</f>
        <v xml:space="preserve">          6401 - INTEREST EXPENSE</v>
      </c>
      <c r="C242" s="11"/>
      <c r="D242" s="6">
        <v>11740</v>
      </c>
      <c r="E242" s="2"/>
      <c r="F242" s="7">
        <f t="shared" si="75"/>
        <v>2.9285809386195207E-3</v>
      </c>
      <c r="G242" s="2"/>
      <c r="H242" s="6">
        <v>12229</v>
      </c>
      <c r="I242" s="2"/>
      <c r="J242" s="7">
        <f t="shared" si="76"/>
        <v>3.0290447394316954E-3</v>
      </c>
      <c r="K242" s="2"/>
      <c r="L242" s="6">
        <f t="shared" si="77"/>
        <v>-489</v>
      </c>
      <c r="M242" s="2"/>
      <c r="N242" s="7">
        <f t="shared" si="78"/>
        <v>-3.9986916346389727E-2</v>
      </c>
      <c r="O242" s="11"/>
      <c r="P242" s="6">
        <v>35220</v>
      </c>
      <c r="Q242" s="2"/>
      <c r="R242" s="7">
        <f t="shared" si="79"/>
        <v>3.6182548415167408E-3</v>
      </c>
      <c r="S242" s="2"/>
      <c r="T242" s="6">
        <v>36687</v>
      </c>
      <c r="U242" s="2"/>
      <c r="V242" s="7">
        <f t="shared" si="80"/>
        <v>3.6555334630175673E-3</v>
      </c>
      <c r="W242" s="2"/>
      <c r="X242" s="6">
        <f t="shared" si="81"/>
        <v>-1467</v>
      </c>
      <c r="Y242" s="2"/>
      <c r="Z242" s="7">
        <f t="shared" si="82"/>
        <v>-3.9986916346389727E-2</v>
      </c>
    </row>
    <row r="243" spans="1:26" s="29" customFormat="1" outlineLevel="1" collapsed="1" x14ac:dyDescent="0.25">
      <c r="A243" s="27"/>
      <c r="B243" s="14" t="str">
        <f>CONCATENATE("     ","Inventory Adjustment                              ")</f>
        <v xml:space="preserve">     Inventory Adjustment                              </v>
      </c>
      <c r="C243" s="14"/>
      <c r="D243" s="1">
        <f>SUM(OSRRefD22_14x_0)</f>
        <v>4250</v>
      </c>
      <c r="E243" s="1"/>
      <c r="F243" s="5">
        <f t="shared" si="75"/>
        <v>1.0601762341680549E-3</v>
      </c>
      <c r="G243" s="1"/>
      <c r="H243" s="1">
        <f>SUM(OSRRefH22_14x_0)</f>
        <v>10000</v>
      </c>
      <c r="I243" s="1"/>
      <c r="J243" s="5">
        <f t="shared" si="76"/>
        <v>2.4769357587960551E-3</v>
      </c>
      <c r="K243" s="1"/>
      <c r="L243" s="1">
        <f t="shared" si="77"/>
        <v>-5750</v>
      </c>
      <c r="M243" s="1"/>
      <c r="N243" s="5">
        <f t="shared" si="78"/>
        <v>-0.57499999999999996</v>
      </c>
      <c r="O243" s="14"/>
      <c r="P243" s="1">
        <f>SUM(OSRRefP22_14x_0)</f>
        <v>12650</v>
      </c>
      <c r="Q243" s="1"/>
      <c r="R243" s="5">
        <f t="shared" si="79"/>
        <v>1.2995719405220548E-3</v>
      </c>
      <c r="S243" s="1"/>
      <c r="T243" s="1">
        <f>SUM(OSRRefT22_14x_0)</f>
        <v>30000</v>
      </c>
      <c r="U243" s="1"/>
      <c r="V243" s="5">
        <f t="shared" si="80"/>
        <v>2.9892333494296896E-3</v>
      </c>
      <c r="W243" s="1"/>
      <c r="X243" s="1">
        <f t="shared" si="81"/>
        <v>-17350</v>
      </c>
      <c r="Y243" s="1"/>
      <c r="Z243" s="5">
        <f t="shared" si="82"/>
        <v>-0.57833333333333337</v>
      </c>
    </row>
    <row r="244" spans="1:26" s="24" customFormat="1" hidden="1" outlineLevel="2" x14ac:dyDescent="0.25">
      <c r="A244" s="28"/>
      <c r="B244" s="11" t="str">
        <f>CONCATENATE("          ", "6408", " - ", "INVENTORY ADJUSTMENT")</f>
        <v xml:space="preserve">          6408 - INVENTORY ADJUSTMENT</v>
      </c>
      <c r="C244" s="11"/>
      <c r="D244" s="6">
        <v>4250</v>
      </c>
      <c r="E244" s="2"/>
      <c r="F244" s="7">
        <f t="shared" si="75"/>
        <v>1.0601762341680549E-3</v>
      </c>
      <c r="G244" s="2"/>
      <c r="H244" s="6">
        <v>10000</v>
      </c>
      <c r="I244" s="2"/>
      <c r="J244" s="7">
        <f t="shared" si="76"/>
        <v>2.4769357587960551E-3</v>
      </c>
      <c r="K244" s="2"/>
      <c r="L244" s="6">
        <f t="shared" si="77"/>
        <v>-5750</v>
      </c>
      <c r="M244" s="2"/>
      <c r="N244" s="7">
        <f t="shared" si="78"/>
        <v>-0.57499999999999996</v>
      </c>
      <c r="O244" s="11"/>
      <c r="P244" s="6">
        <v>12650</v>
      </c>
      <c r="Q244" s="2"/>
      <c r="R244" s="7">
        <f t="shared" si="79"/>
        <v>1.2995719405220548E-3</v>
      </c>
      <c r="S244" s="2"/>
      <c r="T244" s="6">
        <v>30000</v>
      </c>
      <c r="U244" s="2"/>
      <c r="V244" s="7">
        <f t="shared" si="80"/>
        <v>2.9892333494296896E-3</v>
      </c>
      <c r="W244" s="2"/>
      <c r="X244" s="6">
        <f t="shared" si="81"/>
        <v>-17350</v>
      </c>
      <c r="Y244" s="2"/>
      <c r="Z244" s="7">
        <f t="shared" si="82"/>
        <v>-0.57833333333333337</v>
      </c>
    </row>
    <row r="245" spans="1:26" s="29" customFormat="1" outlineLevel="1" collapsed="1" x14ac:dyDescent="0.25">
      <c r="A245" s="27"/>
      <c r="B245" s="14" t="str">
        <f>CONCATENATE("     ","Professional Services                             ")</f>
        <v xml:space="preserve">     Professional Services                             </v>
      </c>
      <c r="C245" s="14"/>
      <c r="D245" s="1">
        <f>SUM(OSRRefD22_15x_0)</f>
        <v>0</v>
      </c>
      <c r="E245" s="1"/>
      <c r="F245" s="5">
        <f t="shared" si="75"/>
        <v>0</v>
      </c>
      <c r="G245" s="1"/>
      <c r="H245" s="1">
        <f>SUM(OSRRefH22_15x_0)</f>
        <v>1680</v>
      </c>
      <c r="I245" s="1"/>
      <c r="J245" s="5">
        <f t="shared" si="76"/>
        <v>4.1612520747773724E-4</v>
      </c>
      <c r="K245" s="1"/>
      <c r="L245" s="1">
        <f t="shared" si="77"/>
        <v>-1680</v>
      </c>
      <c r="M245" s="1"/>
      <c r="N245" s="5">
        <f t="shared" si="78"/>
        <v>-1</v>
      </c>
      <c r="O245" s="14"/>
      <c r="P245" s="1">
        <f>SUM(OSRRefP22_15x_0)</f>
        <v>6283.41</v>
      </c>
      <c r="Q245" s="1"/>
      <c r="R245" s="5">
        <f t="shared" si="79"/>
        <v>6.4551330646606196E-4</v>
      </c>
      <c r="S245" s="1"/>
      <c r="T245" s="1">
        <f>SUM(OSRRefT22_15x_0)</f>
        <v>9956.43</v>
      </c>
      <c r="U245" s="1"/>
      <c r="V245" s="5">
        <f t="shared" si="80"/>
        <v>9.9206975324207477E-4</v>
      </c>
      <c r="W245" s="1"/>
      <c r="X245" s="1">
        <f t="shared" si="81"/>
        <v>-3673.0200000000004</v>
      </c>
      <c r="Y245" s="1"/>
      <c r="Z245" s="5">
        <f t="shared" si="82"/>
        <v>-0.36890933798560333</v>
      </c>
    </row>
    <row r="246" spans="1:26" s="24" customFormat="1" hidden="1" outlineLevel="2" x14ac:dyDescent="0.25">
      <c r="A246" s="28"/>
      <c r="B246" s="11" t="str">
        <f>CONCATENATE("          ", "6336", " - ", "PROFESSIONAL SERVICES")</f>
        <v xml:space="preserve">          6336 - PROFESSIONAL SERVICES</v>
      </c>
      <c r="C246" s="11"/>
      <c r="D246" s="6"/>
      <c r="E246" s="2"/>
      <c r="F246" s="7">
        <f t="shared" si="75"/>
        <v>0</v>
      </c>
      <c r="G246" s="2"/>
      <c r="H246" s="6">
        <v>1680</v>
      </c>
      <c r="I246" s="2"/>
      <c r="J246" s="7">
        <f t="shared" si="76"/>
        <v>4.1612520747773724E-4</v>
      </c>
      <c r="K246" s="2"/>
      <c r="L246" s="6">
        <f t="shared" si="77"/>
        <v>-1680</v>
      </c>
      <c r="M246" s="2"/>
      <c r="N246" s="7">
        <f t="shared" si="78"/>
        <v>-1</v>
      </c>
      <c r="O246" s="11"/>
      <c r="P246" s="6">
        <v>6283.41</v>
      </c>
      <c r="Q246" s="2"/>
      <c r="R246" s="7">
        <f t="shared" si="79"/>
        <v>6.4551330646606196E-4</v>
      </c>
      <c r="S246" s="2"/>
      <c r="T246" s="6">
        <v>9956.43</v>
      </c>
      <c r="U246" s="2"/>
      <c r="V246" s="7">
        <f t="shared" si="80"/>
        <v>9.9206975324207477E-4</v>
      </c>
      <c r="W246" s="2"/>
      <c r="X246" s="6">
        <f t="shared" si="81"/>
        <v>-3673.0200000000004</v>
      </c>
      <c r="Y246" s="2"/>
      <c r="Z246" s="7">
        <f t="shared" si="82"/>
        <v>-0.36890933798560333</v>
      </c>
    </row>
    <row r="247" spans="1:26" s="29" customFormat="1" outlineLevel="1" collapsed="1" x14ac:dyDescent="0.25">
      <c r="A247" s="27"/>
      <c r="B247" s="14" t="str">
        <f>CONCATENATE("     ","R/H Commissions                                   ")</f>
        <v xml:space="preserve">     R/H Commissions                                   </v>
      </c>
      <c r="C247" s="14"/>
      <c r="D247" s="1">
        <f>SUM(OSRRefD22_16x_0)</f>
        <v>115888.45000000001</v>
      </c>
      <c r="E247" s="1"/>
      <c r="F247" s="5">
        <f t="shared" si="75"/>
        <v>2.8908748354017161E-2</v>
      </c>
      <c r="G247" s="1"/>
      <c r="H247" s="1">
        <f>SUM(OSRRefH22_16x_0)</f>
        <v>105703.8</v>
      </c>
      <c r="I247" s="1"/>
      <c r="J247" s="5">
        <f t="shared" si="76"/>
        <v>2.6182152206062643E-2</v>
      </c>
      <c r="K247" s="1"/>
      <c r="L247" s="1">
        <f t="shared" si="77"/>
        <v>10184.650000000009</v>
      </c>
      <c r="M247" s="1"/>
      <c r="N247" s="5">
        <f t="shared" si="78"/>
        <v>9.6350840745555111E-2</v>
      </c>
      <c r="O247" s="14"/>
      <c r="P247" s="1">
        <f>SUM(OSRRefP22_16x_0)</f>
        <v>187921.28</v>
      </c>
      <c r="Q247" s="1"/>
      <c r="R247" s="5">
        <f t="shared" si="79"/>
        <v>1.9305709289722403E-2</v>
      </c>
      <c r="S247" s="1"/>
      <c r="T247" s="1">
        <f>SUM(OSRRefT22_16x_0)</f>
        <v>182904.8</v>
      </c>
      <c r="U247" s="1"/>
      <c r="V247" s="5">
        <f t="shared" si="80"/>
        <v>1.8224837597692251E-2</v>
      </c>
      <c r="W247" s="1"/>
      <c r="X247" s="1">
        <f t="shared" si="81"/>
        <v>5016.4800000000105</v>
      </c>
      <c r="Y247" s="1"/>
      <c r="Z247" s="5">
        <f t="shared" si="82"/>
        <v>2.7426726909299322E-2</v>
      </c>
    </row>
    <row r="248" spans="1:26" s="24" customFormat="1" hidden="1" outlineLevel="2" x14ac:dyDescent="0.25">
      <c r="A248" s="28"/>
      <c r="B248" s="11" t="str">
        <f>CONCATENATE("          ", "6387", " - ", "COMMISSION DUE HOUSING")</f>
        <v xml:space="preserve">          6387 - COMMISSION DUE HOUSING</v>
      </c>
      <c r="C248" s="11"/>
      <c r="D248" s="6">
        <v>115888.45000000001</v>
      </c>
      <c r="E248" s="2"/>
      <c r="F248" s="7">
        <f t="shared" si="75"/>
        <v>2.8908748354017161E-2</v>
      </c>
      <c r="G248" s="2"/>
      <c r="H248" s="6">
        <v>105703.8</v>
      </c>
      <c r="I248" s="2"/>
      <c r="J248" s="7">
        <f t="shared" si="76"/>
        <v>2.6182152206062643E-2</v>
      </c>
      <c r="K248" s="2"/>
      <c r="L248" s="6">
        <f t="shared" si="77"/>
        <v>10184.650000000009</v>
      </c>
      <c r="M248" s="2"/>
      <c r="N248" s="7">
        <f t="shared" si="78"/>
        <v>9.6350840745555111E-2</v>
      </c>
      <c r="O248" s="11"/>
      <c r="P248" s="6">
        <v>187921.28</v>
      </c>
      <c r="Q248" s="2"/>
      <c r="R248" s="7">
        <f t="shared" si="79"/>
        <v>1.9305709289722403E-2</v>
      </c>
      <c r="S248" s="2"/>
      <c r="T248" s="6">
        <v>182904.8</v>
      </c>
      <c r="U248" s="2"/>
      <c r="V248" s="7">
        <f t="shared" si="80"/>
        <v>1.8224837597692251E-2</v>
      </c>
      <c r="W248" s="2"/>
      <c r="X248" s="6">
        <f t="shared" si="81"/>
        <v>5016.4800000000105</v>
      </c>
      <c r="Y248" s="2"/>
      <c r="Z248" s="7">
        <f t="shared" si="82"/>
        <v>2.7426726909299322E-2</v>
      </c>
    </row>
    <row r="249" spans="1:26" s="29" customFormat="1" outlineLevel="1" collapsed="1" x14ac:dyDescent="0.25">
      <c r="A249" s="27"/>
      <c r="B249" s="14" t="str">
        <f>CONCATENATE("     ","Rent                                              ")</f>
        <v xml:space="preserve">     Rent                                              </v>
      </c>
      <c r="C249" s="14"/>
      <c r="D249" s="1">
        <f>SUM(OSRRefD22_17x_0)</f>
        <v>9900</v>
      </c>
      <c r="E249" s="1"/>
      <c r="F249" s="5">
        <f t="shared" si="75"/>
        <v>2.4695869925326452E-3</v>
      </c>
      <c r="G249" s="1"/>
      <c r="H249" s="1">
        <f>SUM(OSRRefH22_17x_0)</f>
        <v>9900</v>
      </c>
      <c r="I249" s="1"/>
      <c r="J249" s="5">
        <f t="shared" si="76"/>
        <v>2.4521664012080945E-3</v>
      </c>
      <c r="K249" s="1"/>
      <c r="L249" s="1">
        <f t="shared" si="77"/>
        <v>0</v>
      </c>
      <c r="M249" s="1"/>
      <c r="N249" s="5">
        <f t="shared" si="78"/>
        <v>0</v>
      </c>
      <c r="O249" s="14"/>
      <c r="P249" s="1">
        <f>SUM(OSRRefP22_17x_0)</f>
        <v>29700</v>
      </c>
      <c r="Q249" s="1"/>
      <c r="R249" s="5">
        <f t="shared" si="79"/>
        <v>3.0511689038343896E-3</v>
      </c>
      <c r="S249" s="1"/>
      <c r="T249" s="1">
        <f>SUM(OSRRefT22_17x_0)</f>
        <v>29801.08</v>
      </c>
      <c r="U249" s="1"/>
      <c r="V249" s="5">
        <f t="shared" si="80"/>
        <v>2.9694127395007378E-3</v>
      </c>
      <c r="W249" s="1"/>
      <c r="X249" s="1">
        <f t="shared" si="81"/>
        <v>-101.08000000000175</v>
      </c>
      <c r="Y249" s="1"/>
      <c r="Z249" s="5">
        <f t="shared" si="82"/>
        <v>-3.39182338358213E-3</v>
      </c>
    </row>
    <row r="250" spans="1:26" s="24" customFormat="1" hidden="1" outlineLevel="2" x14ac:dyDescent="0.25">
      <c r="A250" s="28"/>
      <c r="B250" s="11" t="str">
        <f>CONCATENATE("          ", "6273", " - ", "RENT")</f>
        <v xml:space="preserve">          6273 - RENT</v>
      </c>
      <c r="C250" s="11"/>
      <c r="D250" s="6">
        <v>9900</v>
      </c>
      <c r="E250" s="2"/>
      <c r="F250" s="7">
        <f t="shared" si="75"/>
        <v>2.4695869925326452E-3</v>
      </c>
      <c r="G250" s="2"/>
      <c r="H250" s="6">
        <v>9900</v>
      </c>
      <c r="I250" s="2"/>
      <c r="J250" s="7">
        <f t="shared" si="76"/>
        <v>2.4521664012080945E-3</v>
      </c>
      <c r="K250" s="2"/>
      <c r="L250" s="6">
        <f t="shared" si="77"/>
        <v>0</v>
      </c>
      <c r="M250" s="2"/>
      <c r="N250" s="7">
        <f t="shared" si="78"/>
        <v>0</v>
      </c>
      <c r="O250" s="11"/>
      <c r="P250" s="6">
        <v>29700</v>
      </c>
      <c r="Q250" s="2"/>
      <c r="R250" s="7">
        <f t="shared" si="79"/>
        <v>3.0511689038343896E-3</v>
      </c>
      <c r="S250" s="2"/>
      <c r="T250" s="6">
        <v>29801.08</v>
      </c>
      <c r="U250" s="2"/>
      <c r="V250" s="7">
        <f t="shared" si="80"/>
        <v>2.9694127395007378E-3</v>
      </c>
      <c r="W250" s="2"/>
      <c r="X250" s="6">
        <f t="shared" si="81"/>
        <v>-101.08000000000175</v>
      </c>
      <c r="Y250" s="2"/>
      <c r="Z250" s="7">
        <f t="shared" si="82"/>
        <v>-3.39182338358213E-3</v>
      </c>
    </row>
    <row r="251" spans="1:26" s="29" customFormat="1" outlineLevel="1" collapsed="1" x14ac:dyDescent="0.25">
      <c r="A251" s="27"/>
      <c r="B251" s="14" t="str">
        <f>CONCATENATE("     ","Repair and Maintenance                            ")</f>
        <v xml:space="preserve">     Repair and Maintenance                            </v>
      </c>
      <c r="C251" s="14"/>
      <c r="D251" s="1">
        <f>SUM(OSRRefD22_18x_0)</f>
        <v>55329.440000000002</v>
      </c>
      <c r="E251" s="1"/>
      <c r="F251" s="5">
        <f t="shared" si="75"/>
        <v>1.3802107608900551E-2</v>
      </c>
      <c r="G251" s="1"/>
      <c r="H251" s="1">
        <f>SUM(OSRRefH22_18x_0)</f>
        <v>15448.64</v>
      </c>
      <c r="I251" s="1"/>
      <c r="J251" s="5">
        <f t="shared" si="76"/>
        <v>3.8265288840767086E-3</v>
      </c>
      <c r="K251" s="1"/>
      <c r="L251" s="1">
        <f t="shared" si="77"/>
        <v>39880.800000000003</v>
      </c>
      <c r="M251" s="1"/>
      <c r="N251" s="5">
        <f t="shared" si="78"/>
        <v>2.5815087930070222</v>
      </c>
      <c r="O251" s="14"/>
      <c r="P251" s="1">
        <f>SUM(OSRRefP22_18x_0)</f>
        <v>143839.06</v>
      </c>
      <c r="Q251" s="1"/>
      <c r="R251" s="5">
        <f t="shared" si="79"/>
        <v>1.477701235787101E-2</v>
      </c>
      <c r="S251" s="1"/>
      <c r="T251" s="1">
        <f>SUM(OSRRefT22_18x_0)</f>
        <v>145167.72</v>
      </c>
      <c r="U251" s="1"/>
      <c r="V251" s="5">
        <f t="shared" si="80"/>
        <v>1.4464672996155711E-2</v>
      </c>
      <c r="W251" s="1"/>
      <c r="X251" s="1">
        <f t="shared" si="81"/>
        <v>-1328.6600000000035</v>
      </c>
      <c r="Y251" s="1"/>
      <c r="Z251" s="5">
        <f t="shared" si="82"/>
        <v>-9.152585712581306E-3</v>
      </c>
    </row>
    <row r="252" spans="1:26" s="24" customFormat="1" hidden="1" outlineLevel="2" x14ac:dyDescent="0.25">
      <c r="A252" s="28"/>
      <c r="B252" s="11" t="str">
        <f>CONCATENATE("          ", "6371", " - ", "COMPUTER SOFTWARE MAINTENANCE")</f>
        <v xml:space="preserve">          6371 - COMPUTER SOFTWARE MAINTENANCE</v>
      </c>
      <c r="C252" s="11"/>
      <c r="D252" s="6">
        <v>22684.510000000002</v>
      </c>
      <c r="E252" s="2"/>
      <c r="F252" s="7">
        <f t="shared" si="75"/>
        <v>5.6587243260582554E-3</v>
      </c>
      <c r="G252" s="2"/>
      <c r="H252" s="6">
        <v>-7288.75</v>
      </c>
      <c r="I252" s="2"/>
      <c r="J252" s="7">
        <f t="shared" si="76"/>
        <v>-1.8053765511924745E-3</v>
      </c>
      <c r="K252" s="2"/>
      <c r="L252" s="6">
        <f t="shared" si="77"/>
        <v>29973.260000000002</v>
      </c>
      <c r="M252" s="2"/>
      <c r="N252" s="7">
        <f t="shared" si="78"/>
        <v>-4.1122634196535763</v>
      </c>
      <c r="O252" s="11"/>
      <c r="P252" s="6">
        <v>31172.76</v>
      </c>
      <c r="Q252" s="2"/>
      <c r="R252" s="7">
        <f t="shared" si="79"/>
        <v>3.2024698975990739E-3</v>
      </c>
      <c r="S252" s="2"/>
      <c r="T252" s="6">
        <v>37123.630000000005</v>
      </c>
      <c r="U252" s="2"/>
      <c r="V252" s="7">
        <f t="shared" si="80"/>
        <v>3.6990397615962842E-3</v>
      </c>
      <c r="W252" s="2"/>
      <c r="X252" s="6">
        <f t="shared" si="81"/>
        <v>-5950.8700000000063</v>
      </c>
      <c r="Y252" s="2"/>
      <c r="Z252" s="7">
        <f t="shared" si="82"/>
        <v>-0.16029871001300264</v>
      </c>
    </row>
    <row r="253" spans="1:26" s="24" customFormat="1" hidden="1" outlineLevel="2" x14ac:dyDescent="0.25">
      <c r="A253" s="28"/>
      <c r="B253" s="11" t="str">
        <f>CONCATENATE("          ", "6373", " - ", "MAINTENANCE CONTRACTS")</f>
        <v xml:space="preserve">          6373 - MAINTENANCE CONTRACTS</v>
      </c>
      <c r="C253" s="11"/>
      <c r="D253" s="6">
        <v>15398.86</v>
      </c>
      <c r="E253" s="2"/>
      <c r="F253" s="7">
        <f t="shared" si="75"/>
        <v>3.8412953894779046E-3</v>
      </c>
      <c r="G253" s="2"/>
      <c r="H253" s="6">
        <v>12769.8</v>
      </c>
      <c r="I253" s="2"/>
      <c r="J253" s="7">
        <f t="shared" si="76"/>
        <v>3.1629974252673858E-3</v>
      </c>
      <c r="K253" s="2"/>
      <c r="L253" s="6">
        <f t="shared" si="77"/>
        <v>2629.0600000000013</v>
      </c>
      <c r="M253" s="2"/>
      <c r="N253" s="7">
        <f t="shared" si="78"/>
        <v>0.20588106313333032</v>
      </c>
      <c r="O253" s="11"/>
      <c r="P253" s="6">
        <v>43894.71</v>
      </c>
      <c r="Q253" s="2"/>
      <c r="R253" s="7">
        <f t="shared" si="79"/>
        <v>4.509433474573347E-3</v>
      </c>
      <c r="S253" s="2"/>
      <c r="T253" s="6">
        <v>56209.310000000005</v>
      </c>
      <c r="U253" s="2"/>
      <c r="V253" s="7">
        <f t="shared" si="80"/>
        <v>5.6007581333477252E-3</v>
      </c>
      <c r="W253" s="2"/>
      <c r="X253" s="6">
        <f t="shared" si="81"/>
        <v>-12314.600000000006</v>
      </c>
      <c r="Y253" s="2"/>
      <c r="Z253" s="7">
        <f t="shared" si="82"/>
        <v>-0.21908470322798848</v>
      </c>
    </row>
    <row r="254" spans="1:26" s="24" customFormat="1" hidden="1" outlineLevel="2" x14ac:dyDescent="0.25">
      <c r="A254" s="28"/>
      <c r="B254" s="11" t="str">
        <f>CONCATENATE("          ", "6375", " - ", "OUTSIDE REPAIRS &amp; MAINTENANCE")</f>
        <v xml:space="preserve">          6375 - OUTSIDE REPAIRS &amp; MAINTENANCE</v>
      </c>
      <c r="C254" s="11"/>
      <c r="D254" s="6">
        <v>17246.070000000003</v>
      </c>
      <c r="E254" s="2"/>
      <c r="F254" s="7">
        <f t="shared" si="75"/>
        <v>4.3020878933643925E-3</v>
      </c>
      <c r="G254" s="2"/>
      <c r="H254" s="6">
        <v>9967.59</v>
      </c>
      <c r="I254" s="2"/>
      <c r="J254" s="7">
        <f t="shared" si="76"/>
        <v>2.4689080100017968E-3</v>
      </c>
      <c r="K254" s="2"/>
      <c r="L254" s="6">
        <f t="shared" si="77"/>
        <v>7278.4800000000032</v>
      </c>
      <c r="M254" s="2"/>
      <c r="N254" s="7">
        <f t="shared" si="78"/>
        <v>0.73021462560157502</v>
      </c>
      <c r="O254" s="11"/>
      <c r="P254" s="6">
        <v>68771.59</v>
      </c>
      <c r="Q254" s="2"/>
      <c r="R254" s="7">
        <f t="shared" si="79"/>
        <v>7.0651089856985875E-3</v>
      </c>
      <c r="S254" s="2"/>
      <c r="T254" s="6">
        <v>51834.780000000006</v>
      </c>
      <c r="U254" s="2"/>
      <c r="V254" s="7">
        <f t="shared" si="80"/>
        <v>5.1648751012117033E-3</v>
      </c>
      <c r="W254" s="2"/>
      <c r="X254" s="6">
        <f t="shared" si="81"/>
        <v>16936.80999999999</v>
      </c>
      <c r="Y254" s="2"/>
      <c r="Z254" s="7">
        <f t="shared" si="82"/>
        <v>0.32674605737691931</v>
      </c>
    </row>
    <row r="255" spans="1:26" s="29" customFormat="1" outlineLevel="1" collapsed="1" x14ac:dyDescent="0.25">
      <c r="A255" s="27"/>
      <c r="B255" s="14" t="str">
        <f>CONCATENATE("     ","Royalty &amp; Commissions                             ")</f>
        <v xml:space="preserve">     Royalty &amp; Commissions                             </v>
      </c>
      <c r="C255" s="14"/>
      <c r="D255" s="1">
        <f>SUM(OSRRefD22_19x_0)</f>
        <v>42816</v>
      </c>
      <c r="E255" s="1"/>
      <c r="F255" s="5">
        <f t="shared" ref="F255:F258" si="83">IF(D$12=0,0,D255/D$12)</f>
        <v>1.0680589562856339E-2</v>
      </c>
      <c r="G255" s="1"/>
      <c r="H255" s="1">
        <f>SUM(OSRRefH22_19x_0)</f>
        <v>44266.130000000005</v>
      </c>
      <c r="I255" s="1"/>
      <c r="J255" s="5">
        <f t="shared" ref="J255:J258" si="84">IF(H$12=0,0,H255/H$12)</f>
        <v>1.0964436030051481E-2</v>
      </c>
      <c r="K255" s="1"/>
      <c r="L255" s="1">
        <f t="shared" ref="L255:L258" si="85">+D255-H255</f>
        <v>-1450.1300000000047</v>
      </c>
      <c r="M255" s="1"/>
      <c r="N255" s="5">
        <f t="shared" ref="N255:N258" si="86">IF(H255=0,0,L255/H255)</f>
        <v>-3.2759358001252979E-2</v>
      </c>
      <c r="O255" s="14"/>
      <c r="P255" s="1">
        <f>SUM(OSRRefP22_19x_0)</f>
        <v>85389.66</v>
      </c>
      <c r="Q255" s="1"/>
      <c r="R255" s="5">
        <f t="shared" ref="R255:R258" si="87">IF(P$12=0,0,P255/P$12)</f>
        <v>8.7723325017168771E-3</v>
      </c>
      <c r="S255" s="1"/>
      <c r="T255" s="1">
        <f>SUM(OSRRefT22_19x_0)</f>
        <v>92896.39</v>
      </c>
      <c r="U255" s="1"/>
      <c r="V255" s="5">
        <f t="shared" ref="V255:V258" si="88">IF(T$12=0,0,T255/T$12)</f>
        <v>9.2562995676542248E-3</v>
      </c>
      <c r="W255" s="1"/>
      <c r="X255" s="1">
        <f t="shared" ref="X255:X258" si="89">+P255-T255</f>
        <v>-7506.7299999999959</v>
      </c>
      <c r="Y255" s="1"/>
      <c r="Z255" s="5">
        <f t="shared" ref="Z255:Z258" si="90">IF(T255=0,0,X255/T255)</f>
        <v>-8.0807553447448235E-2</v>
      </c>
    </row>
    <row r="256" spans="1:26" s="24" customFormat="1" hidden="1" outlineLevel="2" x14ac:dyDescent="0.25">
      <c r="A256" s="28"/>
      <c r="B256" s="11" t="str">
        <f>CONCATENATE("          ", "6253", " - ", "ROYALTY DUE ATHLETICS-LRG")</f>
        <v xml:space="preserve">          6253 - ROYALTY DUE ATHLETICS-LRG</v>
      </c>
      <c r="C256" s="11"/>
      <c r="D256" s="6"/>
      <c r="E256" s="2"/>
      <c r="F256" s="7">
        <f t="shared" si="83"/>
        <v>0</v>
      </c>
      <c r="G256" s="2"/>
      <c r="H256" s="6"/>
      <c r="I256" s="2"/>
      <c r="J256" s="7">
        <f t="shared" si="84"/>
        <v>0</v>
      </c>
      <c r="K256" s="2"/>
      <c r="L256" s="6">
        <f t="shared" si="85"/>
        <v>0</v>
      </c>
      <c r="M256" s="2"/>
      <c r="N256" s="7">
        <f t="shared" si="86"/>
        <v>0</v>
      </c>
      <c r="O256" s="11"/>
      <c r="P256" s="6">
        <v>4366.95</v>
      </c>
      <c r="Q256" s="2"/>
      <c r="R256" s="7">
        <f t="shared" si="87"/>
        <v>4.4862969847136655E-4</v>
      </c>
      <c r="S256" s="2"/>
      <c r="T256" s="6">
        <v>6645.39</v>
      </c>
      <c r="U256" s="2"/>
      <c r="V256" s="7">
        <f t="shared" si="88"/>
        <v>6.6215404693221883E-4</v>
      </c>
      <c r="W256" s="2"/>
      <c r="X256" s="6">
        <f t="shared" si="89"/>
        <v>-2278.4400000000005</v>
      </c>
      <c r="Y256" s="2"/>
      <c r="Z256" s="7">
        <f t="shared" si="90"/>
        <v>-0.34286023845101649</v>
      </c>
    </row>
    <row r="257" spans="1:26" s="24" customFormat="1" hidden="1" outlineLevel="2" x14ac:dyDescent="0.25">
      <c r="A257" s="28"/>
      <c r="B257" s="11" t="str">
        <f>CONCATENATE("          ", "6254", " - ", "ROYALTY &amp; COMMISSIONS")</f>
        <v xml:space="preserve">          6254 - ROYALTY &amp; COMMISSIONS</v>
      </c>
      <c r="C257" s="11"/>
      <c r="D257" s="6">
        <v>15852.8</v>
      </c>
      <c r="E257" s="2"/>
      <c r="F257" s="7">
        <f t="shared" si="83"/>
        <v>3.9545321894163153E-3</v>
      </c>
      <c r="G257" s="2"/>
      <c r="H257" s="6">
        <v>16959.62</v>
      </c>
      <c r="I257" s="2"/>
      <c r="J257" s="7">
        <f t="shared" si="84"/>
        <v>4.2007889233592749E-3</v>
      </c>
      <c r="K257" s="2"/>
      <c r="L257" s="6">
        <f t="shared" si="85"/>
        <v>-1106.8199999999997</v>
      </c>
      <c r="M257" s="2"/>
      <c r="N257" s="7">
        <f t="shared" si="86"/>
        <v>-6.5262075447445153E-2</v>
      </c>
      <c r="O257" s="11"/>
      <c r="P257" s="6">
        <v>40946.93</v>
      </c>
      <c r="Q257" s="2"/>
      <c r="R257" s="7">
        <f t="shared" si="87"/>
        <v>4.2065993105549994E-3</v>
      </c>
      <c r="S257" s="2"/>
      <c r="T257" s="6">
        <v>46057.33</v>
      </c>
      <c r="U257" s="2"/>
      <c r="V257" s="7">
        <f t="shared" si="88"/>
        <v>4.5892035607229507E-3</v>
      </c>
      <c r="W257" s="2"/>
      <c r="X257" s="6">
        <f t="shared" si="89"/>
        <v>-5110.4000000000015</v>
      </c>
      <c r="Y257" s="2"/>
      <c r="Z257" s="7">
        <f t="shared" si="90"/>
        <v>-0.11095736552683365</v>
      </c>
    </row>
    <row r="258" spans="1:26" s="24" customFormat="1" hidden="1" outlineLevel="2" x14ac:dyDescent="0.25">
      <c r="A258" s="28"/>
      <c r="B258" s="11" t="str">
        <f>CONCATENATE("          ", "6259", " - ", "ROYALTY &amp; COMMISSIONS")</f>
        <v xml:space="preserve">          6259 - ROYALTY &amp; COMMISSIONS</v>
      </c>
      <c r="C258" s="11"/>
      <c r="D258" s="6">
        <v>26963.200000000001</v>
      </c>
      <c r="E258" s="2"/>
      <c r="F258" s="7">
        <f t="shared" si="83"/>
        <v>6.7260573734400225E-3</v>
      </c>
      <c r="G258" s="2"/>
      <c r="H258" s="6">
        <v>27306.510000000002</v>
      </c>
      <c r="I258" s="2"/>
      <c r="J258" s="7">
        <f t="shared" si="84"/>
        <v>6.7636471066922065E-3</v>
      </c>
      <c r="K258" s="2"/>
      <c r="L258" s="6">
        <f t="shared" si="85"/>
        <v>-343.31000000000131</v>
      </c>
      <c r="M258" s="2"/>
      <c r="N258" s="7">
        <f t="shared" si="86"/>
        <v>-1.2572459827345247E-2</v>
      </c>
      <c r="O258" s="11"/>
      <c r="P258" s="6">
        <v>40075.78</v>
      </c>
      <c r="Q258" s="2"/>
      <c r="R258" s="7">
        <f t="shared" si="87"/>
        <v>4.1171034926905103E-3</v>
      </c>
      <c r="S258" s="2"/>
      <c r="T258" s="6">
        <v>40193.67</v>
      </c>
      <c r="U258" s="2"/>
      <c r="V258" s="7">
        <f t="shared" si="88"/>
        <v>4.0049419599990539E-3</v>
      </c>
      <c r="W258" s="2"/>
      <c r="X258" s="6">
        <f t="shared" si="89"/>
        <v>-117.88999999999942</v>
      </c>
      <c r="Y258" s="2"/>
      <c r="Z258" s="7">
        <f t="shared" si="90"/>
        <v>-2.9330489104378728E-3</v>
      </c>
    </row>
    <row r="259" spans="1:26" s="29" customFormat="1" outlineLevel="1" collapsed="1" x14ac:dyDescent="0.25">
      <c r="A259" s="27"/>
      <c r="B259" s="14" t="str">
        <f>CONCATENATE("     ","Services                                          ")</f>
        <v xml:space="preserve">     Services                                          </v>
      </c>
      <c r="C259" s="14"/>
      <c r="D259" s="1">
        <f>SUM(OSRRefD22_20x_0)</f>
        <v>46414.92</v>
      </c>
      <c r="E259" s="1"/>
      <c r="F259" s="5">
        <f t="shared" ref="F259:F264" si="91">IF(D$12=0,0,D259/D$12)</f>
        <v>1.1578351787014479E-2</v>
      </c>
      <c r="G259" s="1"/>
      <c r="H259" s="1">
        <f>SUM(OSRRefH22_20x_0)</f>
        <v>46285.64</v>
      </c>
      <c r="I259" s="1"/>
      <c r="J259" s="5">
        <f t="shared" ref="J259:J264" si="92">IF(H$12=0,0,H259/H$12)</f>
        <v>1.1464655683476103E-2</v>
      </c>
      <c r="K259" s="1"/>
      <c r="L259" s="1">
        <f t="shared" ref="L259:L264" si="93">+D259-H259</f>
        <v>129.27999999999884</v>
      </c>
      <c r="M259" s="1"/>
      <c r="N259" s="5">
        <f t="shared" ref="N259:N264" si="94">IF(H259=0,0,L259/H259)</f>
        <v>2.7930909024915466E-3</v>
      </c>
      <c r="O259" s="14"/>
      <c r="P259" s="1">
        <f>SUM(OSRRefP22_20x_0)</f>
        <v>135922.57</v>
      </c>
      <c r="Q259" s="1"/>
      <c r="R259" s="5">
        <f t="shared" ref="R259:R264" si="95">IF(P$12=0,0,P259/P$12)</f>
        <v>1.3963727909537142E-2</v>
      </c>
      <c r="S259" s="1"/>
      <c r="T259" s="1">
        <f>SUM(OSRRefT22_20x_0)</f>
        <v>119966.83</v>
      </c>
      <c r="U259" s="1"/>
      <c r="V259" s="5">
        <f t="shared" ref="V259:V264" si="96">IF(T$12=0,0,T259/T$12)</f>
        <v>1.1953628302045405E-2</v>
      </c>
      <c r="W259" s="1"/>
      <c r="X259" s="1">
        <f t="shared" ref="X259:X264" si="97">+P259-T259</f>
        <v>15955.740000000005</v>
      </c>
      <c r="Y259" s="1"/>
      <c r="Z259" s="5">
        <f t="shared" ref="Z259:Z264" si="98">IF(T259=0,0,X259/T259)</f>
        <v>0.13300126376599269</v>
      </c>
    </row>
    <row r="260" spans="1:26" s="24" customFormat="1" hidden="1" outlineLevel="2" x14ac:dyDescent="0.25">
      <c r="A260" s="28"/>
      <c r="B260" s="11" t="str">
        <f>CONCATENATE("          ", "6282", " - ", "JANITORIAL/EXTERMINATOR EXPENS")</f>
        <v xml:space="preserve">          6282 - JANITORIAL/EXTERMINATOR EXPENS</v>
      </c>
      <c r="C260" s="11"/>
      <c r="D260" s="6">
        <v>3658.11</v>
      </c>
      <c r="E260" s="2"/>
      <c r="F260" s="7">
        <f t="shared" si="91"/>
        <v>9.125273609347066E-4</v>
      </c>
      <c r="G260" s="2"/>
      <c r="H260" s="6">
        <v>3662.46</v>
      </c>
      <c r="I260" s="2"/>
      <c r="J260" s="7">
        <f t="shared" si="92"/>
        <v>9.0716781391601993E-4</v>
      </c>
      <c r="K260" s="2"/>
      <c r="L260" s="6">
        <f t="shared" si="93"/>
        <v>-4.3499999999999091</v>
      </c>
      <c r="M260" s="2"/>
      <c r="N260" s="7">
        <f t="shared" si="94"/>
        <v>-1.1877262823347993E-3</v>
      </c>
      <c r="O260" s="11"/>
      <c r="P260" s="6">
        <v>11561.77</v>
      </c>
      <c r="Q260" s="2"/>
      <c r="R260" s="7">
        <f t="shared" si="95"/>
        <v>1.1877748517604488E-3</v>
      </c>
      <c r="S260" s="2"/>
      <c r="T260" s="6">
        <v>10674.96</v>
      </c>
      <c r="U260" s="2"/>
      <c r="V260" s="7">
        <f t="shared" si="96"/>
        <v>1.0636648811942653E-3</v>
      </c>
      <c r="W260" s="2"/>
      <c r="X260" s="6">
        <f t="shared" si="97"/>
        <v>886.81000000000131</v>
      </c>
      <c r="Y260" s="2"/>
      <c r="Z260" s="7">
        <f t="shared" si="98"/>
        <v>8.307384758350396E-2</v>
      </c>
    </row>
    <row r="261" spans="1:26" s="24" customFormat="1" hidden="1" outlineLevel="2" x14ac:dyDescent="0.25">
      <c r="A261" s="28"/>
      <c r="B261" s="11" t="str">
        <f>CONCATENATE("          ", "6283", " - ", "PLANT SERVICE")</f>
        <v xml:space="preserve">          6283 - PLANT SERVICE</v>
      </c>
      <c r="C261" s="11"/>
      <c r="D261" s="6">
        <v>380.44</v>
      </c>
      <c r="E261" s="2"/>
      <c r="F261" s="7">
        <f t="shared" si="91"/>
        <v>9.4901987418092893E-5</v>
      </c>
      <c r="G261" s="2"/>
      <c r="H261" s="6">
        <v>349</v>
      </c>
      <c r="I261" s="2"/>
      <c r="J261" s="7">
        <f t="shared" si="92"/>
        <v>8.644505798198231E-5</v>
      </c>
      <c r="K261" s="2"/>
      <c r="L261" s="6">
        <f t="shared" si="93"/>
        <v>31.439999999999998</v>
      </c>
      <c r="M261" s="2"/>
      <c r="N261" s="7">
        <f t="shared" si="94"/>
        <v>9.0085959885386813E-2</v>
      </c>
      <c r="O261" s="11"/>
      <c r="P261" s="6">
        <v>1141.32</v>
      </c>
      <c r="Q261" s="2"/>
      <c r="R261" s="7">
        <f t="shared" si="95"/>
        <v>1.1725118159340961E-4</v>
      </c>
      <c r="S261" s="2"/>
      <c r="T261" s="6">
        <v>1047</v>
      </c>
      <c r="U261" s="2"/>
      <c r="V261" s="7">
        <f t="shared" si="96"/>
        <v>1.0432424389509616E-4</v>
      </c>
      <c r="W261" s="2"/>
      <c r="X261" s="6">
        <f t="shared" si="97"/>
        <v>94.319999999999936</v>
      </c>
      <c r="Y261" s="2"/>
      <c r="Z261" s="7">
        <f t="shared" si="98"/>
        <v>9.0085959885386757E-2</v>
      </c>
    </row>
    <row r="262" spans="1:26" s="24" customFormat="1" hidden="1" outlineLevel="2" x14ac:dyDescent="0.25">
      <c r="A262" s="28"/>
      <c r="B262" s="11" t="str">
        <f>CONCATENATE("          ", "6284", " - ", "TRASH REMOVAL EXPENSE")</f>
        <v xml:space="preserve">          6284 - TRASH REMOVAL EXPENSE</v>
      </c>
      <c r="C262" s="11"/>
      <c r="D262" s="6">
        <v>994.82</v>
      </c>
      <c r="E262" s="2"/>
      <c r="F262" s="7">
        <f t="shared" si="91"/>
        <v>2.4816106382942693E-4</v>
      </c>
      <c r="G262" s="2"/>
      <c r="H262" s="6">
        <v>6060.46</v>
      </c>
      <c r="I262" s="2"/>
      <c r="J262" s="7">
        <f t="shared" si="92"/>
        <v>1.5011370088753139E-3</v>
      </c>
      <c r="K262" s="2"/>
      <c r="L262" s="6">
        <f t="shared" si="93"/>
        <v>-5065.6400000000003</v>
      </c>
      <c r="M262" s="2"/>
      <c r="N262" s="7">
        <f t="shared" si="94"/>
        <v>-0.83585074400293047</v>
      </c>
      <c r="O262" s="11"/>
      <c r="P262" s="6">
        <v>5700.46</v>
      </c>
      <c r="Q262" s="2"/>
      <c r="R262" s="7">
        <f t="shared" si="95"/>
        <v>5.8562512759433624E-4</v>
      </c>
      <c r="S262" s="2"/>
      <c r="T262" s="6">
        <v>13049.38</v>
      </c>
      <c r="U262" s="2"/>
      <c r="V262" s="7">
        <f t="shared" si="96"/>
        <v>1.3002547295126933E-3</v>
      </c>
      <c r="W262" s="2"/>
      <c r="X262" s="6">
        <f t="shared" si="97"/>
        <v>-7348.9199999999992</v>
      </c>
      <c r="Y262" s="2"/>
      <c r="Z262" s="7">
        <f t="shared" si="98"/>
        <v>-0.56316238779160388</v>
      </c>
    </row>
    <row r="263" spans="1:26" s="24" customFormat="1" hidden="1" outlineLevel="2" x14ac:dyDescent="0.25">
      <c r="A263" s="28"/>
      <c r="B263" s="11" t="str">
        <f>CONCATENATE("          ", "6285", " - ", "JANITORIAL SERVICES")</f>
        <v xml:space="preserve">          6285 - JANITORIAL SERVICES</v>
      </c>
      <c r="C263" s="11"/>
      <c r="D263" s="6">
        <v>32138.240000000002</v>
      </c>
      <c r="E263" s="2"/>
      <c r="F263" s="7">
        <f t="shared" si="91"/>
        <v>8.0169878249386223E-3</v>
      </c>
      <c r="G263" s="2"/>
      <c r="H263" s="6">
        <v>27547.11</v>
      </c>
      <c r="I263" s="2"/>
      <c r="J263" s="7">
        <f t="shared" si="92"/>
        <v>6.8232421810488393E-3</v>
      </c>
      <c r="K263" s="2"/>
      <c r="L263" s="6">
        <f t="shared" si="93"/>
        <v>4591.130000000001</v>
      </c>
      <c r="M263" s="2"/>
      <c r="N263" s="7">
        <f t="shared" si="94"/>
        <v>0.16666467008698921</v>
      </c>
      <c r="O263" s="11"/>
      <c r="P263" s="6">
        <v>91238.7</v>
      </c>
      <c r="Q263" s="2"/>
      <c r="R263" s="7">
        <f t="shared" si="95"/>
        <v>9.3732216924671628E-3</v>
      </c>
      <c r="S263" s="2"/>
      <c r="T263" s="6">
        <v>72678.490000000005</v>
      </c>
      <c r="U263" s="2"/>
      <c r="V263" s="7">
        <f t="shared" si="96"/>
        <v>7.2417655364730741E-3</v>
      </c>
      <c r="W263" s="2"/>
      <c r="X263" s="6">
        <f t="shared" si="97"/>
        <v>18560.209999999992</v>
      </c>
      <c r="Y263" s="2"/>
      <c r="Z263" s="7">
        <f t="shared" si="98"/>
        <v>0.25537418292537434</v>
      </c>
    </row>
    <row r="264" spans="1:26" s="24" customFormat="1" hidden="1" outlineLevel="2" x14ac:dyDescent="0.25">
      <c r="A264" s="28"/>
      <c r="B264" s="11" t="str">
        <f>CONCATENATE("          ", "6286", " - ", "LAUNDRY EXPENSE")</f>
        <v xml:space="preserve">          6286 - LAUNDRY EXPENSE</v>
      </c>
      <c r="C264" s="11"/>
      <c r="D264" s="6">
        <v>9243.31</v>
      </c>
      <c r="E264" s="2"/>
      <c r="F264" s="7">
        <f t="shared" si="91"/>
        <v>2.305773549893629E-3</v>
      </c>
      <c r="G264" s="2"/>
      <c r="H264" s="6">
        <v>8666.61</v>
      </c>
      <c r="I264" s="2"/>
      <c r="J264" s="7">
        <f t="shared" si="92"/>
        <v>2.146663621653948E-3</v>
      </c>
      <c r="K264" s="2"/>
      <c r="L264" s="6">
        <f t="shared" si="93"/>
        <v>576.69999999999891</v>
      </c>
      <c r="M264" s="2"/>
      <c r="N264" s="7">
        <f t="shared" si="94"/>
        <v>6.6542742779471892E-2</v>
      </c>
      <c r="O264" s="11"/>
      <c r="P264" s="6">
        <v>26280.32</v>
      </c>
      <c r="Q264" s="2"/>
      <c r="R264" s="7">
        <f t="shared" si="95"/>
        <v>2.699855056121784E-3</v>
      </c>
      <c r="S264" s="2"/>
      <c r="T264" s="6">
        <v>22517</v>
      </c>
      <c r="U264" s="2"/>
      <c r="V264" s="7">
        <f t="shared" si="96"/>
        <v>2.2436189109702773E-3</v>
      </c>
      <c r="W264" s="2"/>
      <c r="X264" s="6">
        <f t="shared" si="97"/>
        <v>3763.3199999999997</v>
      </c>
      <c r="Y264" s="2"/>
      <c r="Z264" s="7">
        <f t="shared" si="98"/>
        <v>0.16713238886174889</v>
      </c>
    </row>
    <row r="265" spans="1:26" s="29" customFormat="1" outlineLevel="1" collapsed="1" x14ac:dyDescent="0.25">
      <c r="A265" s="27"/>
      <c r="B265" s="14" t="str">
        <f>CONCATENATE("     ","Subscriptions &amp; Dues                              ")</f>
        <v xml:space="preserve">     Subscriptions &amp; Dues                              </v>
      </c>
      <c r="C265" s="14"/>
      <c r="D265" s="1">
        <f>SUM(OSRRefD22_21x_0)</f>
        <v>1337.8</v>
      </c>
      <c r="E265" s="1"/>
      <c r="F265" s="5">
        <f t="shared" ref="F265:F267" si="99">IF(D$12=0,0,D265/D$12)</f>
        <v>3.3371853319294676E-4</v>
      </c>
      <c r="G265" s="1"/>
      <c r="H265" s="1">
        <f>SUM(OSRRefH22_21x_0)</f>
        <v>1093.74</v>
      </c>
      <c r="I265" s="1"/>
      <c r="J265" s="5">
        <f t="shared" ref="J265:J267" si="100">IF(H$12=0,0,H265/H$12)</f>
        <v>2.7091237168255973E-4</v>
      </c>
      <c r="K265" s="1"/>
      <c r="L265" s="1">
        <f t="shared" ref="L265:L267" si="101">+D265-H265</f>
        <v>244.05999999999995</v>
      </c>
      <c r="M265" s="1"/>
      <c r="N265" s="5">
        <f t="shared" ref="N265:N267" si="102">IF(H265=0,0,L265/H265)</f>
        <v>0.22314261158959162</v>
      </c>
      <c r="O265" s="14"/>
      <c r="P265" s="1">
        <f>SUM(OSRRefP22_21x_0)</f>
        <v>-1468.9700000000003</v>
      </c>
      <c r="Q265" s="1"/>
      <c r="R265" s="5">
        <f t="shared" ref="R265:R267" si="103">IF(P$12=0,0,P265/P$12)</f>
        <v>-1.5091163584732674E-4</v>
      </c>
      <c r="S265" s="1"/>
      <c r="T265" s="1">
        <f>SUM(OSRRefT22_21x_0)</f>
        <v>2844.7</v>
      </c>
      <c r="U265" s="1"/>
      <c r="V265" s="5">
        <f t="shared" ref="V265:V267" si="104">IF(T$12=0,0,T265/T$12)</f>
        <v>2.8344907030408793E-4</v>
      </c>
      <c r="W265" s="1"/>
      <c r="X265" s="1">
        <f t="shared" ref="X265:X267" si="105">+P265-T265</f>
        <v>-4313.67</v>
      </c>
      <c r="Y265" s="1"/>
      <c r="Z265" s="5">
        <f t="shared" ref="Z265:Z267" si="106">IF(T265=0,0,X265/T265)</f>
        <v>-1.516388371357261</v>
      </c>
    </row>
    <row r="266" spans="1:26" s="24" customFormat="1" hidden="1" outlineLevel="2" x14ac:dyDescent="0.25">
      <c r="A266" s="28"/>
      <c r="B266" s="11" t="str">
        <f>CONCATENATE("          ", "6258", " - ", "MEMBERSHIP DUES")</f>
        <v xml:space="preserve">          6258 - MEMBERSHIP DUES</v>
      </c>
      <c r="C266" s="11"/>
      <c r="D266" s="6">
        <v>250</v>
      </c>
      <c r="E266" s="2"/>
      <c r="F266" s="7">
        <f t="shared" si="99"/>
        <v>6.2363307892238519E-5</v>
      </c>
      <c r="G266" s="2"/>
      <c r="H266" s="6">
        <v>370</v>
      </c>
      <c r="I266" s="2"/>
      <c r="J266" s="7">
        <f t="shared" si="100"/>
        <v>9.1646623075454034E-5</v>
      </c>
      <c r="K266" s="2"/>
      <c r="L266" s="6">
        <f t="shared" si="101"/>
        <v>-120</v>
      </c>
      <c r="M266" s="2"/>
      <c r="N266" s="7">
        <f t="shared" si="102"/>
        <v>-0.32432432432432434</v>
      </c>
      <c r="O266" s="11"/>
      <c r="P266" s="6">
        <v>-4091.15</v>
      </c>
      <c r="Q266" s="2"/>
      <c r="R266" s="7">
        <f t="shared" si="103"/>
        <v>-4.2029594817919407E-4</v>
      </c>
      <c r="S266" s="2"/>
      <c r="T266" s="6">
        <v>923.9</v>
      </c>
      <c r="U266" s="2"/>
      <c r="V266" s="7">
        <f t="shared" si="104"/>
        <v>9.2058423051269667E-5</v>
      </c>
      <c r="W266" s="2"/>
      <c r="X266" s="6">
        <f t="shared" si="105"/>
        <v>-5015.05</v>
      </c>
      <c r="Y266" s="2"/>
      <c r="Z266" s="7">
        <f t="shared" si="106"/>
        <v>-5.428130750081178</v>
      </c>
    </row>
    <row r="267" spans="1:26" s="24" customFormat="1" hidden="1" outlineLevel="2" x14ac:dyDescent="0.25">
      <c r="A267" s="28"/>
      <c r="B267" s="11" t="str">
        <f>CONCATENATE("          ", "6275", " - ", "SUBSCRIPTIONS")</f>
        <v xml:space="preserve">          6275 - SUBSCRIPTIONS</v>
      </c>
      <c r="C267" s="11"/>
      <c r="D267" s="6">
        <v>1087.8</v>
      </c>
      <c r="E267" s="2"/>
      <c r="F267" s="7">
        <f t="shared" si="99"/>
        <v>2.7135522530070825E-4</v>
      </c>
      <c r="G267" s="2"/>
      <c r="H267" s="6">
        <v>723.74</v>
      </c>
      <c r="I267" s="2"/>
      <c r="J267" s="7">
        <f t="shared" si="100"/>
        <v>1.7926574860710568E-4</v>
      </c>
      <c r="K267" s="2"/>
      <c r="L267" s="6">
        <f t="shared" si="101"/>
        <v>364.05999999999995</v>
      </c>
      <c r="M267" s="2"/>
      <c r="N267" s="7">
        <f t="shared" si="102"/>
        <v>0.50302594854505756</v>
      </c>
      <c r="O267" s="11"/>
      <c r="P267" s="6">
        <v>2622.18</v>
      </c>
      <c r="Q267" s="2"/>
      <c r="R267" s="7">
        <f t="shared" si="103"/>
        <v>2.693843123318673E-4</v>
      </c>
      <c r="S267" s="2"/>
      <c r="T267" s="6">
        <v>1920.8</v>
      </c>
      <c r="U267" s="2"/>
      <c r="V267" s="7">
        <f t="shared" si="104"/>
        <v>1.9139064725281826E-4</v>
      </c>
      <c r="W267" s="2"/>
      <c r="X267" s="6">
        <f t="shared" si="105"/>
        <v>701.37999999999988</v>
      </c>
      <c r="Y267" s="2"/>
      <c r="Z267" s="7">
        <f t="shared" si="106"/>
        <v>0.36514993752603075</v>
      </c>
    </row>
    <row r="268" spans="1:26" s="29" customFormat="1" outlineLevel="1" collapsed="1" x14ac:dyDescent="0.25">
      <c r="A268" s="27"/>
      <c r="B268" s="14" t="str">
        <f>CONCATENATE("     ","Supplies                                          ")</f>
        <v xml:space="preserve">     Supplies                                          </v>
      </c>
      <c r="C268" s="14"/>
      <c r="D268" s="1">
        <f>SUM(OSRRefD22_22x_0)</f>
        <v>82233.450000000012</v>
      </c>
      <c r="E268" s="1"/>
      <c r="F268" s="5">
        <f t="shared" ref="F268:F276" si="107">IF(D$12=0,0,D268/D$12)</f>
        <v>2.0513399845564009E-2</v>
      </c>
      <c r="G268" s="1"/>
      <c r="H268" s="1">
        <f>SUM(OSRRefH22_22x_0)</f>
        <v>64004.910000000011</v>
      </c>
      <c r="I268" s="1"/>
      <c r="J268" s="5">
        <f t="shared" ref="J268:J276" si="108">IF(H$12=0,0,H268/H$12)</f>
        <v>1.5853605031752323E-2</v>
      </c>
      <c r="K268" s="1"/>
      <c r="L268" s="1">
        <f t="shared" ref="L268:L276" si="109">+D268-H268</f>
        <v>18228.54</v>
      </c>
      <c r="M268" s="1"/>
      <c r="N268" s="5">
        <f t="shared" ref="N268:N276" si="110">IF(H268=0,0,L268/H268)</f>
        <v>0.28479908806996213</v>
      </c>
      <c r="O268" s="14"/>
      <c r="P268" s="1">
        <f>SUM(OSRRefP22_22x_0)</f>
        <v>213810.63999999998</v>
      </c>
      <c r="Q268" s="1"/>
      <c r="R268" s="5">
        <f t="shared" ref="R268:R276" si="111">IF(P$12=0,0,P268/P$12)</f>
        <v>2.1965399867910077E-2</v>
      </c>
      <c r="S268" s="1"/>
      <c r="T268" s="1">
        <f>SUM(OSRRefT22_22x_0)</f>
        <v>241658.25999999998</v>
      </c>
      <c r="U268" s="1"/>
      <c r="V268" s="5">
        <f t="shared" ref="V268:V276" si="112">IF(T$12=0,0,T268/T$12)</f>
        <v>2.4079097665238358E-2</v>
      </c>
      <c r="W268" s="1"/>
      <c r="X268" s="1">
        <f t="shared" ref="X268:X276" si="113">+P268-T268</f>
        <v>-27847.619999999995</v>
      </c>
      <c r="Y268" s="1"/>
      <c r="Z268" s="5">
        <f t="shared" ref="Z268:Z276" si="114">IF(T268=0,0,X268/T268)</f>
        <v>-0.11523553964180656</v>
      </c>
    </row>
    <row r="269" spans="1:26" s="24" customFormat="1" hidden="1" outlineLevel="2" x14ac:dyDescent="0.25">
      <c r="A269" s="28"/>
      <c r="B269" s="11" t="str">
        <f>CONCATENATE("          ", "6234", " - ", "EXPENDABLE SUPPLIES &amp; EQUIPMEN")</f>
        <v xml:space="preserve">          6234 - EXPENDABLE SUPPLIES &amp; EQUIPMEN</v>
      </c>
      <c r="C269" s="11"/>
      <c r="D269" s="6">
        <v>7670.09</v>
      </c>
      <c r="E269" s="2"/>
      <c r="F269" s="7">
        <f t="shared" si="107"/>
        <v>1.9133287369247191E-3</v>
      </c>
      <c r="G269" s="2"/>
      <c r="H269" s="6">
        <v>1860.17</v>
      </c>
      <c r="I269" s="2"/>
      <c r="J269" s="7">
        <f t="shared" si="108"/>
        <v>4.6075215904396575E-4</v>
      </c>
      <c r="K269" s="2"/>
      <c r="L269" s="6">
        <f t="shared" si="109"/>
        <v>5809.92</v>
      </c>
      <c r="M269" s="2"/>
      <c r="N269" s="7">
        <f t="shared" si="110"/>
        <v>3.1233274378148232</v>
      </c>
      <c r="O269" s="11"/>
      <c r="P269" s="6">
        <v>10863.7</v>
      </c>
      <c r="Q269" s="2"/>
      <c r="R269" s="7">
        <f t="shared" si="111"/>
        <v>1.1160600545651737E-3</v>
      </c>
      <c r="S269" s="2"/>
      <c r="T269" s="6">
        <v>7619.59</v>
      </c>
      <c r="U269" s="2"/>
      <c r="V269" s="7">
        <f t="shared" si="112"/>
        <v>7.5922441789936569E-4</v>
      </c>
      <c r="W269" s="2"/>
      <c r="X269" s="6">
        <f t="shared" si="113"/>
        <v>3244.1100000000006</v>
      </c>
      <c r="Y269" s="2"/>
      <c r="Z269" s="7">
        <f t="shared" si="114"/>
        <v>0.4257591287720206</v>
      </c>
    </row>
    <row r="270" spans="1:26" s="24" customFormat="1" hidden="1" outlineLevel="2" x14ac:dyDescent="0.25">
      <c r="A270" s="28"/>
      <c r="B270" s="11" t="str">
        <f>CONCATENATE("          ", "6237", " - ", "JANITORIAL SUPPLIES")</f>
        <v xml:space="preserve">          6237 - JANITORIAL SUPPLIES</v>
      </c>
      <c r="C270" s="11"/>
      <c r="D270" s="6">
        <v>12438.17</v>
      </c>
      <c r="E270" s="2"/>
      <c r="F270" s="7">
        <f t="shared" si="107"/>
        <v>3.1027417013040175E-3</v>
      </c>
      <c r="G270" s="2"/>
      <c r="H270" s="6">
        <v>16690.05</v>
      </c>
      <c r="I270" s="2"/>
      <c r="J270" s="7">
        <f t="shared" si="108"/>
        <v>4.1340181661094098E-3</v>
      </c>
      <c r="K270" s="2"/>
      <c r="L270" s="6">
        <f t="shared" si="109"/>
        <v>-4251.8799999999992</v>
      </c>
      <c r="M270" s="2"/>
      <c r="N270" s="7">
        <f t="shared" si="110"/>
        <v>-0.25475537820437921</v>
      </c>
      <c r="O270" s="11"/>
      <c r="P270" s="6">
        <v>37501.420000000006</v>
      </c>
      <c r="Q270" s="2"/>
      <c r="R270" s="7">
        <f t="shared" si="111"/>
        <v>3.8526318704926962E-3</v>
      </c>
      <c r="S270" s="2"/>
      <c r="T270" s="6">
        <v>43436.579999999994</v>
      </c>
      <c r="U270" s="2"/>
      <c r="V270" s="7">
        <f t="shared" si="112"/>
        <v>4.3280691173723553E-3</v>
      </c>
      <c r="W270" s="2"/>
      <c r="X270" s="6">
        <f t="shared" si="113"/>
        <v>-5935.1599999999889</v>
      </c>
      <c r="Y270" s="2"/>
      <c r="Z270" s="7">
        <f t="shared" si="114"/>
        <v>-0.13663967098698815</v>
      </c>
    </row>
    <row r="271" spans="1:26" s="24" customFormat="1" hidden="1" outlineLevel="2" x14ac:dyDescent="0.25">
      <c r="A271" s="28"/>
      <c r="B271" s="11" t="str">
        <f>CONCATENATE("          ", "6239", " - ", "KITCHEN SUPPLIES")</f>
        <v xml:space="preserve">          6239 - KITCHEN SUPPLIES</v>
      </c>
      <c r="C271" s="11"/>
      <c r="D271" s="6">
        <v>16957.86</v>
      </c>
      <c r="E271" s="2"/>
      <c r="F271" s="7">
        <f t="shared" si="107"/>
        <v>4.2301929774939042E-3</v>
      </c>
      <c r="G271" s="2"/>
      <c r="H271" s="6">
        <v>6224.33</v>
      </c>
      <c r="I271" s="2"/>
      <c r="J271" s="7">
        <f t="shared" si="108"/>
        <v>1.5417265551547047E-3</v>
      </c>
      <c r="K271" s="2"/>
      <c r="L271" s="6">
        <f t="shared" si="109"/>
        <v>10733.53</v>
      </c>
      <c r="M271" s="2"/>
      <c r="N271" s="7">
        <f t="shared" si="110"/>
        <v>1.7244474505689771</v>
      </c>
      <c r="O271" s="11"/>
      <c r="P271" s="6">
        <v>33175.129999999997</v>
      </c>
      <c r="Q271" s="2"/>
      <c r="R271" s="7">
        <f t="shared" si="111"/>
        <v>3.4081792941637497E-3</v>
      </c>
      <c r="S271" s="2"/>
      <c r="T271" s="6">
        <v>16054.249999999998</v>
      </c>
      <c r="U271" s="2"/>
      <c r="V271" s="7">
        <f t="shared" si="112"/>
        <v>1.5996633166693863E-3</v>
      </c>
      <c r="W271" s="2"/>
      <c r="X271" s="6">
        <f t="shared" si="113"/>
        <v>17120.879999999997</v>
      </c>
      <c r="Y271" s="2"/>
      <c r="Z271" s="7">
        <f t="shared" si="114"/>
        <v>1.0664391049099147</v>
      </c>
    </row>
    <row r="272" spans="1:26" s="24" customFormat="1" hidden="1" outlineLevel="2" x14ac:dyDescent="0.25">
      <c r="A272" s="28"/>
      <c r="B272" s="11" t="str">
        <f>CONCATENATE("          ", "6241", " - ", "OFFICE EXPENSE")</f>
        <v xml:space="preserve">          6241 - OFFICE EXPENSE</v>
      </c>
      <c r="C272" s="11"/>
      <c r="D272" s="6">
        <v>10026.39</v>
      </c>
      <c r="E272" s="2"/>
      <c r="F272" s="7">
        <f t="shared" si="107"/>
        <v>2.5011153864706454E-3</v>
      </c>
      <c r="G272" s="2"/>
      <c r="H272" s="6">
        <v>663.35</v>
      </c>
      <c r="I272" s="2"/>
      <c r="J272" s="7">
        <f t="shared" si="108"/>
        <v>1.6430753355973631E-4</v>
      </c>
      <c r="K272" s="2"/>
      <c r="L272" s="6">
        <f t="shared" si="109"/>
        <v>9363.0399999999991</v>
      </c>
      <c r="M272" s="2"/>
      <c r="N272" s="7">
        <f t="shared" si="110"/>
        <v>14.114781035652369</v>
      </c>
      <c r="O272" s="11"/>
      <c r="P272" s="6">
        <v>61189.170000000006</v>
      </c>
      <c r="Q272" s="2"/>
      <c r="R272" s="7">
        <f t="shared" si="111"/>
        <v>6.2861445372200718E-3</v>
      </c>
      <c r="S272" s="2"/>
      <c r="T272" s="6">
        <v>56926.270000000004</v>
      </c>
      <c r="U272" s="2"/>
      <c r="V272" s="7">
        <f t="shared" si="112"/>
        <v>5.6721968247546292E-3</v>
      </c>
      <c r="W272" s="2"/>
      <c r="X272" s="6">
        <f t="shared" si="113"/>
        <v>4262.9000000000015</v>
      </c>
      <c r="Y272" s="2"/>
      <c r="Z272" s="7">
        <f t="shared" si="114"/>
        <v>7.4884583163449869E-2</v>
      </c>
    </row>
    <row r="273" spans="1:26" s="24" customFormat="1" hidden="1" outlineLevel="2" x14ac:dyDescent="0.25">
      <c r="A273" s="28"/>
      <c r="B273" s="11" t="str">
        <f>CONCATENATE("          ", "6243", " - ", "PAPER SUPPLIES")</f>
        <v xml:space="preserve">          6243 - PAPER SUPPLIES</v>
      </c>
      <c r="C273" s="11"/>
      <c r="D273" s="6">
        <v>10742.08</v>
      </c>
      <c r="E273" s="2"/>
      <c r="F273" s="7">
        <f t="shared" si="107"/>
        <v>2.6796465697722302E-3</v>
      </c>
      <c r="G273" s="2"/>
      <c r="H273" s="6">
        <v>22524.95</v>
      </c>
      <c r="I273" s="2"/>
      <c r="J273" s="7">
        <f t="shared" si="108"/>
        <v>5.5792854120093197E-3</v>
      </c>
      <c r="K273" s="2"/>
      <c r="L273" s="6">
        <f t="shared" si="109"/>
        <v>-11782.87</v>
      </c>
      <c r="M273" s="2"/>
      <c r="N273" s="7">
        <f t="shared" si="110"/>
        <v>-0.52310304795349161</v>
      </c>
      <c r="O273" s="11"/>
      <c r="P273" s="6">
        <v>30475.699999999997</v>
      </c>
      <c r="Q273" s="2"/>
      <c r="R273" s="7">
        <f t="shared" si="111"/>
        <v>3.1308588606931212E-3</v>
      </c>
      <c r="S273" s="2"/>
      <c r="T273" s="6">
        <v>43072.65</v>
      </c>
      <c r="U273" s="2"/>
      <c r="V273" s="7">
        <f t="shared" si="112"/>
        <v>4.2918067276104246E-3</v>
      </c>
      <c r="W273" s="2"/>
      <c r="X273" s="6">
        <f t="shared" si="113"/>
        <v>-12596.950000000004</v>
      </c>
      <c r="Y273" s="2"/>
      <c r="Z273" s="7">
        <f t="shared" si="114"/>
        <v>-0.29245820723823596</v>
      </c>
    </row>
    <row r="274" spans="1:26" s="24" customFormat="1" hidden="1" outlineLevel="2" x14ac:dyDescent="0.25">
      <c r="A274" s="28"/>
      <c r="B274" s="11" t="str">
        <f>CONCATENATE("          ", "6245", " - ", "PRINTING")</f>
        <v xml:space="preserve">          6245 - PRINTING</v>
      </c>
      <c r="C274" s="11"/>
      <c r="D274" s="6">
        <v>439.54</v>
      </c>
      <c r="E274" s="2"/>
      <c r="F274" s="7">
        <f t="shared" si="107"/>
        <v>1.0964467340381808E-4</v>
      </c>
      <c r="G274" s="2"/>
      <c r="H274" s="6">
        <v>5279.93</v>
      </c>
      <c r="I274" s="2"/>
      <c r="J274" s="7">
        <f t="shared" si="108"/>
        <v>1.3078047420940055E-3</v>
      </c>
      <c r="K274" s="2"/>
      <c r="L274" s="6">
        <f t="shared" si="109"/>
        <v>-4840.3900000000003</v>
      </c>
      <c r="M274" s="2"/>
      <c r="N274" s="7">
        <f t="shared" si="110"/>
        <v>-0.91675268422119238</v>
      </c>
      <c r="O274" s="11"/>
      <c r="P274" s="6">
        <v>6918.57</v>
      </c>
      <c r="Q274" s="2"/>
      <c r="R274" s="7">
        <f t="shared" si="111"/>
        <v>7.1076517316503345E-4</v>
      </c>
      <c r="S274" s="2"/>
      <c r="T274" s="6">
        <v>7535.27</v>
      </c>
      <c r="U274" s="2"/>
      <c r="V274" s="7">
        <f t="shared" si="112"/>
        <v>7.5082267936523535E-4</v>
      </c>
      <c r="W274" s="2"/>
      <c r="X274" s="6">
        <f t="shared" si="113"/>
        <v>-616.70000000000073</v>
      </c>
      <c r="Y274" s="2"/>
      <c r="Z274" s="7">
        <f t="shared" si="114"/>
        <v>-8.1841791999490487E-2</v>
      </c>
    </row>
    <row r="275" spans="1:26" s="24" customFormat="1" hidden="1" outlineLevel="2" x14ac:dyDescent="0.25">
      <c r="A275" s="28"/>
      <c r="B275" s="11" t="str">
        <f>CONCATENATE("          ", "6247", " - ", "STORE SUPPLIES")</f>
        <v xml:space="preserve">          6247 - STORE SUPPLIES</v>
      </c>
      <c r="C275" s="11"/>
      <c r="D275" s="6">
        <v>23289.969999999998</v>
      </c>
      <c r="E275" s="2"/>
      <c r="F275" s="7">
        <f t="shared" si="107"/>
        <v>5.8097582796439928E-3</v>
      </c>
      <c r="G275" s="2"/>
      <c r="H275" s="6">
        <v>9834.7000000000007</v>
      </c>
      <c r="I275" s="2"/>
      <c r="J275" s="7">
        <f t="shared" si="108"/>
        <v>2.4359920107031563E-3</v>
      </c>
      <c r="K275" s="2"/>
      <c r="L275" s="6">
        <f t="shared" si="109"/>
        <v>13455.269999999997</v>
      </c>
      <c r="M275" s="2"/>
      <c r="N275" s="7">
        <f t="shared" si="110"/>
        <v>1.3681423937690012</v>
      </c>
      <c r="O275" s="11"/>
      <c r="P275" s="6">
        <v>34798.870000000003</v>
      </c>
      <c r="Q275" s="2"/>
      <c r="R275" s="7">
        <f t="shared" si="111"/>
        <v>3.5749909101877252E-3</v>
      </c>
      <c r="S275" s="2"/>
      <c r="T275" s="6">
        <v>49584.36</v>
      </c>
      <c r="U275" s="2"/>
      <c r="V275" s="7">
        <f t="shared" si="112"/>
        <v>4.9406407507375846E-3</v>
      </c>
      <c r="W275" s="2"/>
      <c r="X275" s="6">
        <f t="shared" si="113"/>
        <v>-14785.489999999998</v>
      </c>
      <c r="Y275" s="2"/>
      <c r="Z275" s="7">
        <f t="shared" si="114"/>
        <v>-0.29818858204482213</v>
      </c>
    </row>
    <row r="276" spans="1:26" s="24" customFormat="1" hidden="1" outlineLevel="2" x14ac:dyDescent="0.25">
      <c r="A276" s="28"/>
      <c r="B276" s="11" t="str">
        <f>CONCATENATE("          ", "6248", " - ", "UNIFORMS")</f>
        <v xml:space="preserve">          6248 - UNIFORMS</v>
      </c>
      <c r="C276" s="11"/>
      <c r="D276" s="6">
        <v>669.35</v>
      </c>
      <c r="E276" s="2"/>
      <c r="F276" s="7">
        <f t="shared" si="107"/>
        <v>1.6697152055067941E-4</v>
      </c>
      <c r="G276" s="2"/>
      <c r="H276" s="6">
        <v>927.43</v>
      </c>
      <c r="I276" s="2"/>
      <c r="J276" s="7">
        <f t="shared" si="108"/>
        <v>2.2971845307802251E-4</v>
      </c>
      <c r="K276" s="2"/>
      <c r="L276" s="6">
        <f t="shared" si="109"/>
        <v>-258.07999999999993</v>
      </c>
      <c r="M276" s="2"/>
      <c r="N276" s="7">
        <f t="shared" si="110"/>
        <v>-0.27827437111156633</v>
      </c>
      <c r="O276" s="11"/>
      <c r="P276" s="6">
        <v>-1111.92</v>
      </c>
      <c r="Q276" s="2"/>
      <c r="R276" s="7">
        <f t="shared" si="111"/>
        <v>-1.1423083257749276E-4</v>
      </c>
      <c r="S276" s="2"/>
      <c r="T276" s="6">
        <v>17429.289999999997</v>
      </c>
      <c r="U276" s="2"/>
      <c r="V276" s="7">
        <f t="shared" si="112"/>
        <v>1.7366738308293797E-3</v>
      </c>
      <c r="W276" s="2"/>
      <c r="X276" s="6">
        <f t="shared" si="113"/>
        <v>-18541.21</v>
      </c>
      <c r="Y276" s="2"/>
      <c r="Z276" s="7">
        <f t="shared" si="114"/>
        <v>-1.0637960582444839</v>
      </c>
    </row>
    <row r="277" spans="1:26" s="29" customFormat="1" outlineLevel="1" collapsed="1" x14ac:dyDescent="0.25">
      <c r="A277" s="27"/>
      <c r="B277" s="14" t="str">
        <f>CONCATENATE("     ","Telephone/Data Lines                              ")</f>
        <v xml:space="preserve">     Telephone/Data Lines                              </v>
      </c>
      <c r="C277" s="14"/>
      <c r="D277" s="1">
        <f>SUM(OSRRefD22_23x_0)</f>
        <v>10736.25</v>
      </c>
      <c r="E277" s="1"/>
      <c r="F277" s="5">
        <f t="shared" ref="F277:F279" si="115">IF(D$12=0,0,D277/D$12)</f>
        <v>2.6781922574321835E-3</v>
      </c>
      <c r="G277" s="1"/>
      <c r="H277" s="1">
        <f>SUM(OSRRefH22_23x_0)</f>
        <v>9147.58</v>
      </c>
      <c r="I277" s="1"/>
      <c r="J277" s="5">
        <f t="shared" ref="J277:J279" si="116">IF(H$12=0,0,H277/H$12)</f>
        <v>2.2657968008447616E-3</v>
      </c>
      <c r="K277" s="1"/>
      <c r="L277" s="1">
        <f t="shared" ref="L277:L279" si="117">+D277-H277</f>
        <v>1588.67</v>
      </c>
      <c r="M277" s="1"/>
      <c r="N277" s="5">
        <f t="shared" ref="N277:N279" si="118">IF(H277=0,0,L277/H277)</f>
        <v>0.17367106928827078</v>
      </c>
      <c r="O277" s="14"/>
      <c r="P277" s="1">
        <f>SUM(OSRRefP22_23x_0)</f>
        <v>18963.969999999998</v>
      </c>
      <c r="Q277" s="1"/>
      <c r="R277" s="5">
        <f t="shared" ref="R277:R279" si="119">IF(P$12=0,0,P277/P$12)</f>
        <v>1.9482247662373146E-3</v>
      </c>
      <c r="S277" s="1"/>
      <c r="T277" s="1">
        <f>SUM(OSRRefT22_23x_0)</f>
        <v>20693.129999999997</v>
      </c>
      <c r="U277" s="1"/>
      <c r="V277" s="5">
        <f t="shared" ref="V277:V279" si="120">IF(T$12=0,0,T277/T$12)</f>
        <v>2.0618864766694662E-3</v>
      </c>
      <c r="W277" s="1"/>
      <c r="X277" s="1">
        <f t="shared" ref="X277:X279" si="121">+P277-T277</f>
        <v>-1729.1599999999999</v>
      </c>
      <c r="Y277" s="1"/>
      <c r="Z277" s="5">
        <f t="shared" ref="Z277:Z279" si="122">IF(T277=0,0,X277/T277)</f>
        <v>-8.3562032423321178E-2</v>
      </c>
    </row>
    <row r="278" spans="1:26" s="24" customFormat="1" hidden="1" outlineLevel="2" x14ac:dyDescent="0.25">
      <c r="A278" s="28"/>
      <c r="B278" s="11" t="str">
        <f>CONCATENATE("          ", "6303", " - ", "DATA PHONE LINES")</f>
        <v xml:space="preserve">          6303 - DATA PHONE LINES</v>
      </c>
      <c r="C278" s="11"/>
      <c r="D278" s="6">
        <v>295</v>
      </c>
      <c r="E278" s="2"/>
      <c r="F278" s="7">
        <f t="shared" si="115"/>
        <v>7.3588703312841452E-5</v>
      </c>
      <c r="G278" s="2"/>
      <c r="H278" s="6"/>
      <c r="I278" s="2"/>
      <c r="J278" s="7">
        <f t="shared" si="116"/>
        <v>0</v>
      </c>
      <c r="K278" s="2"/>
      <c r="L278" s="6">
        <f t="shared" si="117"/>
        <v>295</v>
      </c>
      <c r="M278" s="2"/>
      <c r="N278" s="7">
        <f t="shared" si="118"/>
        <v>0</v>
      </c>
      <c r="O278" s="11"/>
      <c r="P278" s="6">
        <v>885</v>
      </c>
      <c r="Q278" s="2"/>
      <c r="R278" s="7">
        <f t="shared" si="119"/>
        <v>9.0918669356681301E-5</v>
      </c>
      <c r="S278" s="2"/>
      <c r="T278" s="6">
        <v>590</v>
      </c>
      <c r="U278" s="2"/>
      <c r="V278" s="7">
        <f t="shared" si="120"/>
        <v>5.8788255872117229E-5</v>
      </c>
      <c r="W278" s="2"/>
      <c r="X278" s="6">
        <f t="shared" si="121"/>
        <v>295</v>
      </c>
      <c r="Y278" s="2"/>
      <c r="Z278" s="7">
        <f t="shared" si="122"/>
        <v>0.5</v>
      </c>
    </row>
    <row r="279" spans="1:26" s="24" customFormat="1" hidden="1" outlineLevel="2" x14ac:dyDescent="0.25">
      <c r="A279" s="28"/>
      <c r="B279" s="11" t="str">
        <f>CONCATENATE("          ", "6309", " - ", "TELEPHONE")</f>
        <v xml:space="preserve">          6309 - TELEPHONE</v>
      </c>
      <c r="C279" s="11"/>
      <c r="D279" s="6">
        <v>10441.25</v>
      </c>
      <c r="E279" s="2"/>
      <c r="F279" s="7">
        <f t="shared" si="115"/>
        <v>2.6046035541193416E-3</v>
      </c>
      <c r="G279" s="2"/>
      <c r="H279" s="6">
        <v>9147.58</v>
      </c>
      <c r="I279" s="2"/>
      <c r="J279" s="7">
        <f t="shared" si="116"/>
        <v>2.2657968008447616E-3</v>
      </c>
      <c r="K279" s="2"/>
      <c r="L279" s="6">
        <f t="shared" si="117"/>
        <v>1293.67</v>
      </c>
      <c r="M279" s="2"/>
      <c r="N279" s="7">
        <f t="shared" si="118"/>
        <v>0.14142210289497331</v>
      </c>
      <c r="O279" s="11"/>
      <c r="P279" s="6">
        <v>18078.969999999998</v>
      </c>
      <c r="Q279" s="2"/>
      <c r="R279" s="7">
        <f t="shared" si="119"/>
        <v>1.8573060968806333E-3</v>
      </c>
      <c r="S279" s="2"/>
      <c r="T279" s="6">
        <v>20103.129999999997</v>
      </c>
      <c r="U279" s="2"/>
      <c r="V279" s="7">
        <f t="shared" si="120"/>
        <v>2.0030982207973488E-3</v>
      </c>
      <c r="W279" s="2"/>
      <c r="X279" s="6">
        <f t="shared" si="121"/>
        <v>-2024.1599999999999</v>
      </c>
      <c r="Y279" s="2"/>
      <c r="Z279" s="7">
        <f t="shared" si="122"/>
        <v>-0.10068879821201973</v>
      </c>
    </row>
    <row r="280" spans="1:26" s="29" customFormat="1" outlineLevel="1" collapsed="1" x14ac:dyDescent="0.25">
      <c r="A280" s="27"/>
      <c r="B280" s="14" t="str">
        <f>CONCATENATE("     ","Training                                          ")</f>
        <v xml:space="preserve">     Training                                          </v>
      </c>
      <c r="C280" s="14"/>
      <c r="D280" s="1">
        <f>SUM(OSRRefD22_24x_0)</f>
        <v>-4279.59</v>
      </c>
      <c r="E280" s="1"/>
      <c r="F280" s="5">
        <f t="shared" ref="F280:F285" si="123">IF(D$12=0,0,D280/D$12)</f>
        <v>-1.0675575552901802E-3</v>
      </c>
      <c r="G280" s="1"/>
      <c r="H280" s="1">
        <f>SUM(OSRRefH22_24x_0)</f>
        <v>2682.67</v>
      </c>
      <c r="I280" s="1"/>
      <c r="J280" s="5">
        <f t="shared" ref="J280:J285" si="124">IF(H$12=0,0,H280/H$12)</f>
        <v>6.6448012520494131E-4</v>
      </c>
      <c r="K280" s="1"/>
      <c r="L280" s="1">
        <f t="shared" ref="L280:L285" si="125">+D280-H280</f>
        <v>-6962.26</v>
      </c>
      <c r="M280" s="1"/>
      <c r="N280" s="5">
        <f t="shared" ref="N280:N285" si="126">IF(H280=0,0,L280/H280)</f>
        <v>-2.595272620188096</v>
      </c>
      <c r="O280" s="14"/>
      <c r="P280" s="1">
        <f>SUM(OSRRefP22_24x_0)</f>
        <v>7483.06</v>
      </c>
      <c r="Q280" s="1"/>
      <c r="R280" s="5">
        <f t="shared" ref="R280:R285" si="127">IF(P$12=0,0,P280/P$12)</f>
        <v>7.6875690160023468E-4</v>
      </c>
      <c r="S280" s="1"/>
      <c r="T280" s="1">
        <f>SUM(OSRRefT22_24x_0)</f>
        <v>6249.43</v>
      </c>
      <c r="U280" s="1"/>
      <c r="V280" s="5">
        <f t="shared" ref="V280:V285" si="128">IF(T$12=0,0,T280/T$12)</f>
        <v>6.2270015236421284E-4</v>
      </c>
      <c r="W280" s="1"/>
      <c r="X280" s="1">
        <f t="shared" ref="X280:X285" si="129">+P280-T280</f>
        <v>1233.6300000000001</v>
      </c>
      <c r="Y280" s="1"/>
      <c r="Z280" s="5">
        <f t="shared" ref="Z280:Z285" si="130">IF(T280=0,0,X280/T280)</f>
        <v>0.1973988027708127</v>
      </c>
    </row>
    <row r="281" spans="1:26" s="24" customFormat="1" hidden="1" outlineLevel="2" x14ac:dyDescent="0.25">
      <c r="A281" s="28"/>
      <c r="B281" s="11" t="str">
        <f>CONCATENATE("          ", "6376", " - ", "TRAINING")</f>
        <v xml:space="preserve">          6376 - TRAINING</v>
      </c>
      <c r="C281" s="11"/>
      <c r="D281" s="6">
        <v>-4279.59</v>
      </c>
      <c r="E281" s="2"/>
      <c r="F281" s="7">
        <f t="shared" si="123"/>
        <v>-1.0675575552901802E-3</v>
      </c>
      <c r="G281" s="2"/>
      <c r="H281" s="6">
        <v>2682.67</v>
      </c>
      <c r="I281" s="2"/>
      <c r="J281" s="7">
        <f t="shared" si="124"/>
        <v>6.6448012520494131E-4</v>
      </c>
      <c r="K281" s="2"/>
      <c r="L281" s="6">
        <f t="shared" si="125"/>
        <v>-6962.26</v>
      </c>
      <c r="M281" s="2"/>
      <c r="N281" s="7">
        <f t="shared" si="126"/>
        <v>-2.595272620188096</v>
      </c>
      <c r="O281" s="11"/>
      <c r="P281" s="6">
        <v>7483.06</v>
      </c>
      <c r="Q281" s="2"/>
      <c r="R281" s="7">
        <f t="shared" si="127"/>
        <v>7.6875690160023468E-4</v>
      </c>
      <c r="S281" s="2"/>
      <c r="T281" s="6">
        <v>6249.43</v>
      </c>
      <c r="U281" s="2"/>
      <c r="V281" s="7">
        <f t="shared" si="128"/>
        <v>6.2270015236421284E-4</v>
      </c>
      <c r="W281" s="2"/>
      <c r="X281" s="6">
        <f t="shared" si="129"/>
        <v>1233.6300000000001</v>
      </c>
      <c r="Y281" s="2"/>
      <c r="Z281" s="7">
        <f t="shared" si="130"/>
        <v>0.1973988027708127</v>
      </c>
    </row>
    <row r="282" spans="1:26" s="29" customFormat="1" outlineLevel="1" collapsed="1" x14ac:dyDescent="0.25">
      <c r="A282" s="27"/>
      <c r="B282" s="14" t="str">
        <f>CONCATENATE("     ","Travel                                            ")</f>
        <v xml:space="preserve">     Travel                                            </v>
      </c>
      <c r="C282" s="14"/>
      <c r="D282" s="1">
        <f>SUM(OSRRefD22_25x_0)</f>
        <v>457.65</v>
      </c>
      <c r="E282" s="1"/>
      <c r="F282" s="5">
        <f t="shared" si="123"/>
        <v>1.1416227142753183E-4</v>
      </c>
      <c r="G282" s="1"/>
      <c r="H282" s="1">
        <f>SUM(OSRRefH22_25x_0)</f>
        <v>322.14</v>
      </c>
      <c r="I282" s="1"/>
      <c r="J282" s="5">
        <f t="shared" si="124"/>
        <v>7.9792008533856115E-5</v>
      </c>
      <c r="K282" s="1"/>
      <c r="L282" s="1">
        <f t="shared" si="125"/>
        <v>135.51</v>
      </c>
      <c r="M282" s="1"/>
      <c r="N282" s="5">
        <f t="shared" si="126"/>
        <v>0.42065561557086978</v>
      </c>
      <c r="O282" s="14"/>
      <c r="P282" s="1">
        <f>SUM(OSRRefP22_25x_0)</f>
        <v>3403.45</v>
      </c>
      <c r="Q282" s="1"/>
      <c r="R282" s="5">
        <f t="shared" si="127"/>
        <v>3.4964649177626777E-4</v>
      </c>
      <c r="S282" s="1"/>
      <c r="T282" s="1">
        <f>SUM(OSRRefT22_25x_0)</f>
        <v>3729.99</v>
      </c>
      <c r="U282" s="1"/>
      <c r="V282" s="5">
        <f t="shared" si="128"/>
        <v>3.7166035003464157E-4</v>
      </c>
      <c r="W282" s="1"/>
      <c r="X282" s="1">
        <f t="shared" si="129"/>
        <v>-326.53999999999996</v>
      </c>
      <c r="Y282" s="1"/>
      <c r="Z282" s="5">
        <f t="shared" si="130"/>
        <v>-8.7544470628607582E-2</v>
      </c>
    </row>
    <row r="283" spans="1:26" s="24" customFormat="1" hidden="1" outlineLevel="2" x14ac:dyDescent="0.25">
      <c r="A283" s="28"/>
      <c r="B283" s="11" t="str">
        <f>CONCATENATE("          ", "6292", " - ", "TRAVEL/CONFERENCE")</f>
        <v xml:space="preserve">          6292 - TRAVEL/CONFERENCE</v>
      </c>
      <c r="C283" s="11"/>
      <c r="D283" s="6">
        <v>91.13</v>
      </c>
      <c r="E283" s="2"/>
      <c r="F283" s="7">
        <f t="shared" si="123"/>
        <v>2.2732672992878783E-5</v>
      </c>
      <c r="G283" s="2"/>
      <c r="H283" s="6">
        <v>127.44</v>
      </c>
      <c r="I283" s="2"/>
      <c r="J283" s="7">
        <f t="shared" si="124"/>
        <v>3.1566069310096923E-5</v>
      </c>
      <c r="K283" s="2"/>
      <c r="L283" s="6">
        <f t="shared" si="125"/>
        <v>-36.31</v>
      </c>
      <c r="M283" s="2"/>
      <c r="N283" s="7">
        <f t="shared" si="126"/>
        <v>-0.28491839296924043</v>
      </c>
      <c r="O283" s="11"/>
      <c r="P283" s="6">
        <v>2575.87</v>
      </c>
      <c r="Q283" s="2"/>
      <c r="R283" s="7">
        <f t="shared" si="127"/>
        <v>2.6462674896699965E-4</v>
      </c>
      <c r="S283" s="2"/>
      <c r="T283" s="6">
        <v>1646.45</v>
      </c>
      <c r="U283" s="2"/>
      <c r="V283" s="7">
        <f t="shared" si="128"/>
        <v>1.6405410827228376E-4</v>
      </c>
      <c r="W283" s="2"/>
      <c r="X283" s="6">
        <f t="shared" si="129"/>
        <v>929.41999999999985</v>
      </c>
      <c r="Y283" s="2"/>
      <c r="Z283" s="7">
        <f t="shared" si="130"/>
        <v>0.56449937744844958</v>
      </c>
    </row>
    <row r="284" spans="1:26" s="24" customFormat="1" hidden="1" outlineLevel="2" x14ac:dyDescent="0.25">
      <c r="A284" s="28"/>
      <c r="B284" s="11" t="str">
        <f>CONCATENATE("          ", "6294", " - ", "TRAVEL OPERATIONAL")</f>
        <v xml:space="preserve">          6294 - TRAVEL OPERATIONAL</v>
      </c>
      <c r="C284" s="11"/>
      <c r="D284" s="6">
        <v>33.43</v>
      </c>
      <c r="E284" s="2"/>
      <c r="F284" s="7">
        <f t="shared" si="123"/>
        <v>8.3392215313501346E-6</v>
      </c>
      <c r="G284" s="2"/>
      <c r="H284" s="6">
        <v>105.81</v>
      </c>
      <c r="I284" s="2"/>
      <c r="J284" s="7">
        <f t="shared" si="124"/>
        <v>2.6208457263821057E-5</v>
      </c>
      <c r="K284" s="2"/>
      <c r="L284" s="6">
        <f t="shared" si="125"/>
        <v>-72.38</v>
      </c>
      <c r="M284" s="2"/>
      <c r="N284" s="7">
        <f t="shared" si="126"/>
        <v>-0.68405632737926469</v>
      </c>
      <c r="O284" s="11"/>
      <c r="P284" s="6">
        <v>147.59</v>
      </c>
      <c r="Q284" s="2"/>
      <c r="R284" s="7">
        <f t="shared" si="127"/>
        <v>1.5162357525822141E-5</v>
      </c>
      <c r="S284" s="2"/>
      <c r="T284" s="6">
        <v>1791.5</v>
      </c>
      <c r="U284" s="2"/>
      <c r="V284" s="7">
        <f t="shared" si="128"/>
        <v>1.7850705151677631E-4</v>
      </c>
      <c r="W284" s="2"/>
      <c r="X284" s="6">
        <f t="shared" si="129"/>
        <v>-1643.91</v>
      </c>
      <c r="Y284" s="2"/>
      <c r="Z284" s="7">
        <f t="shared" si="130"/>
        <v>-0.91761652246720626</v>
      </c>
    </row>
    <row r="285" spans="1:26" s="24" customFormat="1" hidden="1" outlineLevel="2" x14ac:dyDescent="0.25">
      <c r="A285" s="28"/>
      <c r="B285" s="11" t="str">
        <f>CONCATENATE("          ", "6298", " - ", "VEHICLE MILEAGE")</f>
        <v xml:space="preserve">          6298 - VEHICLE MILEAGE</v>
      </c>
      <c r="C285" s="11"/>
      <c r="D285" s="6">
        <v>333.09</v>
      </c>
      <c r="E285" s="2"/>
      <c r="F285" s="7">
        <f t="shared" si="123"/>
        <v>8.3090376903302912E-5</v>
      </c>
      <c r="G285" s="2"/>
      <c r="H285" s="6">
        <v>88.89</v>
      </c>
      <c r="I285" s="2"/>
      <c r="J285" s="7">
        <f t="shared" si="124"/>
        <v>2.2017481959938131E-5</v>
      </c>
      <c r="K285" s="2"/>
      <c r="L285" s="6">
        <f t="shared" si="125"/>
        <v>244.2</v>
      </c>
      <c r="M285" s="2"/>
      <c r="N285" s="7">
        <f t="shared" si="126"/>
        <v>2.7472156598042523</v>
      </c>
      <c r="O285" s="11"/>
      <c r="P285" s="6">
        <v>679.99</v>
      </c>
      <c r="Q285" s="2"/>
      <c r="R285" s="7">
        <f t="shared" si="127"/>
        <v>6.9857385283446008E-5</v>
      </c>
      <c r="S285" s="2"/>
      <c r="T285" s="6">
        <v>292.04000000000002</v>
      </c>
      <c r="U285" s="2"/>
      <c r="V285" s="7">
        <f t="shared" si="128"/>
        <v>2.9099190245581553E-5</v>
      </c>
      <c r="W285" s="2"/>
      <c r="X285" s="6">
        <f t="shared" si="129"/>
        <v>387.95</v>
      </c>
      <c r="Y285" s="2"/>
      <c r="Z285" s="7">
        <f t="shared" si="130"/>
        <v>1.328413915901931</v>
      </c>
    </row>
    <row r="286" spans="1:26" s="29" customFormat="1" outlineLevel="1" collapsed="1" x14ac:dyDescent="0.25">
      <c r="A286" s="27"/>
      <c r="B286" s="14" t="str">
        <f>CONCATENATE("     ","Utilities                                         ")</f>
        <v xml:space="preserve">     Utilities                                         </v>
      </c>
      <c r="C286" s="14"/>
      <c r="D286" s="1">
        <f>SUM(OSRRefD22_26x_0)</f>
        <v>23914.02</v>
      </c>
      <c r="E286" s="1"/>
      <c r="F286" s="5">
        <f t="shared" ref="F286:F287" si="131">IF(D$12=0,0,D286/D$12)</f>
        <v>5.9654295688045993E-3</v>
      </c>
      <c r="G286" s="1"/>
      <c r="H286" s="1">
        <f>SUM(OSRRefH22_26x_0)</f>
        <v>16388.41</v>
      </c>
      <c r="I286" s="1"/>
      <c r="J286" s="5">
        <f t="shared" ref="J286:J287" si="132">IF(H$12=0,0,H286/H$12)</f>
        <v>4.0593038758810858E-3</v>
      </c>
      <c r="K286" s="1"/>
      <c r="L286" s="1">
        <f t="shared" ref="L286:L287" si="133">+D286-H286</f>
        <v>7525.6100000000006</v>
      </c>
      <c r="M286" s="1"/>
      <c r="N286" s="5">
        <f t="shared" ref="N286:N287" si="134">IF(H286=0,0,L286/H286)</f>
        <v>0.45920318078446909</v>
      </c>
      <c r="O286" s="14"/>
      <c r="P286" s="1">
        <f>SUM(OSRRefP22_26x_0)</f>
        <v>43350.92</v>
      </c>
      <c r="Q286" s="1"/>
      <c r="R286" s="5">
        <f t="shared" ref="R286:R287" si="135">IF(P$12=0,0,P286/P$12)</f>
        <v>4.4535683184044553E-3</v>
      </c>
      <c r="S286" s="1"/>
      <c r="T286" s="1">
        <f>SUM(OSRRefT22_26x_0)</f>
        <v>61435.77</v>
      </c>
      <c r="U286" s="1"/>
      <c r="V286" s="5">
        <f t="shared" ref="V286:V287" si="136">IF(T$12=0,0,T286/T$12)</f>
        <v>6.1215284177297347E-3</v>
      </c>
      <c r="W286" s="1"/>
      <c r="X286" s="1">
        <f t="shared" ref="X286:X287" si="137">+P286-T286</f>
        <v>-18084.849999999999</v>
      </c>
      <c r="Y286" s="1"/>
      <c r="Z286" s="5">
        <f t="shared" ref="Z286:Z287" si="138">IF(T286=0,0,X286/T286)</f>
        <v>-0.29437003882265983</v>
      </c>
    </row>
    <row r="287" spans="1:26" s="24" customFormat="1" hidden="1" outlineLevel="2" x14ac:dyDescent="0.25">
      <c r="A287" s="28"/>
      <c r="B287" s="11" t="str">
        <f>CONCATENATE("          ", "6274", " - ", "UTILITIES")</f>
        <v xml:space="preserve">          6274 - UTILITIES</v>
      </c>
      <c r="C287" s="11"/>
      <c r="D287" s="6">
        <v>23914.02</v>
      </c>
      <c r="E287" s="2"/>
      <c r="F287" s="7">
        <f t="shared" si="131"/>
        <v>5.9654295688045993E-3</v>
      </c>
      <c r="G287" s="2"/>
      <c r="H287" s="6">
        <v>16388.41</v>
      </c>
      <c r="I287" s="2"/>
      <c r="J287" s="7">
        <f t="shared" si="132"/>
        <v>4.0593038758810858E-3</v>
      </c>
      <c r="K287" s="2"/>
      <c r="L287" s="6">
        <f t="shared" si="133"/>
        <v>7525.6100000000006</v>
      </c>
      <c r="M287" s="2"/>
      <c r="N287" s="7">
        <f t="shared" si="134"/>
        <v>0.45920318078446909</v>
      </c>
      <c r="O287" s="11"/>
      <c r="P287" s="6">
        <v>43350.92</v>
      </c>
      <c r="Q287" s="2"/>
      <c r="R287" s="7">
        <f t="shared" si="135"/>
        <v>4.4535683184044553E-3</v>
      </c>
      <c r="S287" s="2"/>
      <c r="T287" s="6">
        <v>61435.77</v>
      </c>
      <c r="U287" s="2"/>
      <c r="V287" s="7">
        <f t="shared" si="136"/>
        <v>6.1215284177297347E-3</v>
      </c>
      <c r="W287" s="2"/>
      <c r="X287" s="6">
        <f t="shared" si="137"/>
        <v>-18084.849999999999</v>
      </c>
      <c r="Y287" s="2"/>
      <c r="Z287" s="7">
        <f t="shared" si="138"/>
        <v>-0.29437003882265983</v>
      </c>
    </row>
    <row r="288" spans="1:26" s="53" customFormat="1" x14ac:dyDescent="0.25">
      <c r="A288" s="37"/>
      <c r="B288" s="37"/>
      <c r="C288" s="37"/>
      <c r="D288" s="1"/>
      <c r="E288" s="1"/>
      <c r="F288" s="5"/>
      <c r="G288" s="1"/>
      <c r="H288" s="1"/>
      <c r="I288" s="1"/>
      <c r="J288" s="5"/>
      <c r="K288" s="1"/>
      <c r="L288" s="1"/>
      <c r="M288" s="1"/>
      <c r="N288" s="5"/>
      <c r="O288" s="37"/>
      <c r="P288" s="1"/>
      <c r="Q288" s="1"/>
      <c r="R288" s="5"/>
      <c r="S288" s="1"/>
      <c r="T288" s="1"/>
      <c r="U288" s="1"/>
      <c r="V288" s="5"/>
      <c r="W288" s="1"/>
      <c r="X288" s="1"/>
      <c r="Y288" s="1"/>
      <c r="Z288" s="5"/>
    </row>
    <row r="289" spans="1:26" s="23" customFormat="1" collapsed="1" x14ac:dyDescent="0.25">
      <c r="A289" s="10"/>
      <c r="B289" s="25" t="s">
        <v>0</v>
      </c>
      <c r="C289" s="10"/>
      <c r="D289" s="4">
        <f>SUM(OSRRefD25x_0)</f>
        <v>368424.33</v>
      </c>
      <c r="E289" s="4"/>
      <c r="F289" s="12">
        <f t="shared" ref="F289:F299" si="139">IF(D$12=0,0,D289/D$12)</f>
        <v>9.1904639707126756E-2</v>
      </c>
      <c r="G289" s="4"/>
      <c r="H289" s="4">
        <f>SUM(OSRRefH25x_0)</f>
        <v>321610.63</v>
      </c>
      <c r="I289" s="4"/>
      <c r="J289" s="12">
        <f t="shared" ref="J289:J299" si="140">IF(H$12=0,0,H289/H$12)</f>
        <v>7.9660886985592733E-2</v>
      </c>
      <c r="K289" s="4"/>
      <c r="L289" s="4">
        <f t="shared" ref="L289:L299" si="141">+D289-H289</f>
        <v>46813.700000000012</v>
      </c>
      <c r="M289" s="4"/>
      <c r="N289" s="12">
        <f t="shared" ref="N289:N299" si="142">IF(H289=0,0,L289/H289)</f>
        <v>0.14556017629143667</v>
      </c>
      <c r="O289" s="10"/>
      <c r="P289" s="4">
        <f>SUM(OSRRefP25x_0)</f>
        <v>556401.30000000005</v>
      </c>
      <c r="Q289" s="4"/>
      <c r="R289" s="12">
        <f t="shared" ref="R289:R299" si="143">IF(P$12=0,0,P289/P$12)</f>
        <v>5.716075234387305E-2</v>
      </c>
      <c r="S289" s="4"/>
      <c r="T289" s="4">
        <f>SUM(OSRRefT25x_0)</f>
        <v>513399.09</v>
      </c>
      <c r="U289" s="4"/>
      <c r="V289" s="12">
        <f t="shared" ref="V289:V299" si="144">IF(T$12=0,0,T289/T$12)</f>
        <v>5.1155656046495156E-2</v>
      </c>
      <c r="W289" s="4"/>
      <c r="X289" s="4">
        <f t="shared" ref="X289:X299" si="145">+P289-T289</f>
        <v>43002.210000000021</v>
      </c>
      <c r="Y289" s="4"/>
      <c r="Z289" s="12">
        <f t="shared" ref="Z289:Z299" si="146">IF(T289=0,0,X289/T289)</f>
        <v>8.3759809546993969E-2</v>
      </c>
    </row>
    <row r="290" spans="1:26" s="24" customFormat="1" hidden="1" outlineLevel="1" x14ac:dyDescent="0.25">
      <c r="A290" s="44"/>
      <c r="B290" s="11" t="str">
        <f>CONCATENATE("          ", "4098", " - ", "TAXABLE SALES-GRAD RENTALS")</f>
        <v xml:space="preserve">          4098 - TAXABLE SALES-GRAD RENTALS</v>
      </c>
      <c r="C290" s="11"/>
      <c r="D290" s="2">
        <f>0</f>
        <v>0</v>
      </c>
      <c r="E290" s="2"/>
      <c r="F290" s="19">
        <f t="shared" si="139"/>
        <v>0</v>
      </c>
      <c r="G290" s="2"/>
      <c r="H290" s="2">
        <f>0</f>
        <v>0</v>
      </c>
      <c r="I290" s="2"/>
      <c r="J290" s="19">
        <f t="shared" si="140"/>
        <v>0</v>
      </c>
      <c r="K290" s="2"/>
      <c r="L290" s="2">
        <f t="shared" si="141"/>
        <v>0</v>
      </c>
      <c r="M290" s="2"/>
      <c r="N290" s="19">
        <f t="shared" si="142"/>
        <v>0</v>
      </c>
      <c r="O290" s="11"/>
      <c r="P290" s="2">
        <f>--1626.85</f>
        <v>1626.85</v>
      </c>
      <c r="Q290" s="2"/>
      <c r="R290" s="19">
        <f t="shared" si="143"/>
        <v>1.6713111552871975E-4</v>
      </c>
      <c r="S290" s="2"/>
      <c r="T290" s="2">
        <f>0</f>
        <v>0</v>
      </c>
      <c r="U290" s="2"/>
      <c r="V290" s="19">
        <f t="shared" si="144"/>
        <v>0</v>
      </c>
      <c r="W290" s="2"/>
      <c r="X290" s="2">
        <f t="shared" si="145"/>
        <v>1626.85</v>
      </c>
      <c r="Y290" s="2"/>
      <c r="Z290" s="19">
        <f t="shared" si="146"/>
        <v>0</v>
      </c>
    </row>
    <row r="291" spans="1:26" s="24" customFormat="1" hidden="1" outlineLevel="1" x14ac:dyDescent="0.25">
      <c r="A291" s="44"/>
      <c r="B291" s="11" t="str">
        <f>CONCATENATE("          ", "4187", " - ", "NON-TAXABLE SALES-COMPUTER REP")</f>
        <v xml:space="preserve">          4187 - NON-TAXABLE SALES-COMPUTER REP</v>
      </c>
      <c r="C291" s="11"/>
      <c r="D291" s="2">
        <f>--4892.54</f>
        <v>4892.54</v>
      </c>
      <c r="E291" s="2"/>
      <c r="F291" s="19">
        <f t="shared" si="139"/>
        <v>1.2204599135803706E-3</v>
      </c>
      <c r="G291" s="2"/>
      <c r="H291" s="2">
        <f>--3252.66</f>
        <v>3252.66</v>
      </c>
      <c r="I291" s="2"/>
      <c r="J291" s="19">
        <f t="shared" si="140"/>
        <v>8.0566298652055759E-4</v>
      </c>
      <c r="K291" s="2"/>
      <c r="L291" s="2">
        <f t="shared" si="141"/>
        <v>1639.88</v>
      </c>
      <c r="M291" s="2"/>
      <c r="N291" s="19">
        <f t="shared" si="142"/>
        <v>0.50416582120479858</v>
      </c>
      <c r="O291" s="11"/>
      <c r="P291" s="2">
        <f>--7374.8</f>
        <v>7374.8</v>
      </c>
      <c r="Q291" s="2"/>
      <c r="R291" s="19">
        <f t="shared" si="143"/>
        <v>7.5763503138039925E-4</v>
      </c>
      <c r="S291" s="2"/>
      <c r="T291" s="2">
        <f>--4001.34</f>
        <v>4001.34</v>
      </c>
      <c r="U291" s="2"/>
      <c r="V291" s="19">
        <f t="shared" si="144"/>
        <v>3.9869796568023315E-4</v>
      </c>
      <c r="W291" s="2"/>
      <c r="X291" s="2">
        <f t="shared" si="145"/>
        <v>3373.46</v>
      </c>
      <c r="Y291" s="2"/>
      <c r="Z291" s="19">
        <f t="shared" si="146"/>
        <v>0.84308256733994114</v>
      </c>
    </row>
    <row r="292" spans="1:26" s="24" customFormat="1" hidden="1" outlineLevel="1" x14ac:dyDescent="0.25">
      <c r="A292" s="44"/>
      <c r="B292" s="11" t="str">
        <f>CONCATENATE("          ", "4197", " - ", "NON-TAXABLE SALES-RETURNED CHE")</f>
        <v xml:space="preserve">          4197 - NON-TAXABLE SALES-RETURNED CHE</v>
      </c>
      <c r="C292" s="11"/>
      <c r="D292" s="2">
        <f>0</f>
        <v>0</v>
      </c>
      <c r="E292" s="2"/>
      <c r="F292" s="19">
        <f t="shared" si="139"/>
        <v>0</v>
      </c>
      <c r="G292" s="2"/>
      <c r="H292" s="2">
        <f>--130</f>
        <v>130</v>
      </c>
      <c r="I292" s="2"/>
      <c r="J292" s="19">
        <f t="shared" si="140"/>
        <v>3.2200164864348712E-5</v>
      </c>
      <c r="K292" s="2"/>
      <c r="L292" s="2">
        <f t="shared" si="141"/>
        <v>-130</v>
      </c>
      <c r="M292" s="2"/>
      <c r="N292" s="19">
        <f t="shared" si="142"/>
        <v>-1</v>
      </c>
      <c r="O292" s="11"/>
      <c r="P292" s="2">
        <f>--30</f>
        <v>30</v>
      </c>
      <c r="Q292" s="2"/>
      <c r="R292" s="19">
        <f t="shared" si="143"/>
        <v>3.0819887917519086E-6</v>
      </c>
      <c r="S292" s="2"/>
      <c r="T292" s="2">
        <f>--250</f>
        <v>250</v>
      </c>
      <c r="U292" s="2"/>
      <c r="V292" s="19">
        <f t="shared" si="144"/>
        <v>2.491027791191408E-5</v>
      </c>
      <c r="W292" s="2"/>
      <c r="X292" s="2">
        <f t="shared" si="145"/>
        <v>-220</v>
      </c>
      <c r="Y292" s="2"/>
      <c r="Z292" s="19">
        <f t="shared" si="146"/>
        <v>-0.88</v>
      </c>
    </row>
    <row r="293" spans="1:26" s="24" customFormat="1" hidden="1" outlineLevel="1" x14ac:dyDescent="0.25">
      <c r="A293" s="44"/>
      <c r="B293" s="11" t="str">
        <f>CONCATENATE("          ", "4198", " - ", "NON-TAXABLE SALES-GRAD RENTALS")</f>
        <v xml:space="preserve">          4198 - NON-TAXABLE SALES-GRAD RENTALS</v>
      </c>
      <c r="C293" s="11"/>
      <c r="D293" s="2">
        <f>--30</f>
        <v>30</v>
      </c>
      <c r="E293" s="2"/>
      <c r="F293" s="19">
        <f t="shared" si="139"/>
        <v>7.4835969470686222E-6</v>
      </c>
      <c r="G293" s="2"/>
      <c r="H293" s="2">
        <f>--30</f>
        <v>30</v>
      </c>
      <c r="I293" s="2"/>
      <c r="J293" s="19">
        <f t="shared" si="140"/>
        <v>7.4308072763881645E-6</v>
      </c>
      <c r="K293" s="2"/>
      <c r="L293" s="2">
        <f t="shared" si="141"/>
        <v>0</v>
      </c>
      <c r="M293" s="2"/>
      <c r="N293" s="19">
        <f t="shared" si="142"/>
        <v>0</v>
      </c>
      <c r="O293" s="11"/>
      <c r="P293" s="2">
        <f>--495</f>
        <v>495</v>
      </c>
      <c r="Q293" s="2"/>
      <c r="R293" s="19">
        <f t="shared" si="143"/>
        <v>5.0852815063906491E-5</v>
      </c>
      <c r="S293" s="2"/>
      <c r="T293" s="2">
        <f>--435</f>
        <v>435</v>
      </c>
      <c r="U293" s="2"/>
      <c r="V293" s="19">
        <f t="shared" si="144"/>
        <v>4.3343883566730497E-5</v>
      </c>
      <c r="W293" s="2"/>
      <c r="X293" s="2">
        <f t="shared" si="145"/>
        <v>60</v>
      </c>
      <c r="Y293" s="2"/>
      <c r="Z293" s="19">
        <f t="shared" si="146"/>
        <v>0.13793103448275862</v>
      </c>
    </row>
    <row r="294" spans="1:26" s="24" customFormat="1" hidden="1" outlineLevel="1" x14ac:dyDescent="0.25">
      <c r="A294" s="44"/>
      <c r="B294" s="11" t="str">
        <f>CONCATENATE("          ", "4387", " - ", "SALES RETURN NON TAXABLE-COMPU")</f>
        <v xml:space="preserve">          4387 - SALES RETURN NON TAXABLE-COMPU</v>
      </c>
      <c r="C294" s="11"/>
      <c r="D294" s="2">
        <f>-2989.2</f>
        <v>-2989.2</v>
      </c>
      <c r="E294" s="2"/>
      <c r="F294" s="19">
        <f t="shared" si="139"/>
        <v>-7.4566559980591746E-4</v>
      </c>
      <c r="G294" s="2"/>
      <c r="H294" s="2">
        <f>0</f>
        <v>0</v>
      </c>
      <c r="I294" s="2"/>
      <c r="J294" s="19">
        <f t="shared" si="140"/>
        <v>0</v>
      </c>
      <c r="K294" s="2"/>
      <c r="L294" s="2">
        <f t="shared" si="141"/>
        <v>-2989.2</v>
      </c>
      <c r="M294" s="2"/>
      <c r="N294" s="19">
        <f t="shared" si="142"/>
        <v>0</v>
      </c>
      <c r="O294" s="11"/>
      <c r="P294" s="2">
        <f>-6440.7</f>
        <v>-6440.7</v>
      </c>
      <c r="Q294" s="2"/>
      <c r="R294" s="19">
        <f t="shared" si="143"/>
        <v>-6.6167217370121723E-4</v>
      </c>
      <c r="S294" s="2"/>
      <c r="T294" s="2">
        <f>0</f>
        <v>0</v>
      </c>
      <c r="U294" s="2"/>
      <c r="V294" s="19">
        <f t="shared" si="144"/>
        <v>0</v>
      </c>
      <c r="W294" s="2"/>
      <c r="X294" s="2">
        <f t="shared" si="145"/>
        <v>-6440.7</v>
      </c>
      <c r="Y294" s="2"/>
      <c r="Z294" s="19">
        <f t="shared" si="146"/>
        <v>0</v>
      </c>
    </row>
    <row r="295" spans="1:26" s="24" customFormat="1" hidden="1" outlineLevel="1" x14ac:dyDescent="0.25">
      <c r="A295" s="44"/>
      <c r="B295" s="11" t="str">
        <f>CONCATENATE("          ", "9150", " - ", "MISC. INCOME")</f>
        <v xml:space="preserve">          9150 - MISC. INCOME</v>
      </c>
      <c r="C295" s="11"/>
      <c r="D295" s="2">
        <f>--63872.04</f>
        <v>63872.04</v>
      </c>
      <c r="E295" s="2"/>
      <c r="F295" s="19">
        <f t="shared" si="139"/>
        <v>1.5933086784901497E-2</v>
      </c>
      <c r="G295" s="2"/>
      <c r="H295" s="2">
        <f>--97633.53</f>
        <v>97633.53</v>
      </c>
      <c r="I295" s="2"/>
      <c r="J295" s="19">
        <f t="shared" si="140"/>
        <v>2.418319817144874E-2</v>
      </c>
      <c r="K295" s="2"/>
      <c r="L295" s="2">
        <f t="shared" si="141"/>
        <v>-33761.49</v>
      </c>
      <c r="M295" s="2"/>
      <c r="N295" s="19">
        <f t="shared" si="142"/>
        <v>-0.34579810849817677</v>
      </c>
      <c r="O295" s="11"/>
      <c r="P295" s="2">
        <f>--212176.77</f>
        <v>212176.77</v>
      </c>
      <c r="Q295" s="2"/>
      <c r="R295" s="19">
        <f t="shared" si="143"/>
        <v>2.1797547567004086E-2</v>
      </c>
      <c r="S295" s="2"/>
      <c r="T295" s="2">
        <f>--267445.78</f>
        <v>267445.78000000003</v>
      </c>
      <c r="U295" s="2"/>
      <c r="V295" s="19">
        <f t="shared" si="144"/>
        <v>2.6648594824674531E-2</v>
      </c>
      <c r="W295" s="2"/>
      <c r="X295" s="2">
        <f t="shared" si="145"/>
        <v>-55269.010000000038</v>
      </c>
      <c r="Y295" s="2"/>
      <c r="Z295" s="19">
        <f t="shared" si="146"/>
        <v>-0.20665500872737658</v>
      </c>
    </row>
    <row r="296" spans="1:26" s="24" customFormat="1" hidden="1" outlineLevel="1" x14ac:dyDescent="0.25">
      <c r="A296" s="44"/>
      <c r="B296" s="11" t="str">
        <f>CONCATENATE("          ", "9151", " - ", "MISC. INCOME")</f>
        <v xml:space="preserve">          9151 - MISC. INCOME</v>
      </c>
      <c r="C296" s="11"/>
      <c r="D296" s="2">
        <f>--83458.02</f>
        <v>83458.02</v>
      </c>
      <c r="E296" s="2"/>
      <c r="F296" s="19">
        <f t="shared" si="139"/>
        <v>2.0818872789346403E-2</v>
      </c>
      <c r="G296" s="2"/>
      <c r="H296" s="2">
        <f>--665.9</f>
        <v>665.9</v>
      </c>
      <c r="I296" s="2"/>
      <c r="J296" s="19">
        <f t="shared" si="140"/>
        <v>1.6493915217822929E-4</v>
      </c>
      <c r="K296" s="2"/>
      <c r="L296" s="2">
        <f t="shared" si="141"/>
        <v>82792.12000000001</v>
      </c>
      <c r="M296" s="2"/>
      <c r="N296" s="19">
        <f t="shared" si="142"/>
        <v>124.33116083496023</v>
      </c>
      <c r="O296" s="11"/>
      <c r="P296" s="2">
        <f>--83193.51</f>
        <v>83193.509999999995</v>
      </c>
      <c r="Q296" s="2"/>
      <c r="R296" s="19">
        <f t="shared" si="143"/>
        <v>8.5467155122166769E-3</v>
      </c>
      <c r="S296" s="2"/>
      <c r="T296" s="2">
        <f>--1060.79</f>
        <v>1060.79</v>
      </c>
      <c r="U296" s="2"/>
      <c r="V296" s="19">
        <f t="shared" si="144"/>
        <v>1.0569829482471735E-4</v>
      </c>
      <c r="W296" s="2"/>
      <c r="X296" s="2">
        <f t="shared" si="145"/>
        <v>82132.72</v>
      </c>
      <c r="Y296" s="2"/>
      <c r="Z296" s="19">
        <f t="shared" si="146"/>
        <v>77.425993834783512</v>
      </c>
    </row>
    <row r="297" spans="1:26" s="24" customFormat="1" hidden="1" outlineLevel="1" x14ac:dyDescent="0.25">
      <c r="A297" s="44"/>
      <c r="B297" s="11" t="str">
        <f>CONCATENATE("          ", "9152", " - ", "MISC. INCOME")</f>
        <v xml:space="preserve">          9152 - MISC. INCOME</v>
      </c>
      <c r="C297" s="11"/>
      <c r="D297" s="2">
        <f>--633.59</f>
        <v>633.59</v>
      </c>
      <c r="E297" s="2"/>
      <c r="F297" s="19">
        <f t="shared" si="139"/>
        <v>1.5805107298977363E-4</v>
      </c>
      <c r="G297" s="2"/>
      <c r="H297" s="2">
        <f>--544.55</f>
        <v>544.54999999999995</v>
      </c>
      <c r="I297" s="2"/>
      <c r="J297" s="19">
        <f t="shared" si="140"/>
        <v>1.3488153674523915E-4</v>
      </c>
      <c r="K297" s="2"/>
      <c r="L297" s="2">
        <f t="shared" si="141"/>
        <v>89.040000000000077</v>
      </c>
      <c r="M297" s="2"/>
      <c r="N297" s="19">
        <f t="shared" si="142"/>
        <v>0.16351115600036742</v>
      </c>
      <c r="O297" s="11"/>
      <c r="P297" s="2">
        <f>--641.02</f>
        <v>641.02</v>
      </c>
      <c r="Q297" s="2"/>
      <c r="R297" s="19">
        <f t="shared" si="143"/>
        <v>6.5853881842960275E-5</v>
      </c>
      <c r="S297" s="2"/>
      <c r="T297" s="2">
        <f>--1509.33</f>
        <v>1509.33</v>
      </c>
      <c r="U297" s="2"/>
      <c r="V297" s="19">
        <f t="shared" si="144"/>
        <v>1.5039131904315712E-4</v>
      </c>
      <c r="W297" s="2"/>
      <c r="X297" s="2">
        <f t="shared" si="145"/>
        <v>-868.31</v>
      </c>
      <c r="Y297" s="2"/>
      <c r="Z297" s="19">
        <f t="shared" si="146"/>
        <v>-0.57529499844301779</v>
      </c>
    </row>
    <row r="298" spans="1:26" s="24" customFormat="1" hidden="1" outlineLevel="1" x14ac:dyDescent="0.25">
      <c r="A298" s="44"/>
      <c r="B298" s="11" t="str">
        <f>CONCATENATE("          ", "9160", " - ", "MISC. INCOME")</f>
        <v xml:space="preserve">          9160 - MISC. INCOME</v>
      </c>
      <c r="C298" s="11"/>
      <c r="D298" s="2">
        <f>--20000</f>
        <v>20000</v>
      </c>
      <c r="E298" s="2"/>
      <c r="F298" s="19">
        <f t="shared" si="139"/>
        <v>4.9890646313790815E-3</v>
      </c>
      <c r="G298" s="2"/>
      <c r="H298" s="2">
        <f>--20000</f>
        <v>20000</v>
      </c>
      <c r="I298" s="2"/>
      <c r="J298" s="19">
        <f t="shared" si="140"/>
        <v>4.9538715175921101E-3</v>
      </c>
      <c r="K298" s="2"/>
      <c r="L298" s="2">
        <f t="shared" si="141"/>
        <v>0</v>
      </c>
      <c r="M298" s="2"/>
      <c r="N298" s="19">
        <f t="shared" si="142"/>
        <v>0</v>
      </c>
      <c r="O298" s="11"/>
      <c r="P298" s="2">
        <f>--52143.27</f>
        <v>52143.27</v>
      </c>
      <c r="Q298" s="2"/>
      <c r="R298" s="19">
        <f t="shared" si="143"/>
        <v>5.3568324568431178E-3</v>
      </c>
      <c r="S298" s="2"/>
      <c r="T298" s="2">
        <f>--35442.16</f>
        <v>35442.160000000003</v>
      </c>
      <c r="U298" s="2"/>
      <c r="V298" s="19">
        <f t="shared" si="144"/>
        <v>3.5314962215940993E-3</v>
      </c>
      <c r="W298" s="2"/>
      <c r="X298" s="2">
        <f t="shared" si="145"/>
        <v>16701.109999999993</v>
      </c>
      <c r="Y298" s="2"/>
      <c r="Z298" s="19">
        <f t="shared" si="146"/>
        <v>0.47122156211698135</v>
      </c>
    </row>
    <row r="299" spans="1:26" s="24" customFormat="1" hidden="1" outlineLevel="1" x14ac:dyDescent="0.25">
      <c r="A299" s="44"/>
      <c r="B299" s="11" t="str">
        <f>CONCATENATE("          ", "9165", " - ", "OTHER INCOME")</f>
        <v xml:space="preserve">          9165 - OTHER INCOME</v>
      </c>
      <c r="C299" s="11"/>
      <c r="D299" s="2">
        <f>--198527.34</f>
        <v>198527.34</v>
      </c>
      <c r="E299" s="2"/>
      <c r="F299" s="19">
        <f t="shared" si="139"/>
        <v>4.9523286517788478E-2</v>
      </c>
      <c r="G299" s="2"/>
      <c r="H299" s="2">
        <f>--199353.99</f>
        <v>199353.99</v>
      </c>
      <c r="I299" s="2"/>
      <c r="J299" s="19">
        <f t="shared" si="140"/>
        <v>4.9378702648967113E-2</v>
      </c>
      <c r="K299" s="2"/>
      <c r="L299" s="2">
        <f t="shared" si="141"/>
        <v>-826.64999999999418</v>
      </c>
      <c r="M299" s="2"/>
      <c r="N299" s="19">
        <f t="shared" si="142"/>
        <v>-4.1466438670226475E-3</v>
      </c>
      <c r="O299" s="11"/>
      <c r="P299" s="2">
        <f>--205160.78</f>
        <v>205160.78</v>
      </c>
      <c r="Q299" s="2"/>
      <c r="R299" s="19">
        <f t="shared" si="143"/>
        <v>2.107677414890264E-2</v>
      </c>
      <c r="S299" s="2"/>
      <c r="T299" s="2">
        <f>--203254.69</f>
        <v>203254.69</v>
      </c>
      <c r="U299" s="2"/>
      <c r="V299" s="19">
        <f t="shared" si="144"/>
        <v>2.0252523259199774E-2</v>
      </c>
      <c r="W299" s="2"/>
      <c r="X299" s="2">
        <f t="shared" si="145"/>
        <v>1906.0899999999965</v>
      </c>
      <c r="Y299" s="2"/>
      <c r="Z299" s="19">
        <f t="shared" si="146"/>
        <v>9.3778401866151107E-3</v>
      </c>
    </row>
    <row r="300" spans="1:26" x14ac:dyDescent="0.25">
      <c r="A300" s="9"/>
      <c r="B300" s="10"/>
      <c r="C300" s="10"/>
      <c r="D300" s="3"/>
      <c r="E300" s="3"/>
      <c r="F300" s="8"/>
      <c r="G300" s="3"/>
      <c r="H300" s="3"/>
      <c r="I300" s="3"/>
      <c r="J300" s="8"/>
      <c r="K300" s="3"/>
      <c r="L300" s="3"/>
      <c r="M300" s="3"/>
      <c r="N300" s="8"/>
      <c r="O300" s="10"/>
      <c r="P300" s="3"/>
      <c r="Q300" s="3"/>
      <c r="R300" s="8"/>
      <c r="S300" s="3"/>
      <c r="T300" s="3"/>
      <c r="U300" s="3"/>
      <c r="V300" s="8"/>
      <c r="W300" s="3"/>
      <c r="X300" s="3"/>
      <c r="Y300" s="3"/>
      <c r="Z300" s="8"/>
    </row>
    <row r="301" spans="1:26" s="23" customFormat="1" x14ac:dyDescent="0.25">
      <c r="A301" s="10"/>
      <c r="B301" s="26" t="s">
        <v>3</v>
      </c>
      <c r="C301" s="26"/>
      <c r="D301" s="21">
        <f>+D193-D195+D289</f>
        <v>1084302.6999999981</v>
      </c>
      <c r="E301" s="13"/>
      <c r="F301" s="20">
        <f>IF(D$12=0,0,D301/D$12)</f>
        <v>0.27048281251394168</v>
      </c>
      <c r="G301" s="13"/>
      <c r="H301" s="21">
        <f>+H193-H195+H289</f>
        <v>1254971.73</v>
      </c>
      <c r="I301" s="13"/>
      <c r="J301" s="20">
        <f>IF(H$12=0,0,H301/H$12)</f>
        <v>0.31084843543151475</v>
      </c>
      <c r="K301" s="15"/>
      <c r="L301" s="21">
        <f>+D301-H301</f>
        <v>-170669.03000000189</v>
      </c>
      <c r="M301" s="15"/>
      <c r="N301" s="20">
        <f>IF(H301=0,0,L301/H301)</f>
        <v>-0.13599432235816331</v>
      </c>
      <c r="O301" s="25"/>
      <c r="P301" s="21">
        <f>+P193-P195+P289</f>
        <v>1001613.6799999971</v>
      </c>
      <c r="Q301" s="13"/>
      <c r="R301" s="20">
        <f>IF(P$12=0,0,P301/P$12)</f>
        <v>0.10289873784751247</v>
      </c>
      <c r="S301" s="13"/>
      <c r="T301" s="21">
        <f>+T193-T195+T289</f>
        <v>1318621.620000005</v>
      </c>
      <c r="U301" s="13"/>
      <c r="V301" s="20">
        <f>IF(T$12=0,0,T301/T$12)</f>
        <v>0.13138892405943395</v>
      </c>
      <c r="W301" s="15"/>
      <c r="X301" s="21">
        <f>+P301-T301</f>
        <v>-317007.94000000786</v>
      </c>
      <c r="Y301" s="15"/>
      <c r="Z301" s="20">
        <f>IF(T301=0,0,X301/T301)</f>
        <v>-0.2404085714899826</v>
      </c>
    </row>
    <row r="302" spans="1:26" x14ac:dyDescent="0.25">
      <c r="A302" s="9"/>
      <c r="B302" s="10"/>
      <c r="C302" s="9"/>
      <c r="D302" s="3"/>
      <c r="E302" s="3"/>
      <c r="F302" s="8"/>
      <c r="G302" s="3"/>
      <c r="H302" s="3"/>
      <c r="I302" s="3"/>
      <c r="J302" s="8"/>
      <c r="K302" s="3"/>
      <c r="L302" s="3"/>
      <c r="M302" s="3"/>
      <c r="N302" s="8"/>
      <c r="P302" s="3"/>
      <c r="Q302" s="3"/>
      <c r="R302" s="8"/>
      <c r="S302" s="3"/>
      <c r="T302" s="3"/>
      <c r="U302" s="3"/>
      <c r="V302" s="8"/>
      <c r="W302" s="3"/>
      <c r="X302" s="3"/>
      <c r="Y302" s="3"/>
      <c r="Z302" s="8"/>
    </row>
    <row r="303" spans="1:26" s="23" customFormat="1" x14ac:dyDescent="0.25">
      <c r="A303" s="51"/>
      <c r="B303" s="10" t="s">
        <v>13</v>
      </c>
      <c r="C303" s="10"/>
      <c r="D303" s="4">
        <v>331728.94</v>
      </c>
      <c r="E303" s="4"/>
      <c r="F303" s="12">
        <f>IF(D$12=0,0,D303/D$12)</f>
        <v>8.2750856087943678E-2</v>
      </c>
      <c r="G303" s="4"/>
      <c r="H303" s="4">
        <v>279224.88</v>
      </c>
      <c r="I303" s="4"/>
      <c r="J303" s="12">
        <f>IF(H$12=0,0,H303/H$12)</f>
        <v>6.9162209001753738E-2</v>
      </c>
      <c r="K303" s="4"/>
      <c r="L303" s="4">
        <f>+D303-H303</f>
        <v>52504.06</v>
      </c>
      <c r="M303" s="4"/>
      <c r="N303" s="12">
        <f>IF(H303=0,0,L303/H303)</f>
        <v>0.18803503470034619</v>
      </c>
      <c r="O303" s="10"/>
      <c r="P303" s="4">
        <v>1045557.7999999999</v>
      </c>
      <c r="Q303" s="4"/>
      <c r="R303" s="12">
        <f>IF(P$12=0,0,P303/P$12)</f>
        <v>0.10741324735762611</v>
      </c>
      <c r="S303" s="4"/>
      <c r="T303" s="4">
        <v>891671.16999999993</v>
      </c>
      <c r="U303" s="4"/>
      <c r="V303" s="12">
        <f>IF(T$12=0,0,T303/T$12)</f>
        <v>8.8847106602966339E-2</v>
      </c>
      <c r="W303" s="4"/>
      <c r="X303" s="4">
        <f>+P303-T303</f>
        <v>153886.63</v>
      </c>
      <c r="Y303" s="4"/>
      <c r="Z303" s="12">
        <f>IF(T303=0,0,X303/T303)</f>
        <v>0.17258226482751485</v>
      </c>
    </row>
    <row r="304" spans="1:26" x14ac:dyDescent="0.25">
      <c r="A304" s="9"/>
      <c r="B304" s="10"/>
      <c r="C304" s="10"/>
      <c r="D304" s="3"/>
      <c r="E304" s="3"/>
      <c r="F304" s="8"/>
      <c r="G304" s="3"/>
      <c r="H304" s="3"/>
      <c r="I304" s="3"/>
      <c r="J304" s="8"/>
      <c r="K304" s="3"/>
      <c r="L304" s="3"/>
      <c r="M304" s="3"/>
      <c r="N304" s="8"/>
      <c r="O304" s="10"/>
      <c r="P304" s="3"/>
      <c r="Q304" s="3"/>
      <c r="R304" s="8"/>
      <c r="S304" s="3"/>
      <c r="T304" s="3"/>
      <c r="U304" s="3"/>
      <c r="V304" s="8"/>
      <c r="W304" s="3"/>
      <c r="X304" s="3"/>
      <c r="Y304" s="3"/>
      <c r="Z304" s="8"/>
    </row>
    <row r="305" spans="1:26" s="23" customFormat="1" ht="15.75" thickBot="1" x14ac:dyDescent="0.3">
      <c r="A305" s="10"/>
      <c r="B305" s="26" t="s">
        <v>4</v>
      </c>
      <c r="C305" s="26"/>
      <c r="D305" s="35">
        <f>+D301-D303</f>
        <v>752573.75999999815</v>
      </c>
      <c r="E305" s="13"/>
      <c r="F305" s="30">
        <f>IF(D$12=0,0,D305/D$12)</f>
        <v>0.18773195642599802</v>
      </c>
      <c r="G305" s="13"/>
      <c r="H305" s="35">
        <f>+H301-H303</f>
        <v>975746.85</v>
      </c>
      <c r="I305" s="13"/>
      <c r="J305" s="30">
        <f>IF(H$12=0,0,H305/H$12)</f>
        <v>0.24168622642976104</v>
      </c>
      <c r="K305" s="15"/>
      <c r="L305" s="35">
        <f>D305-H305</f>
        <v>-223173.09000000183</v>
      </c>
      <c r="M305" s="15"/>
      <c r="N305" s="30">
        <f>IF(H305=0,0,L305/H305)</f>
        <v>-0.22872027719075069</v>
      </c>
      <c r="O305" s="25"/>
      <c r="P305" s="35">
        <f>+P301-P303</f>
        <v>-43944.120000002789</v>
      </c>
      <c r="Q305" s="13"/>
      <c r="R305" s="30">
        <f>IF(P$12=0,0,P305/P$12)</f>
        <v>-4.5145095101136491E-3</v>
      </c>
      <c r="S305" s="13"/>
      <c r="T305" s="35">
        <f>+T301-T303</f>
        <v>426950.45000000508</v>
      </c>
      <c r="U305" s="13"/>
      <c r="V305" s="30">
        <f>IF(T$12=0,0,T305/T$12)</f>
        <v>4.2541817456467616E-2</v>
      </c>
      <c r="W305" s="15"/>
      <c r="X305" s="35">
        <f>P305-T305</f>
        <v>-470894.57000000787</v>
      </c>
      <c r="Y305" s="15"/>
      <c r="Z305" s="30">
        <f>IF(T305=0,0,X305/T305)</f>
        <v>-1.1029255736819161</v>
      </c>
    </row>
    <row r="306" spans="1:26" ht="15.75" thickTop="1" x14ac:dyDescent="0.25">
      <c r="A306" s="9"/>
      <c r="B306" s="9"/>
      <c r="C306" s="9"/>
      <c r="D306" s="3"/>
      <c r="E306" s="3"/>
      <c r="F306" s="8"/>
      <c r="G306" s="3"/>
      <c r="H306" s="3"/>
      <c r="I306" s="3"/>
      <c r="J306" s="8"/>
      <c r="K306" s="3"/>
      <c r="L306" s="3"/>
      <c r="M306" s="3"/>
      <c r="N306" s="8"/>
      <c r="P306" s="3"/>
      <c r="Q306" s="3"/>
      <c r="R306" s="8"/>
      <c r="S306" s="3"/>
      <c r="T306" s="3"/>
      <c r="U306" s="3"/>
      <c r="V306" s="8"/>
      <c r="W306" s="3"/>
      <c r="X306" s="3"/>
      <c r="Y306" s="3"/>
      <c r="Z306" s="8"/>
    </row>
    <row r="307" spans="1:26" s="23" customFormat="1" x14ac:dyDescent="0.25">
      <c r="A307" s="51"/>
      <c r="B307" s="10" t="s">
        <v>2</v>
      </c>
      <c r="C307" s="10"/>
      <c r="D307" s="4">
        <f>--83075.9</f>
        <v>83075.899999999994</v>
      </c>
      <c r="E307" s="4"/>
      <c r="F307" s="12">
        <f t="shared" ref="F307:F308" si="147">IF(D$12=0,0,D307/D$12)</f>
        <v>2.0723551720499271E-2</v>
      </c>
      <c r="G307" s="4"/>
      <c r="H307" s="4">
        <f>--543.94</f>
        <v>543.94000000000005</v>
      </c>
      <c r="I307" s="4"/>
      <c r="J307" s="12">
        <f t="shared" ref="J307:J308" si="148">IF(H$12=0,0,H307/H$12)</f>
        <v>1.3473044366395261E-4</v>
      </c>
      <c r="K307" s="4"/>
      <c r="L307" s="4">
        <f t="shared" ref="L307:L308" si="149">+D307-H307</f>
        <v>82531.959999999992</v>
      </c>
      <c r="M307" s="4"/>
      <c r="N307" s="12">
        <f t="shared" ref="N307:N308" si="150">IF(H307=0,0,L307/H307)</f>
        <v>151.72989667978084</v>
      </c>
      <c r="O307" s="10"/>
      <c r="P307" s="4">
        <f>-97529.91</f>
        <v>-97529.91</v>
      </c>
      <c r="Q307" s="4"/>
      <c r="R307" s="12">
        <f t="shared" ref="R307:R308" si="151">IF(P$12=0,0,P307/P$12)</f>
        <v>-1.001953631601908E-2</v>
      </c>
      <c r="S307" s="4"/>
      <c r="T307" s="4">
        <f>--154665.14</f>
        <v>154665.14000000001</v>
      </c>
      <c r="U307" s="4"/>
      <c r="V307" s="12">
        <f t="shared" ref="V307:V308" si="152">IF(T$12=0,0,T307/T$12)</f>
        <v>1.5411006482740398E-2</v>
      </c>
      <c r="W307" s="4"/>
      <c r="X307" s="4">
        <f t="shared" ref="X307:X308" si="153">+P307-T307</f>
        <v>-252195.05000000002</v>
      </c>
      <c r="Y307" s="4"/>
      <c r="Z307" s="12">
        <f t="shared" ref="Z307:Z308" si="154">IF(T307=0,0,X307/T307)</f>
        <v>-1.6305875389890701</v>
      </c>
    </row>
    <row r="308" spans="1:26" s="23" customFormat="1" x14ac:dyDescent="0.25">
      <c r="A308" s="51"/>
      <c r="B308" s="10" t="s">
        <v>1</v>
      </c>
      <c r="C308" s="10"/>
      <c r="D308" s="4">
        <f>--19950.21</f>
        <v>19950.21</v>
      </c>
      <c r="E308" s="4"/>
      <c r="F308" s="12">
        <f t="shared" si="147"/>
        <v>4.9766443549792636E-3</v>
      </c>
      <c r="G308" s="4"/>
      <c r="H308" s="4">
        <f>--12665.5</f>
        <v>12665.5</v>
      </c>
      <c r="I308" s="4"/>
      <c r="J308" s="12">
        <f t="shared" si="148"/>
        <v>3.1371629853031431E-3</v>
      </c>
      <c r="K308" s="4"/>
      <c r="L308" s="4">
        <f t="shared" si="149"/>
        <v>7284.7099999999991</v>
      </c>
      <c r="M308" s="4"/>
      <c r="N308" s="12">
        <f t="shared" si="150"/>
        <v>0.57516165962654453</v>
      </c>
      <c r="O308" s="10"/>
      <c r="P308" s="4">
        <f>--51771.16</f>
        <v>51771.16</v>
      </c>
      <c r="Q308" s="4"/>
      <c r="R308" s="12">
        <f t="shared" si="151"/>
        <v>5.3186044951998249E-3</v>
      </c>
      <c r="S308" s="4"/>
      <c r="T308" s="4">
        <f>--42982.04</f>
        <v>42982.04</v>
      </c>
      <c r="U308" s="4"/>
      <c r="V308" s="12">
        <f t="shared" si="152"/>
        <v>4.2827782464840303E-3</v>
      </c>
      <c r="W308" s="4"/>
      <c r="X308" s="4">
        <f t="shared" si="153"/>
        <v>8789.1200000000026</v>
      </c>
      <c r="Y308" s="4"/>
      <c r="Z308" s="12">
        <f t="shared" si="154"/>
        <v>0.20448354708152527</v>
      </c>
    </row>
    <row r="309" spans="1:26" x14ac:dyDescent="0.25">
      <c r="A309" s="9"/>
      <c r="B309" s="9"/>
      <c r="C309" s="9"/>
      <c r="D309" s="3"/>
      <c r="E309" s="3"/>
      <c r="F309" s="8"/>
      <c r="G309" s="3"/>
      <c r="H309" s="3"/>
      <c r="I309" s="3"/>
      <c r="J309" s="8"/>
      <c r="K309" s="3"/>
      <c r="L309" s="3"/>
      <c r="M309" s="3"/>
      <c r="N309" s="8"/>
      <c r="P309" s="3"/>
      <c r="Q309" s="3"/>
      <c r="R309" s="8"/>
      <c r="S309" s="3"/>
      <c r="T309" s="3"/>
      <c r="U309" s="3"/>
      <c r="V309" s="8"/>
      <c r="W309" s="3"/>
      <c r="X309" s="3"/>
      <c r="Y309" s="3"/>
      <c r="Z309" s="8"/>
    </row>
    <row r="310" spans="1:26" s="23" customFormat="1" ht="15.75" thickBot="1" x14ac:dyDescent="0.3">
      <c r="A310" s="10"/>
      <c r="B310" s="26" t="s">
        <v>5</v>
      </c>
      <c r="C310" s="26"/>
      <c r="D310" s="36">
        <f>SUM(D305:D309)</f>
        <v>855599.86999999813</v>
      </c>
      <c r="E310" s="13"/>
      <c r="F310" s="31">
        <f>IF(D$12=0,0,D310/D$12)</f>
        <v>0.21343215250147654</v>
      </c>
      <c r="G310" s="13"/>
      <c r="H310" s="36">
        <f>SUM(H305:H309)</f>
        <v>988956.28999999992</v>
      </c>
      <c r="I310" s="13"/>
      <c r="J310" s="31">
        <f>IF(H$12=0,0,H310/H$12)</f>
        <v>0.24495811985872812</v>
      </c>
      <c r="K310" s="15"/>
      <c r="L310" s="36">
        <f>+D310-H310</f>
        <v>-133356.42000000179</v>
      </c>
      <c r="M310" s="15"/>
      <c r="N310" s="31">
        <f>IF(H310=0,0,L310/H310)</f>
        <v>-0.13484561587651342</v>
      </c>
      <c r="O310" s="25"/>
      <c r="P310" s="36">
        <f>SUM(P305:P309)</f>
        <v>-89702.870000002789</v>
      </c>
      <c r="Q310" s="13"/>
      <c r="R310" s="31">
        <f>IF(P$12=0,0,P310/P$12)</f>
        <v>-9.2154413309329039E-3</v>
      </c>
      <c r="S310" s="13"/>
      <c r="T310" s="36">
        <f>SUM(T305:T309)</f>
        <v>624597.63000000513</v>
      </c>
      <c r="U310" s="13"/>
      <c r="V310" s="31">
        <f>IF(T$12=0,0,T310/T$12)</f>
        <v>6.2235602185692046E-2</v>
      </c>
      <c r="W310" s="15"/>
      <c r="X310" s="36">
        <f>+P310-T310</f>
        <v>-714300.50000000792</v>
      </c>
      <c r="Y310" s="15"/>
      <c r="Z310" s="31">
        <f>IF(T310=0,0,X310/T310)</f>
        <v>-1.1436170515088282</v>
      </c>
    </row>
    <row r="311" spans="1:26" ht="15.75" thickTop="1" x14ac:dyDescent="0.25">
      <c r="A311" s="9"/>
      <c r="C311" s="9"/>
      <c r="D311" s="18"/>
      <c r="E311" s="18"/>
      <c r="G311" s="18"/>
      <c r="H311" s="18"/>
      <c r="I311" s="18"/>
      <c r="J311" s="42"/>
      <c r="K311" s="18"/>
      <c r="L311" s="18"/>
      <c r="M311" s="18"/>
      <c r="P311" s="18"/>
      <c r="Q311" s="18"/>
      <c r="R311" s="42"/>
      <c r="S311" s="18"/>
      <c r="T311" s="18"/>
      <c r="U311" s="18"/>
      <c r="V311" s="42"/>
      <c r="W311" s="18"/>
      <c r="X311" s="18"/>
    </row>
    <row r="312" spans="1:26" x14ac:dyDescent="0.25">
      <c r="A312" s="9"/>
      <c r="B312" s="55">
        <v>43756.462314201388</v>
      </c>
      <c r="D312" s="18"/>
      <c r="E312" s="18"/>
      <c r="G312" s="18"/>
      <c r="H312" s="18"/>
      <c r="I312" s="18"/>
      <c r="J312" s="42"/>
      <c r="K312" s="18"/>
      <c r="L312" s="18"/>
      <c r="M312" s="18"/>
      <c r="P312" s="18"/>
      <c r="Q312" s="18"/>
      <c r="R312" s="42"/>
      <c r="S312" s="18"/>
      <c r="T312" s="18"/>
      <c r="U312" s="18"/>
      <c r="V312" s="42"/>
      <c r="W312" s="18"/>
      <c r="X312" s="18"/>
    </row>
    <row r="313" spans="1:26" x14ac:dyDescent="0.25">
      <c r="A313" s="9"/>
      <c r="B313" s="56" t="s">
        <v>313</v>
      </c>
      <c r="D313" s="18"/>
      <c r="E313" s="18"/>
      <c r="G313" s="18"/>
      <c r="H313" s="18"/>
      <c r="I313" s="18"/>
      <c r="J313" s="42"/>
      <c r="K313" s="18"/>
      <c r="L313" s="18"/>
      <c r="M313" s="18"/>
      <c r="P313" s="18"/>
      <c r="Q313" s="18"/>
      <c r="R313" s="42"/>
      <c r="S313" s="18"/>
      <c r="T313" s="18"/>
      <c r="U313" s="18"/>
      <c r="V313" s="42"/>
      <c r="W313" s="18"/>
      <c r="X313" s="18"/>
    </row>
    <row r="314" spans="1:26" x14ac:dyDescent="0.25">
      <c r="A314" s="9"/>
      <c r="B314" s="57"/>
      <c r="D314" s="18"/>
      <c r="E314" s="18"/>
      <c r="G314" s="18"/>
      <c r="H314" s="18"/>
      <c r="I314" s="18"/>
      <c r="J314" s="42"/>
      <c r="K314" s="18"/>
      <c r="L314" s="18"/>
      <c r="M314" s="18"/>
      <c r="P314" s="18"/>
      <c r="Q314" s="18"/>
      <c r="R314" s="42"/>
      <c r="S314" s="18"/>
      <c r="T314" s="18"/>
      <c r="U314" s="18"/>
      <c r="V314" s="42"/>
      <c r="W314" s="18"/>
      <c r="X314" s="18"/>
    </row>
    <row r="315" spans="1:26" x14ac:dyDescent="0.25">
      <c r="D315" s="18"/>
      <c r="E315" s="18"/>
      <c r="G315" s="18"/>
      <c r="H315" s="18"/>
      <c r="I315" s="18"/>
      <c r="J315" s="42"/>
      <c r="K315" s="18"/>
      <c r="L315" s="18"/>
      <c r="M315" s="18"/>
      <c r="P315" s="18"/>
      <c r="Q315" s="18"/>
      <c r="R315" s="42"/>
      <c r="S315" s="18"/>
      <c r="T315" s="18"/>
      <c r="U315" s="18"/>
      <c r="V315" s="42"/>
      <c r="W315" s="18"/>
      <c r="X315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299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299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300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300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296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296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310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310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297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SUM(0)</f>
        <v>0</v>
      </c>
      <c r="E18" s="22"/>
      <c r="F18" s="34">
        <f>IF(D$12=0,0,D18/D$12)</f>
        <v>0</v>
      </c>
      <c r="G18" s="22"/>
      <c r="H18" s="22">
        <f>SUM(0)</f>
        <v>0</v>
      </c>
      <c r="I18" s="22"/>
      <c r="J18" s="34">
        <f>IF(H$12=0,0,H18/H$12)</f>
        <v>0</v>
      </c>
      <c r="K18" s="4"/>
      <c r="L18" s="22">
        <f>+D18-H18</f>
        <v>0</v>
      </c>
      <c r="M18" s="4"/>
      <c r="N18" s="34">
        <f>IF(H18=0,0,L18/H18)</f>
        <v>0</v>
      </c>
      <c r="O18" s="10"/>
      <c r="P18" s="22">
        <f>SUM(0)</f>
        <v>0</v>
      </c>
      <c r="Q18" s="22"/>
      <c r="R18" s="34">
        <f>IF(P$12=0,0,P18/P$12)</f>
        <v>0</v>
      </c>
      <c r="S18" s="22"/>
      <c r="T18" s="22">
        <f>SUM(0)</f>
        <v>0</v>
      </c>
      <c r="U18" s="22"/>
      <c r="V18" s="34">
        <f>IF(T$12=0,0,T18/T$12)</f>
        <v>0</v>
      </c>
      <c r="W18" s="4"/>
      <c r="X18" s="22">
        <f>+P18-T18</f>
        <v>0</v>
      </c>
      <c r="Y18" s="4"/>
      <c r="Z18" s="34">
        <f>IF(T18=0,0,X18/T18)</f>
        <v>0</v>
      </c>
    </row>
    <row r="19" spans="1:26" s="53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5"/>
      <c r="L22" s="21">
        <f>+D22-H22</f>
        <v>0</v>
      </c>
      <c r="M22" s="15"/>
      <c r="N22" s="20">
        <f>IF(H22=0,0,L22/H22)</f>
        <v>0</v>
      </c>
      <c r="O22" s="25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5"/>
      <c r="X22" s="21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5">
        <f>+D22-D24</f>
        <v>0</v>
      </c>
      <c r="E26" s="13"/>
      <c r="F26" s="30">
        <f>IF(D$12=0,0,D26/D$12)</f>
        <v>0</v>
      </c>
      <c r="G26" s="13"/>
      <c r="H26" s="35">
        <f>+H22-H24</f>
        <v>0</v>
      </c>
      <c r="I26" s="13"/>
      <c r="J26" s="30">
        <f>IF(H$12=0,0,H26/H$12)</f>
        <v>0</v>
      </c>
      <c r="K26" s="15"/>
      <c r="L26" s="35">
        <f>D26-H26</f>
        <v>0</v>
      </c>
      <c r="M26" s="15"/>
      <c r="N26" s="30">
        <f>IF(H26=0,0,L26/H26)</f>
        <v>0</v>
      </c>
      <c r="O26" s="25"/>
      <c r="P26" s="35">
        <f>+P22-P24</f>
        <v>0</v>
      </c>
      <c r="Q26" s="13"/>
      <c r="R26" s="30">
        <f>IF(P$12=0,0,P26/P$12)</f>
        <v>0</v>
      </c>
      <c r="S26" s="13"/>
      <c r="T26" s="35">
        <f>+T22-T24</f>
        <v>0</v>
      </c>
      <c r="U26" s="13"/>
      <c r="V26" s="30">
        <f>IF(T$12=0,0,T26/T$12)</f>
        <v>0</v>
      </c>
      <c r="W26" s="15"/>
      <c r="X26" s="35">
        <f>P26-T26</f>
        <v>0</v>
      </c>
      <c r="Y26" s="15"/>
      <c r="Z26" s="30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--83075.9</f>
        <v>83075.899999999994</v>
      </c>
      <c r="E28" s="4"/>
      <c r="F28" s="12">
        <f t="shared" ref="F28:F29" si="0">IF(D$12=0,0,D28/D$12)</f>
        <v>0</v>
      </c>
      <c r="G28" s="4"/>
      <c r="H28" s="4">
        <f>--543.94</f>
        <v>543.94000000000005</v>
      </c>
      <c r="I28" s="4"/>
      <c r="J28" s="12">
        <f t="shared" ref="J28:J29" si="1">IF(H$12=0,0,H28/H$12)</f>
        <v>0</v>
      </c>
      <c r="K28" s="4"/>
      <c r="L28" s="4">
        <f t="shared" ref="L28:L29" si="2">+D28-H28</f>
        <v>82531.959999999992</v>
      </c>
      <c r="M28" s="4"/>
      <c r="N28" s="12">
        <f t="shared" ref="N28:N29" si="3">IF(H28=0,0,L28/H28)</f>
        <v>151.72989667978084</v>
      </c>
      <c r="O28" s="10"/>
      <c r="P28" s="4">
        <f>-97529.91</f>
        <v>-97529.91</v>
      </c>
      <c r="Q28" s="4"/>
      <c r="R28" s="12">
        <f t="shared" ref="R28:R29" si="4">IF(P$12=0,0,P28/P$12)</f>
        <v>0</v>
      </c>
      <c r="S28" s="4"/>
      <c r="T28" s="4">
        <f>--154665.14</f>
        <v>154665.14000000001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-252195.05000000002</v>
      </c>
      <c r="Y28" s="4"/>
      <c r="Z28" s="12">
        <f t="shared" ref="Z28:Z29" si="7">IF(T28=0,0,X28/T28)</f>
        <v>-1.6305875389890701</v>
      </c>
    </row>
    <row r="29" spans="1:26" s="23" customFormat="1" x14ac:dyDescent="0.25">
      <c r="A29" s="51"/>
      <c r="B29" s="10" t="s">
        <v>1</v>
      </c>
      <c r="C29" s="10"/>
      <c r="D29" s="4">
        <f>--19950.21</f>
        <v>19950.21</v>
      </c>
      <c r="E29" s="4"/>
      <c r="F29" s="12">
        <f t="shared" si="0"/>
        <v>0</v>
      </c>
      <c r="G29" s="4"/>
      <c r="H29" s="4">
        <f>--12665.5</f>
        <v>12665.5</v>
      </c>
      <c r="I29" s="4"/>
      <c r="J29" s="12">
        <f t="shared" si="1"/>
        <v>0</v>
      </c>
      <c r="K29" s="4"/>
      <c r="L29" s="4">
        <f t="shared" si="2"/>
        <v>7284.7099999999991</v>
      </c>
      <c r="M29" s="4"/>
      <c r="N29" s="12">
        <f t="shared" si="3"/>
        <v>0.57516165962654453</v>
      </c>
      <c r="O29" s="10"/>
      <c r="P29" s="4">
        <f>--51771.16</f>
        <v>51771.16</v>
      </c>
      <c r="Q29" s="4"/>
      <c r="R29" s="12">
        <f t="shared" si="4"/>
        <v>0</v>
      </c>
      <c r="S29" s="4"/>
      <c r="T29" s="4">
        <f>--42982.04</f>
        <v>42982.04</v>
      </c>
      <c r="U29" s="4"/>
      <c r="V29" s="12">
        <f t="shared" si="5"/>
        <v>0</v>
      </c>
      <c r="W29" s="4"/>
      <c r="X29" s="4">
        <f t="shared" si="6"/>
        <v>8789.1200000000026</v>
      </c>
      <c r="Y29" s="4"/>
      <c r="Z29" s="12">
        <f t="shared" si="7"/>
        <v>0.20448354708152527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6">
        <f>SUM(D26:D30)</f>
        <v>103026.10999999999</v>
      </c>
      <c r="E31" s="13"/>
      <c r="F31" s="31">
        <f>IF(D$12=0,0,D31/D$12)</f>
        <v>0</v>
      </c>
      <c r="G31" s="13"/>
      <c r="H31" s="36">
        <f>SUM(H26:H30)</f>
        <v>13209.44</v>
      </c>
      <c r="I31" s="13"/>
      <c r="J31" s="31">
        <f>IF(H$12=0,0,H31/H$12)</f>
        <v>0</v>
      </c>
      <c r="K31" s="15"/>
      <c r="L31" s="36">
        <f>+D31-H31</f>
        <v>89816.669999999984</v>
      </c>
      <c r="M31" s="15"/>
      <c r="N31" s="31">
        <f>IF(H31=0,0,L31/H31)</f>
        <v>6.7994305587519213</v>
      </c>
      <c r="O31" s="25"/>
      <c r="P31" s="36">
        <f>SUM(P26:P30)</f>
        <v>-45758.75</v>
      </c>
      <c r="Q31" s="13"/>
      <c r="R31" s="31">
        <f>IF(P$12=0,0,P31/P$12)</f>
        <v>0</v>
      </c>
      <c r="S31" s="13"/>
      <c r="T31" s="36">
        <f>SUM(T26:T30)</f>
        <v>197647.18000000002</v>
      </c>
      <c r="U31" s="13"/>
      <c r="V31" s="31">
        <f>IF(T$12=0,0,T31/T$12)</f>
        <v>0</v>
      </c>
      <c r="W31" s="15"/>
      <c r="X31" s="36">
        <f>+P31-T31</f>
        <v>-243405.93000000002</v>
      </c>
      <c r="Y31" s="15"/>
      <c r="Z31" s="31">
        <f>IF(T31=0,0,X31/T31)</f>
        <v>-1.2315173431768669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5">
        <v>43756.462364733794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6" t="s">
        <v>313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7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","100", " - ", "Corporate")</f>
        <v>Department 100 - Corporate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SUM(0)</f>
        <v>0</v>
      </c>
      <c r="E18" s="22"/>
      <c r="F18" s="34">
        <f>IF(D$12=0,0,D18/D$12)</f>
        <v>0</v>
      </c>
      <c r="G18" s="22"/>
      <c r="H18" s="22">
        <f>SUM(0)</f>
        <v>0</v>
      </c>
      <c r="I18" s="22"/>
      <c r="J18" s="34">
        <f>IF(H$12=0,0,H18/H$12)</f>
        <v>0</v>
      </c>
      <c r="K18" s="4"/>
      <c r="L18" s="22">
        <f>+D18-H18</f>
        <v>0</v>
      </c>
      <c r="M18" s="4"/>
      <c r="N18" s="34">
        <f>IF(H18=0,0,L18/H18)</f>
        <v>0</v>
      </c>
      <c r="O18" s="10"/>
      <c r="P18" s="22">
        <f>SUM(0)</f>
        <v>0</v>
      </c>
      <c r="Q18" s="22"/>
      <c r="R18" s="34">
        <f>IF(P$12=0,0,P18/P$12)</f>
        <v>0</v>
      </c>
      <c r="S18" s="22"/>
      <c r="T18" s="22">
        <f>SUM(0)</f>
        <v>0</v>
      </c>
      <c r="U18" s="22"/>
      <c r="V18" s="34">
        <f>IF(T$12=0,0,T18/T$12)</f>
        <v>0</v>
      </c>
      <c r="W18" s="4"/>
      <c r="X18" s="22">
        <f>+P18-T18</f>
        <v>0</v>
      </c>
      <c r="Y18" s="4"/>
      <c r="Z18" s="34">
        <f>IF(T18=0,0,X18/T18)</f>
        <v>0</v>
      </c>
    </row>
    <row r="19" spans="1:26" s="53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5"/>
      <c r="L22" s="21">
        <f>+D22-H22</f>
        <v>0</v>
      </c>
      <c r="M22" s="15"/>
      <c r="N22" s="20">
        <f>IF(H22=0,0,L22/H22)</f>
        <v>0</v>
      </c>
      <c r="O22" s="25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5"/>
      <c r="X22" s="21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5">
        <f>+D22-D24</f>
        <v>0</v>
      </c>
      <c r="E26" s="13"/>
      <c r="F26" s="30">
        <f>IF(D$12=0,0,D26/D$12)</f>
        <v>0</v>
      </c>
      <c r="G26" s="13"/>
      <c r="H26" s="35">
        <f>+H22-H24</f>
        <v>0</v>
      </c>
      <c r="I26" s="13"/>
      <c r="J26" s="30">
        <f>IF(H$12=0,0,H26/H$12)</f>
        <v>0</v>
      </c>
      <c r="K26" s="15"/>
      <c r="L26" s="35">
        <f>D26-H26</f>
        <v>0</v>
      </c>
      <c r="M26" s="15"/>
      <c r="N26" s="30">
        <f>IF(H26=0,0,L26/H26)</f>
        <v>0</v>
      </c>
      <c r="O26" s="25"/>
      <c r="P26" s="35">
        <f>+P22-P24</f>
        <v>0</v>
      </c>
      <c r="Q26" s="13"/>
      <c r="R26" s="30">
        <f>IF(P$12=0,0,P26/P$12)</f>
        <v>0</v>
      </c>
      <c r="S26" s="13"/>
      <c r="T26" s="35">
        <f>+T22-T24</f>
        <v>0</v>
      </c>
      <c r="U26" s="13"/>
      <c r="V26" s="30">
        <f>IF(T$12=0,0,T26/T$12)</f>
        <v>0</v>
      </c>
      <c r="W26" s="15"/>
      <c r="X26" s="35">
        <f>P26-T26</f>
        <v>0</v>
      </c>
      <c r="Y26" s="15"/>
      <c r="Z26" s="30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--83075.9</f>
        <v>83075.899999999994</v>
      </c>
      <c r="E28" s="4"/>
      <c r="F28" s="12">
        <f t="shared" ref="F28:F29" si="0">IF(D$12=0,0,D28/D$12)</f>
        <v>0</v>
      </c>
      <c r="G28" s="4"/>
      <c r="H28" s="4">
        <f>--543.94</f>
        <v>543.94000000000005</v>
      </c>
      <c r="I28" s="4"/>
      <c r="J28" s="12">
        <f t="shared" ref="J28:J29" si="1">IF(H$12=0,0,H28/H$12)</f>
        <v>0</v>
      </c>
      <c r="K28" s="4"/>
      <c r="L28" s="4">
        <f t="shared" ref="L28:L29" si="2">+D28-H28</f>
        <v>82531.959999999992</v>
      </c>
      <c r="M28" s="4"/>
      <c r="N28" s="12">
        <f t="shared" ref="N28:N29" si="3">IF(H28=0,0,L28/H28)</f>
        <v>151.72989667978084</v>
      </c>
      <c r="O28" s="10"/>
      <c r="P28" s="4">
        <f>-97529.91</f>
        <v>-97529.91</v>
      </c>
      <c r="Q28" s="4"/>
      <c r="R28" s="12">
        <f t="shared" ref="R28:R29" si="4">IF(P$12=0,0,P28/P$12)</f>
        <v>0</v>
      </c>
      <c r="S28" s="4"/>
      <c r="T28" s="4">
        <f>--154665.14</f>
        <v>154665.14000000001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-252195.05000000002</v>
      </c>
      <c r="Y28" s="4"/>
      <c r="Z28" s="12">
        <f t="shared" ref="Z28:Z29" si="7">IF(T28=0,0,X28/T28)</f>
        <v>-1.6305875389890701</v>
      </c>
    </row>
    <row r="29" spans="1:26" s="23" customFormat="1" x14ac:dyDescent="0.25">
      <c r="A29" s="51"/>
      <c r="B29" s="10" t="s">
        <v>1</v>
      </c>
      <c r="C29" s="10"/>
      <c r="D29" s="4">
        <f>--19950.21</f>
        <v>19950.21</v>
      </c>
      <c r="E29" s="4"/>
      <c r="F29" s="12">
        <f t="shared" si="0"/>
        <v>0</v>
      </c>
      <c r="G29" s="4"/>
      <c r="H29" s="4">
        <f>--12665.5</f>
        <v>12665.5</v>
      </c>
      <c r="I29" s="4"/>
      <c r="J29" s="12">
        <f t="shared" si="1"/>
        <v>0</v>
      </c>
      <c r="K29" s="4"/>
      <c r="L29" s="4">
        <f t="shared" si="2"/>
        <v>7284.7099999999991</v>
      </c>
      <c r="M29" s="4"/>
      <c r="N29" s="12">
        <f t="shared" si="3"/>
        <v>0.57516165962654453</v>
      </c>
      <c r="O29" s="10"/>
      <c r="P29" s="4">
        <f>--51771.16</f>
        <v>51771.16</v>
      </c>
      <c r="Q29" s="4"/>
      <c r="R29" s="12">
        <f t="shared" si="4"/>
        <v>0</v>
      </c>
      <c r="S29" s="4"/>
      <c r="T29" s="4">
        <f>--42982.04</f>
        <v>42982.04</v>
      </c>
      <c r="U29" s="4"/>
      <c r="V29" s="12">
        <f t="shared" si="5"/>
        <v>0</v>
      </c>
      <c r="W29" s="4"/>
      <c r="X29" s="4">
        <f t="shared" si="6"/>
        <v>8789.1200000000026</v>
      </c>
      <c r="Y29" s="4"/>
      <c r="Z29" s="12">
        <f t="shared" si="7"/>
        <v>0.20448354708152527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6">
        <f>SUM(D26:D30)</f>
        <v>103026.10999999999</v>
      </c>
      <c r="E31" s="13"/>
      <c r="F31" s="31">
        <f>IF(D$12=0,0,D31/D$12)</f>
        <v>0</v>
      </c>
      <c r="G31" s="13"/>
      <c r="H31" s="36">
        <f>SUM(H26:H30)</f>
        <v>13209.44</v>
      </c>
      <c r="I31" s="13"/>
      <c r="J31" s="31">
        <f>IF(H$12=0,0,H31/H$12)</f>
        <v>0</v>
      </c>
      <c r="K31" s="15"/>
      <c r="L31" s="36">
        <f>+D31-H31</f>
        <v>89816.669999999984</v>
      </c>
      <c r="M31" s="15"/>
      <c r="N31" s="31">
        <f>IF(H31=0,0,L31/H31)</f>
        <v>6.7994305587519213</v>
      </c>
      <c r="O31" s="25"/>
      <c r="P31" s="36">
        <f>SUM(P26:P30)</f>
        <v>-45758.75</v>
      </c>
      <c r="Q31" s="13"/>
      <c r="R31" s="31">
        <f>IF(P$12=0,0,P31/P$12)</f>
        <v>0</v>
      </c>
      <c r="S31" s="13"/>
      <c r="T31" s="36">
        <f>SUM(T26:T30)</f>
        <v>197647.18000000002</v>
      </c>
      <c r="U31" s="13"/>
      <c r="V31" s="31">
        <f>IF(T$12=0,0,T31/T$12)</f>
        <v>0</v>
      </c>
      <c r="W31" s="15"/>
      <c r="X31" s="36">
        <f>+P31-T31</f>
        <v>-243405.93000000002</v>
      </c>
      <c r="Y31" s="15"/>
      <c r="Z31" s="31">
        <f>IF(T31=0,0,X31/T31)</f>
        <v>-1.2315173431768669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5">
        <v>43756.462719525465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6" t="s">
        <v>313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7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295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298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331728.94</v>
      </c>
      <c r="E18" s="22"/>
      <c r="F18" s="34">
        <f t="shared" ref="F18:F30" si="0">IF(D$12=0,0,D18/D$12)</f>
        <v>0</v>
      </c>
      <c r="G18" s="22"/>
      <c r="H18" s="22">
        <f>SUM(OSRRefH22x_0)</f>
        <v>279224.88000000006</v>
      </c>
      <c r="I18" s="22"/>
      <c r="J18" s="34">
        <f t="shared" ref="J18:J30" si="1">IF(H$12=0,0,H18/H$12)</f>
        <v>0</v>
      </c>
      <c r="K18" s="4"/>
      <c r="L18" s="22">
        <f t="shared" ref="L18:L30" si="2">+D18-H18</f>
        <v>52504.059999999939</v>
      </c>
      <c r="M18" s="4"/>
      <c r="N18" s="34">
        <f t="shared" ref="N18:N30" si="3">IF(H18=0,0,L18/H18)</f>
        <v>0.18803503470034594</v>
      </c>
      <c r="O18" s="10"/>
      <c r="P18" s="22">
        <f>SUM(OSRRefP22x_0)</f>
        <v>1045557.8000000003</v>
      </c>
      <c r="Q18" s="22"/>
      <c r="R18" s="34">
        <f t="shared" ref="R18:R30" si="4">IF(P$12=0,0,P18/P$12)</f>
        <v>0</v>
      </c>
      <c r="S18" s="22"/>
      <c r="T18" s="22">
        <f>SUM(OSRRefT22x_0)</f>
        <v>891671.16999999993</v>
      </c>
      <c r="U18" s="22"/>
      <c r="V18" s="34">
        <f t="shared" ref="V18:V30" si="5">IF(T$12=0,0,T18/T$12)</f>
        <v>0</v>
      </c>
      <c r="W18" s="4"/>
      <c r="X18" s="22">
        <f t="shared" ref="X18:X30" si="6">+P18-T18</f>
        <v>153886.63000000035</v>
      </c>
      <c r="Y18" s="4"/>
      <c r="Z18" s="34">
        <f t="shared" ref="Z18:Z30" si="7">IF(T18=0,0,X18/T18)</f>
        <v>0.17258226482751524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97769.17</v>
      </c>
      <c r="E19" s="1"/>
      <c r="F19" s="5">
        <f t="shared" si="0"/>
        <v>0</v>
      </c>
      <c r="G19" s="1"/>
      <c r="H19" s="1">
        <f>SUM(OSRRefH22_0x_0)</f>
        <v>94117.88</v>
      </c>
      <c r="I19" s="1"/>
      <c r="J19" s="5">
        <f t="shared" si="1"/>
        <v>0</v>
      </c>
      <c r="K19" s="1"/>
      <c r="L19" s="1">
        <f t="shared" si="2"/>
        <v>3651.2899999999936</v>
      </c>
      <c r="M19" s="1"/>
      <c r="N19" s="5">
        <f t="shared" si="3"/>
        <v>3.8794860232720857E-2</v>
      </c>
      <c r="O19" s="14"/>
      <c r="P19" s="1">
        <f>SUM(OSRRefP22_0x_0)</f>
        <v>287283.41000000003</v>
      </c>
      <c r="Q19" s="1"/>
      <c r="R19" s="5">
        <f t="shared" si="4"/>
        <v>0</v>
      </c>
      <c r="S19" s="1"/>
      <c r="T19" s="1">
        <f>SUM(OSRRefT22_0x_0)</f>
        <v>290824.03999999998</v>
      </c>
      <c r="U19" s="1"/>
      <c r="V19" s="5">
        <f t="shared" si="5"/>
        <v>0</v>
      </c>
      <c r="W19" s="1"/>
      <c r="X19" s="1">
        <f t="shared" si="6"/>
        <v>-3540.6299999999464</v>
      </c>
      <c r="Y19" s="1"/>
      <c r="Z19" s="5">
        <f t="shared" si="7"/>
        <v>-1.2174474984942603E-2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7944.9</v>
      </c>
      <c r="E20" s="2"/>
      <c r="F20" s="7">
        <f t="shared" si="0"/>
        <v>0</v>
      </c>
      <c r="G20" s="2"/>
      <c r="H20" s="6">
        <v>7694.09</v>
      </c>
      <c r="I20" s="2"/>
      <c r="J20" s="7">
        <f t="shared" si="1"/>
        <v>0</v>
      </c>
      <c r="K20" s="2"/>
      <c r="L20" s="6">
        <f t="shared" si="2"/>
        <v>250.80999999999949</v>
      </c>
      <c r="M20" s="2"/>
      <c r="N20" s="7">
        <f t="shared" si="3"/>
        <v>3.2597747101996401E-2</v>
      </c>
      <c r="O20" s="11"/>
      <c r="P20" s="6">
        <v>26890.91</v>
      </c>
      <c r="Q20" s="2"/>
      <c r="R20" s="7">
        <f t="shared" si="4"/>
        <v>0</v>
      </c>
      <c r="S20" s="2"/>
      <c r="T20" s="6">
        <v>26965.38</v>
      </c>
      <c r="U20" s="2"/>
      <c r="V20" s="7">
        <f t="shared" si="5"/>
        <v>0</v>
      </c>
      <c r="W20" s="2"/>
      <c r="X20" s="6">
        <f t="shared" si="6"/>
        <v>-74.470000000001164</v>
      </c>
      <c r="Y20" s="2"/>
      <c r="Z20" s="7">
        <f t="shared" si="7"/>
        <v>-2.761689247472172E-3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701.22</v>
      </c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701.22</v>
      </c>
      <c r="M21" s="2"/>
      <c r="N21" s="7">
        <f t="shared" si="3"/>
        <v>0</v>
      </c>
      <c r="O21" s="11"/>
      <c r="P21" s="6">
        <v>2102.29</v>
      </c>
      <c r="Q21" s="2"/>
      <c r="R21" s="7">
        <f t="shared" si="4"/>
        <v>0</v>
      </c>
      <c r="S21" s="2"/>
      <c r="T21" s="6">
        <v>1360.64</v>
      </c>
      <c r="U21" s="2"/>
      <c r="V21" s="7">
        <f t="shared" si="5"/>
        <v>0</v>
      </c>
      <c r="W21" s="2"/>
      <c r="X21" s="6">
        <f t="shared" si="6"/>
        <v>741.64999999999986</v>
      </c>
      <c r="Y21" s="2"/>
      <c r="Z21" s="7">
        <f t="shared" si="7"/>
        <v>0.54507437676387571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22318.809999999998</v>
      </c>
      <c r="E22" s="2"/>
      <c r="F22" s="7">
        <f t="shared" si="0"/>
        <v>0</v>
      </c>
      <c r="G22" s="2"/>
      <c r="H22" s="6">
        <v>28505.119999999999</v>
      </c>
      <c r="I22" s="2"/>
      <c r="J22" s="7">
        <f t="shared" si="1"/>
        <v>0</v>
      </c>
      <c r="K22" s="2"/>
      <c r="L22" s="6">
        <f t="shared" si="2"/>
        <v>-6186.3100000000013</v>
      </c>
      <c r="M22" s="2"/>
      <c r="N22" s="7">
        <f t="shared" si="3"/>
        <v>-0.21702452050719315</v>
      </c>
      <c r="O22" s="11"/>
      <c r="P22" s="6">
        <v>68360.53</v>
      </c>
      <c r="Q22" s="2"/>
      <c r="R22" s="7">
        <f t="shared" si="4"/>
        <v>0</v>
      </c>
      <c r="S22" s="2"/>
      <c r="T22" s="6">
        <v>68791.78</v>
      </c>
      <c r="U22" s="2"/>
      <c r="V22" s="7">
        <f t="shared" si="5"/>
        <v>0</v>
      </c>
      <c r="W22" s="2"/>
      <c r="X22" s="6">
        <f t="shared" si="6"/>
        <v>-431.25</v>
      </c>
      <c r="Y22" s="2"/>
      <c r="Z22" s="7">
        <f t="shared" si="7"/>
        <v>-6.2689175945149266E-3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332.94</v>
      </c>
      <c r="E23" s="2"/>
      <c r="F23" s="7">
        <f t="shared" si="0"/>
        <v>0</v>
      </c>
      <c r="G23" s="2"/>
      <c r="H23" s="6">
        <v>308.75</v>
      </c>
      <c r="I23" s="2"/>
      <c r="J23" s="7">
        <f t="shared" si="1"/>
        <v>0</v>
      </c>
      <c r="K23" s="2"/>
      <c r="L23" s="6">
        <f t="shared" si="2"/>
        <v>24.189999999999998</v>
      </c>
      <c r="M23" s="2"/>
      <c r="N23" s="7">
        <f t="shared" si="3"/>
        <v>7.8348178137651811E-2</v>
      </c>
      <c r="O23" s="11"/>
      <c r="P23" s="6">
        <v>982.28</v>
      </c>
      <c r="Q23" s="2"/>
      <c r="R23" s="7">
        <f t="shared" si="4"/>
        <v>0</v>
      </c>
      <c r="S23" s="2"/>
      <c r="T23" s="6">
        <v>1108.1300000000001</v>
      </c>
      <c r="U23" s="2"/>
      <c r="V23" s="7">
        <f t="shared" si="5"/>
        <v>0</v>
      </c>
      <c r="W23" s="2"/>
      <c r="X23" s="6">
        <f t="shared" si="6"/>
        <v>-125.85000000000014</v>
      </c>
      <c r="Y23" s="2"/>
      <c r="Z23" s="7">
        <f t="shared" si="7"/>
        <v>-0.11356970752529047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8345.31</v>
      </c>
      <c r="E24" s="2"/>
      <c r="F24" s="7">
        <f t="shared" si="0"/>
        <v>0</v>
      </c>
      <c r="G24" s="2"/>
      <c r="H24" s="6">
        <v>7338.23</v>
      </c>
      <c r="I24" s="2"/>
      <c r="J24" s="7">
        <f t="shared" si="1"/>
        <v>0</v>
      </c>
      <c r="K24" s="2"/>
      <c r="L24" s="6">
        <f t="shared" si="2"/>
        <v>1007.0799999999999</v>
      </c>
      <c r="M24" s="2"/>
      <c r="N24" s="7">
        <f t="shared" si="3"/>
        <v>0.13723745371840348</v>
      </c>
      <c r="O24" s="11"/>
      <c r="P24" s="6">
        <v>24478.27</v>
      </c>
      <c r="Q24" s="2"/>
      <c r="R24" s="7">
        <f t="shared" si="4"/>
        <v>0</v>
      </c>
      <c r="S24" s="2"/>
      <c r="T24" s="6">
        <v>28077.37</v>
      </c>
      <c r="U24" s="2"/>
      <c r="V24" s="7">
        <f t="shared" si="5"/>
        <v>0</v>
      </c>
      <c r="W24" s="2"/>
      <c r="X24" s="6">
        <f t="shared" si="6"/>
        <v>-3599.0999999999985</v>
      </c>
      <c r="Y24" s="2"/>
      <c r="Z24" s="7">
        <f t="shared" si="7"/>
        <v>-0.12818508286210561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6">
        <v>1971.94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1971.94</v>
      </c>
      <c r="M25" s="2"/>
      <c r="N25" s="7">
        <f t="shared" si="3"/>
        <v>0</v>
      </c>
      <c r="O25" s="11"/>
      <c r="P25" s="6">
        <v>1971.94</v>
      </c>
      <c r="Q25" s="2"/>
      <c r="R25" s="7">
        <f t="shared" si="4"/>
        <v>0</v>
      </c>
      <c r="S25" s="2"/>
      <c r="T25" s="6">
        <v>2451.4</v>
      </c>
      <c r="U25" s="2"/>
      <c r="V25" s="7">
        <f t="shared" si="5"/>
        <v>0</v>
      </c>
      <c r="W25" s="2"/>
      <c r="X25" s="6">
        <f t="shared" si="6"/>
        <v>-479.46000000000004</v>
      </c>
      <c r="Y25" s="2"/>
      <c r="Z25" s="7">
        <f t="shared" si="7"/>
        <v>-0.19558619564330587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6">
        <v>1194.0999999999999</v>
      </c>
      <c r="E26" s="2"/>
      <c r="F26" s="7">
        <f t="shared" si="0"/>
        <v>0</v>
      </c>
      <c r="G26" s="2"/>
      <c r="H26" s="6">
        <v>331.01</v>
      </c>
      <c r="I26" s="2"/>
      <c r="J26" s="7">
        <f t="shared" si="1"/>
        <v>0</v>
      </c>
      <c r="K26" s="2"/>
      <c r="L26" s="6">
        <f t="shared" si="2"/>
        <v>863.08999999999992</v>
      </c>
      <c r="M26" s="2"/>
      <c r="N26" s="7">
        <f t="shared" si="3"/>
        <v>2.6074438838705776</v>
      </c>
      <c r="O26" s="11"/>
      <c r="P26" s="6">
        <v>2634.87</v>
      </c>
      <c r="Q26" s="2"/>
      <c r="R26" s="7">
        <f t="shared" si="4"/>
        <v>0</v>
      </c>
      <c r="S26" s="2"/>
      <c r="T26" s="6">
        <v>763.56</v>
      </c>
      <c r="U26" s="2"/>
      <c r="V26" s="7">
        <f t="shared" si="5"/>
        <v>0</v>
      </c>
      <c r="W26" s="2"/>
      <c r="X26" s="6">
        <f t="shared" si="6"/>
        <v>1871.31</v>
      </c>
      <c r="Y26" s="2"/>
      <c r="Z26" s="7">
        <f t="shared" si="7"/>
        <v>2.450770077007701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6">
        <v>8862.1</v>
      </c>
      <c r="E27" s="2"/>
      <c r="F27" s="7">
        <f t="shared" si="0"/>
        <v>0</v>
      </c>
      <c r="G27" s="2"/>
      <c r="H27" s="6">
        <v>7641.68</v>
      </c>
      <c r="I27" s="2"/>
      <c r="J27" s="7">
        <f t="shared" si="1"/>
        <v>0</v>
      </c>
      <c r="K27" s="2"/>
      <c r="L27" s="6">
        <f t="shared" si="2"/>
        <v>1220.42</v>
      </c>
      <c r="M27" s="2"/>
      <c r="N27" s="7">
        <f t="shared" si="3"/>
        <v>0.15970571916123155</v>
      </c>
      <c r="O27" s="11"/>
      <c r="P27" s="6">
        <v>31385.75</v>
      </c>
      <c r="Q27" s="2"/>
      <c r="R27" s="7">
        <f t="shared" si="4"/>
        <v>0</v>
      </c>
      <c r="S27" s="2"/>
      <c r="T27" s="6">
        <v>27796.240000000002</v>
      </c>
      <c r="U27" s="2"/>
      <c r="V27" s="7">
        <f t="shared" si="5"/>
        <v>0</v>
      </c>
      <c r="W27" s="2"/>
      <c r="X27" s="6">
        <f t="shared" si="6"/>
        <v>3589.5099999999984</v>
      </c>
      <c r="Y27" s="2"/>
      <c r="Z27" s="7">
        <f t="shared" si="7"/>
        <v>0.12913653069623798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6">
        <v>13176.97</v>
      </c>
      <c r="E28" s="2"/>
      <c r="F28" s="7">
        <f t="shared" si="0"/>
        <v>0</v>
      </c>
      <c r="G28" s="2"/>
      <c r="H28" s="6">
        <v>4615.78</v>
      </c>
      <c r="I28" s="2"/>
      <c r="J28" s="7">
        <f t="shared" si="1"/>
        <v>0</v>
      </c>
      <c r="K28" s="2"/>
      <c r="L28" s="6">
        <f t="shared" si="2"/>
        <v>8561.1899999999987</v>
      </c>
      <c r="M28" s="2"/>
      <c r="N28" s="7">
        <f t="shared" si="3"/>
        <v>1.8547656084128792</v>
      </c>
      <c r="O28" s="11"/>
      <c r="P28" s="6">
        <v>32988.590000000004</v>
      </c>
      <c r="Q28" s="2"/>
      <c r="R28" s="7">
        <f t="shared" si="4"/>
        <v>0</v>
      </c>
      <c r="S28" s="2"/>
      <c r="T28" s="6">
        <v>22492.6</v>
      </c>
      <c r="U28" s="2"/>
      <c r="V28" s="7">
        <f t="shared" si="5"/>
        <v>0</v>
      </c>
      <c r="W28" s="2"/>
      <c r="X28" s="6">
        <f t="shared" si="6"/>
        <v>10495.990000000005</v>
      </c>
      <c r="Y28" s="2"/>
      <c r="Z28" s="7">
        <f t="shared" si="7"/>
        <v>0.46664191778629444</v>
      </c>
    </row>
    <row r="29" spans="1:26" s="24" customFormat="1" hidden="1" outlineLevel="2" x14ac:dyDescent="0.25">
      <c r="A29" s="28"/>
      <c r="B29" s="11" t="str">
        <f>CONCATENATE("          ", "6120", " - ", "RETIREES HEALTH INSURANCE")</f>
        <v xml:space="preserve">          6120 - RETIREES HEALTH INSURANCE</v>
      </c>
      <c r="C29" s="11"/>
      <c r="D29" s="6">
        <v>30468.499999999996</v>
      </c>
      <c r="E29" s="2"/>
      <c r="F29" s="7">
        <f t="shared" si="0"/>
        <v>0</v>
      </c>
      <c r="G29" s="2"/>
      <c r="H29" s="6">
        <v>35277.939999999995</v>
      </c>
      <c r="I29" s="2"/>
      <c r="J29" s="7">
        <f t="shared" si="1"/>
        <v>0</v>
      </c>
      <c r="K29" s="2"/>
      <c r="L29" s="6">
        <f t="shared" si="2"/>
        <v>-4809.4399999999987</v>
      </c>
      <c r="M29" s="2"/>
      <c r="N29" s="7">
        <f t="shared" si="3"/>
        <v>-0.13632995577406162</v>
      </c>
      <c r="O29" s="11"/>
      <c r="P29" s="6">
        <v>88296.639999999999</v>
      </c>
      <c r="Q29" s="2"/>
      <c r="R29" s="7">
        <f t="shared" si="4"/>
        <v>0</v>
      </c>
      <c r="S29" s="2"/>
      <c r="T29" s="6">
        <v>103603.62999999999</v>
      </c>
      <c r="U29" s="2"/>
      <c r="V29" s="7">
        <f t="shared" si="5"/>
        <v>0</v>
      </c>
      <c r="W29" s="2"/>
      <c r="X29" s="6">
        <f t="shared" si="6"/>
        <v>-15306.989999999991</v>
      </c>
      <c r="Y29" s="2"/>
      <c r="Z29" s="7">
        <f t="shared" si="7"/>
        <v>-0.14774569192218451</v>
      </c>
    </row>
    <row r="30" spans="1:26" s="24" customFormat="1" hidden="1" outlineLevel="2" x14ac:dyDescent="0.25">
      <c r="A30" s="28"/>
      <c r="B30" s="11" t="str">
        <f>CONCATENATE("          ", "6156", " - ", "EMPLOYEE MEALS")</f>
        <v xml:space="preserve">          6156 - EMPLOYEE MEALS</v>
      </c>
      <c r="C30" s="11"/>
      <c r="D30" s="6">
        <v>2452.38</v>
      </c>
      <c r="E30" s="2"/>
      <c r="F30" s="7">
        <f t="shared" si="0"/>
        <v>0</v>
      </c>
      <c r="G30" s="2"/>
      <c r="H30" s="6">
        <v>2405.2800000000002</v>
      </c>
      <c r="I30" s="2"/>
      <c r="J30" s="7">
        <f t="shared" si="1"/>
        <v>0</v>
      </c>
      <c r="K30" s="2"/>
      <c r="L30" s="6">
        <f t="shared" si="2"/>
        <v>47.099999999999909</v>
      </c>
      <c r="M30" s="2"/>
      <c r="N30" s="7">
        <f t="shared" si="3"/>
        <v>1.958191977649168E-2</v>
      </c>
      <c r="O30" s="11"/>
      <c r="P30" s="6">
        <v>7191.34</v>
      </c>
      <c r="Q30" s="2"/>
      <c r="R30" s="7">
        <f t="shared" si="4"/>
        <v>0</v>
      </c>
      <c r="S30" s="2"/>
      <c r="T30" s="6">
        <v>7413.31</v>
      </c>
      <c r="U30" s="2"/>
      <c r="V30" s="7">
        <f t="shared" si="5"/>
        <v>0</v>
      </c>
      <c r="W30" s="2"/>
      <c r="X30" s="6">
        <f t="shared" si="6"/>
        <v>-221.97000000000025</v>
      </c>
      <c r="Y30" s="2"/>
      <c r="Z30" s="7">
        <f t="shared" si="7"/>
        <v>-2.9942090645069509E-2</v>
      </c>
    </row>
    <row r="31" spans="1:26" s="29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103127.95000000001</v>
      </c>
      <c r="E31" s="1"/>
      <c r="F31" s="5">
        <f t="shared" ref="F31:F38" si="8">IF(D$12=0,0,D31/D$12)</f>
        <v>0</v>
      </c>
      <c r="G31" s="1"/>
      <c r="H31" s="1">
        <f>SUM(OSRRefH22_1x_0)</f>
        <v>112908.24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-9780.2899999999936</v>
      </c>
      <c r="M31" s="1"/>
      <c r="N31" s="5">
        <f t="shared" ref="N31:N38" si="11">IF(H31=0,0,L31/H31)</f>
        <v>-8.6621578726229304E-2</v>
      </c>
      <c r="O31" s="14"/>
      <c r="P31" s="1">
        <f>SUM(OSRRefP22_1x_0)</f>
        <v>360753.74</v>
      </c>
      <c r="Q31" s="1"/>
      <c r="R31" s="5">
        <f t="shared" ref="R31:R38" si="12">IF(P$12=0,0,P31/P$12)</f>
        <v>0</v>
      </c>
      <c r="S31" s="1"/>
      <c r="T31" s="1">
        <f>SUM(OSRRefT22_1x_0)</f>
        <v>364932.69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-4178.9500000000116</v>
      </c>
      <c r="Y31" s="1"/>
      <c r="Z31" s="5">
        <f t="shared" ref="Z31:Z38" si="15">IF(T31=0,0,X31/T31)</f>
        <v>-1.1451289825529228E-2</v>
      </c>
    </row>
    <row r="32" spans="1:26" s="24" customFormat="1" hidden="1" outlineLevel="2" x14ac:dyDescent="0.25">
      <c r="A32" s="28"/>
      <c r="B32" s="11" t="str">
        <f>CONCATENATE("          ", "6001", " - ", "ADMINISTRATIVE SALARIES")</f>
        <v xml:space="preserve">          6001 - ADMINISTRATIVE SALARIES</v>
      </c>
      <c r="C32" s="11"/>
      <c r="D32" s="6">
        <v>14580.08</v>
      </c>
      <c r="E32" s="2"/>
      <c r="F32" s="7">
        <f t="shared" si="8"/>
        <v>0</v>
      </c>
      <c r="G32" s="2"/>
      <c r="H32" s="6">
        <v>36888.17</v>
      </c>
      <c r="I32" s="2"/>
      <c r="J32" s="7">
        <f t="shared" si="9"/>
        <v>0</v>
      </c>
      <c r="K32" s="2"/>
      <c r="L32" s="6">
        <f t="shared" si="10"/>
        <v>-22308.089999999997</v>
      </c>
      <c r="M32" s="2"/>
      <c r="N32" s="7">
        <f t="shared" si="11"/>
        <v>-0.60474916484065211</v>
      </c>
      <c r="O32" s="11"/>
      <c r="P32" s="6">
        <v>83523.490000000005</v>
      </c>
      <c r="Q32" s="2"/>
      <c r="R32" s="7">
        <f t="shared" si="12"/>
        <v>0</v>
      </c>
      <c r="S32" s="2"/>
      <c r="T32" s="6">
        <v>114284.62000000001</v>
      </c>
      <c r="U32" s="2"/>
      <c r="V32" s="7">
        <f t="shared" si="13"/>
        <v>0</v>
      </c>
      <c r="W32" s="2"/>
      <c r="X32" s="6">
        <f t="shared" si="14"/>
        <v>-30761.130000000005</v>
      </c>
      <c r="Y32" s="2"/>
      <c r="Z32" s="7">
        <f t="shared" si="15"/>
        <v>-0.26916246473059979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>
        <v>45134.74</v>
      </c>
      <c r="E33" s="2"/>
      <c r="F33" s="7">
        <f t="shared" si="8"/>
        <v>0</v>
      </c>
      <c r="G33" s="2"/>
      <c r="H33" s="6">
        <v>38566.94</v>
      </c>
      <c r="I33" s="2"/>
      <c r="J33" s="7">
        <f t="shared" si="9"/>
        <v>0</v>
      </c>
      <c r="K33" s="2"/>
      <c r="L33" s="6">
        <f t="shared" si="10"/>
        <v>6567.7999999999956</v>
      </c>
      <c r="M33" s="2"/>
      <c r="N33" s="7">
        <f t="shared" si="11"/>
        <v>0.17029611371812217</v>
      </c>
      <c r="O33" s="11"/>
      <c r="P33" s="6">
        <v>138380.83000000002</v>
      </c>
      <c r="Q33" s="2"/>
      <c r="R33" s="7">
        <f t="shared" si="12"/>
        <v>0</v>
      </c>
      <c r="S33" s="2"/>
      <c r="T33" s="6">
        <v>132303.79</v>
      </c>
      <c r="U33" s="2"/>
      <c r="V33" s="7">
        <f t="shared" si="13"/>
        <v>0</v>
      </c>
      <c r="W33" s="2"/>
      <c r="X33" s="6">
        <f t="shared" si="14"/>
        <v>6077.0400000000081</v>
      </c>
      <c r="Y33" s="2"/>
      <c r="Z33" s="7">
        <f t="shared" si="15"/>
        <v>4.5932471019915662E-2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6">
        <v>20525.670000000002</v>
      </c>
      <c r="E34" s="2"/>
      <c r="F34" s="7">
        <f t="shared" si="8"/>
        <v>0</v>
      </c>
      <c r="G34" s="2"/>
      <c r="H34" s="6">
        <v>17404.75</v>
      </c>
      <c r="I34" s="2"/>
      <c r="J34" s="7">
        <f t="shared" si="9"/>
        <v>0</v>
      </c>
      <c r="K34" s="2"/>
      <c r="L34" s="6">
        <f t="shared" si="10"/>
        <v>3120.9200000000019</v>
      </c>
      <c r="M34" s="2"/>
      <c r="N34" s="7">
        <f t="shared" si="11"/>
        <v>0.17931426765681793</v>
      </c>
      <c r="O34" s="11"/>
      <c r="P34" s="6">
        <v>61551.810000000005</v>
      </c>
      <c r="Q34" s="2"/>
      <c r="R34" s="7">
        <f t="shared" si="12"/>
        <v>0</v>
      </c>
      <c r="S34" s="2"/>
      <c r="T34" s="6">
        <v>49298.76</v>
      </c>
      <c r="U34" s="2"/>
      <c r="V34" s="7">
        <f t="shared" si="13"/>
        <v>0</v>
      </c>
      <c r="W34" s="2"/>
      <c r="X34" s="6">
        <f t="shared" si="14"/>
        <v>12253.050000000003</v>
      </c>
      <c r="Y34" s="2"/>
      <c r="Z34" s="7">
        <f t="shared" si="15"/>
        <v>0.2485468194331866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6">
        <v>9262.5</v>
      </c>
      <c r="E35" s="2"/>
      <c r="F35" s="7">
        <f t="shared" si="8"/>
        <v>0</v>
      </c>
      <c r="G35" s="2"/>
      <c r="H35" s="6">
        <v>7562.68</v>
      </c>
      <c r="I35" s="2"/>
      <c r="J35" s="7">
        <f t="shared" si="9"/>
        <v>0</v>
      </c>
      <c r="K35" s="2"/>
      <c r="L35" s="6">
        <f t="shared" si="10"/>
        <v>1699.8199999999997</v>
      </c>
      <c r="M35" s="2"/>
      <c r="N35" s="7">
        <f t="shared" si="11"/>
        <v>0.22476423701650733</v>
      </c>
      <c r="O35" s="11"/>
      <c r="P35" s="6">
        <v>27799.18</v>
      </c>
      <c r="Q35" s="2"/>
      <c r="R35" s="7">
        <f t="shared" si="12"/>
        <v>0</v>
      </c>
      <c r="S35" s="2"/>
      <c r="T35" s="6">
        <v>21775.919999999998</v>
      </c>
      <c r="U35" s="2"/>
      <c r="V35" s="7">
        <f t="shared" si="13"/>
        <v>0</v>
      </c>
      <c r="W35" s="2"/>
      <c r="X35" s="6">
        <f t="shared" si="14"/>
        <v>6023.260000000002</v>
      </c>
      <c r="Y35" s="2"/>
      <c r="Z35" s="7">
        <f t="shared" si="15"/>
        <v>0.27660186113835844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6">
        <v>498.75</v>
      </c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498.75</v>
      </c>
      <c r="M36" s="2"/>
      <c r="N36" s="7">
        <f t="shared" si="11"/>
        <v>0</v>
      </c>
      <c r="O36" s="11"/>
      <c r="P36" s="6">
        <v>2361.4299999999998</v>
      </c>
      <c r="Q36" s="2"/>
      <c r="R36" s="7">
        <f t="shared" si="12"/>
        <v>0</v>
      </c>
      <c r="S36" s="2"/>
      <c r="T36" s="6">
        <v>247.86</v>
      </c>
      <c r="U36" s="2"/>
      <c r="V36" s="7">
        <f t="shared" si="13"/>
        <v>0</v>
      </c>
      <c r="W36" s="2"/>
      <c r="X36" s="6">
        <f t="shared" si="14"/>
        <v>2113.5699999999997</v>
      </c>
      <c r="Y36" s="2"/>
      <c r="Z36" s="7">
        <f t="shared" si="15"/>
        <v>8.5272734608246576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6">
        <v>11631.83</v>
      </c>
      <c r="E37" s="2"/>
      <c r="F37" s="7">
        <f t="shared" si="8"/>
        <v>0</v>
      </c>
      <c r="G37" s="2"/>
      <c r="H37" s="6">
        <v>12485.7</v>
      </c>
      <c r="I37" s="2"/>
      <c r="J37" s="7">
        <f t="shared" si="9"/>
        <v>0</v>
      </c>
      <c r="K37" s="2"/>
      <c r="L37" s="6">
        <f t="shared" si="10"/>
        <v>-853.8700000000008</v>
      </c>
      <c r="M37" s="2"/>
      <c r="N37" s="7">
        <f t="shared" si="11"/>
        <v>-6.8387835684022583E-2</v>
      </c>
      <c r="O37" s="11"/>
      <c r="P37" s="6">
        <v>42159.43</v>
      </c>
      <c r="Q37" s="2"/>
      <c r="R37" s="7">
        <f t="shared" si="12"/>
        <v>0</v>
      </c>
      <c r="S37" s="2"/>
      <c r="T37" s="6">
        <v>47021.740000000005</v>
      </c>
      <c r="U37" s="2"/>
      <c r="V37" s="7">
        <f t="shared" si="13"/>
        <v>0</v>
      </c>
      <c r="W37" s="2"/>
      <c r="X37" s="6">
        <f t="shared" si="14"/>
        <v>-4862.3100000000049</v>
      </c>
      <c r="Y37" s="2"/>
      <c r="Z37" s="7">
        <f t="shared" si="15"/>
        <v>-0.10340557367719706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6">
        <v>1494.38</v>
      </c>
      <c r="E38" s="2"/>
      <c r="F38" s="7">
        <f t="shared" si="8"/>
        <v>0</v>
      </c>
      <c r="G38" s="2"/>
      <c r="H38" s="6"/>
      <c r="I38" s="2"/>
      <c r="J38" s="7">
        <f t="shared" si="9"/>
        <v>0</v>
      </c>
      <c r="K38" s="2"/>
      <c r="L38" s="6">
        <f t="shared" si="10"/>
        <v>1494.38</v>
      </c>
      <c r="M38" s="2"/>
      <c r="N38" s="7">
        <f t="shared" si="11"/>
        <v>0</v>
      </c>
      <c r="O38" s="11"/>
      <c r="P38" s="6">
        <v>4977.57</v>
      </c>
      <c r="Q38" s="2"/>
      <c r="R38" s="7">
        <f t="shared" si="12"/>
        <v>0</v>
      </c>
      <c r="S38" s="2"/>
      <c r="T38" s="6"/>
      <c r="U38" s="2"/>
      <c r="V38" s="7">
        <f t="shared" si="13"/>
        <v>0</v>
      </c>
      <c r="W38" s="2"/>
      <c r="X38" s="6">
        <f t="shared" si="14"/>
        <v>4977.57</v>
      </c>
      <c r="Y38" s="2"/>
      <c r="Z38" s="7">
        <f t="shared" si="15"/>
        <v>0</v>
      </c>
    </row>
    <row r="39" spans="1:26" s="29" customFormat="1" outlineLevel="1" collapsed="1" x14ac:dyDescent="0.25">
      <c r="A39" s="27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-445.73</v>
      </c>
      <c r="E39" s="1"/>
      <c r="F39" s="5">
        <f t="shared" ref="F39:F47" si="16">IF(D$12=0,0,D39/D$12)</f>
        <v>0</v>
      </c>
      <c r="G39" s="1"/>
      <c r="H39" s="1">
        <f>SUM(OSRRefH22_2x_0)</f>
        <v>-1300.3900000000001</v>
      </c>
      <c r="I39" s="1"/>
      <c r="J39" s="5">
        <f t="shared" ref="J39:J47" si="17">IF(H$12=0,0,H39/H$12)</f>
        <v>0</v>
      </c>
      <c r="K39" s="1"/>
      <c r="L39" s="1">
        <f t="shared" ref="L39:L47" si="18">+D39-H39</f>
        <v>854.66000000000008</v>
      </c>
      <c r="M39" s="1"/>
      <c r="N39" s="5">
        <f t="shared" ref="N39:N47" si="19">IF(H39=0,0,L39/H39)</f>
        <v>-0.65723359915102397</v>
      </c>
      <c r="O39" s="14"/>
      <c r="P39" s="1">
        <f>SUM(OSRRefP22_2x_0)</f>
        <v>-2404.3200000000002</v>
      </c>
      <c r="Q39" s="1"/>
      <c r="R39" s="5">
        <f t="shared" ref="R39:R47" si="20">IF(P$12=0,0,P39/P$12)</f>
        <v>0</v>
      </c>
      <c r="S39" s="1"/>
      <c r="T39" s="1">
        <f>SUM(OSRRefT22_2x_0)</f>
        <v>-3118.5</v>
      </c>
      <c r="U39" s="1"/>
      <c r="V39" s="5">
        <f t="shared" ref="V39:V47" si="21">IF(T$12=0,0,T39/T$12)</f>
        <v>0</v>
      </c>
      <c r="W39" s="1"/>
      <c r="X39" s="1">
        <f t="shared" ref="X39:X47" si="22">+P39-T39</f>
        <v>714.17999999999984</v>
      </c>
      <c r="Y39" s="1"/>
      <c r="Z39" s="5">
        <f t="shared" ref="Z39:Z47" si="23">IF(T39=0,0,X39/T39)</f>
        <v>-0.22901394901394898</v>
      </c>
    </row>
    <row r="40" spans="1:26" s="24" customFormat="1" hidden="1" outlineLevel="2" x14ac:dyDescent="0.25">
      <c r="A40" s="28"/>
      <c r="B40" s="11" t="str">
        <f>CONCATENATE("          ", "6362", " - ", "ADVERTISING EXPENSE")</f>
        <v xml:space="preserve">          6362 - ADVERTISING EXPENSE</v>
      </c>
      <c r="C40" s="11"/>
      <c r="D40" s="6">
        <v>-445.73</v>
      </c>
      <c r="E40" s="2"/>
      <c r="F40" s="7">
        <f t="shared" si="16"/>
        <v>0</v>
      </c>
      <c r="G40" s="2"/>
      <c r="H40" s="6">
        <v>-1300.3900000000001</v>
      </c>
      <c r="I40" s="2"/>
      <c r="J40" s="7">
        <f t="shared" si="17"/>
        <v>0</v>
      </c>
      <c r="K40" s="2"/>
      <c r="L40" s="6">
        <f t="shared" si="18"/>
        <v>854.66000000000008</v>
      </c>
      <c r="M40" s="2"/>
      <c r="N40" s="7">
        <f t="shared" si="19"/>
        <v>-0.65723359915102397</v>
      </c>
      <c r="O40" s="11"/>
      <c r="P40" s="6">
        <v>-2404.3200000000002</v>
      </c>
      <c r="Q40" s="2"/>
      <c r="R40" s="7">
        <f t="shared" si="20"/>
        <v>0</v>
      </c>
      <c r="S40" s="2"/>
      <c r="T40" s="6">
        <v>-3118.5</v>
      </c>
      <c r="U40" s="2"/>
      <c r="V40" s="7">
        <f t="shared" si="21"/>
        <v>0</v>
      </c>
      <c r="W40" s="2"/>
      <c r="X40" s="6">
        <f t="shared" si="22"/>
        <v>714.17999999999984</v>
      </c>
      <c r="Y40" s="2"/>
      <c r="Z40" s="7">
        <f t="shared" si="23"/>
        <v>-0.22901394901394898</v>
      </c>
    </row>
    <row r="41" spans="1:26" s="29" customFormat="1" outlineLevel="1" collapsed="1" x14ac:dyDescent="0.25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SUM(OSRRefD22_3x_0)</f>
        <v>3165.08</v>
      </c>
      <c r="E41" s="1"/>
      <c r="F41" s="5">
        <f t="shared" si="16"/>
        <v>0</v>
      </c>
      <c r="G41" s="1"/>
      <c r="H41" s="1">
        <f>SUM(OSRRefH22_3x_0)</f>
        <v>-13.93</v>
      </c>
      <c r="I41" s="1"/>
      <c r="J41" s="5">
        <f t="shared" si="17"/>
        <v>0</v>
      </c>
      <c r="K41" s="1"/>
      <c r="L41" s="1">
        <f t="shared" si="18"/>
        <v>3179.0099999999998</v>
      </c>
      <c r="M41" s="1"/>
      <c r="N41" s="5">
        <f t="shared" si="19"/>
        <v>-228.21320890165111</v>
      </c>
      <c r="O41" s="14"/>
      <c r="P41" s="1">
        <f>SUM(OSRRefP22_3x_0)</f>
        <v>6603.12</v>
      </c>
      <c r="Q41" s="1"/>
      <c r="R41" s="5">
        <f t="shared" si="20"/>
        <v>0</v>
      </c>
      <c r="S41" s="1"/>
      <c r="T41" s="1">
        <f>SUM(OSRRefT22_3x_0)</f>
        <v>3010.49</v>
      </c>
      <c r="U41" s="1"/>
      <c r="V41" s="5">
        <f t="shared" si="21"/>
        <v>0</v>
      </c>
      <c r="W41" s="1"/>
      <c r="X41" s="1">
        <f t="shared" si="22"/>
        <v>3592.63</v>
      </c>
      <c r="Y41" s="1"/>
      <c r="Z41" s="5">
        <f t="shared" si="23"/>
        <v>1.1933705144345275</v>
      </c>
    </row>
    <row r="42" spans="1:26" s="24" customFormat="1" hidden="1" outlineLevel="2" x14ac:dyDescent="0.25">
      <c r="A42" s="28"/>
      <c r="B42" s="11" t="str">
        <f>CONCATENATE("          ", "6381", " - ", "BANK/CREDIT CARD FEES")</f>
        <v xml:space="preserve">          6381 - BANK/CREDIT CARD FEES</v>
      </c>
      <c r="C42" s="11"/>
      <c r="D42" s="6">
        <v>3165.08</v>
      </c>
      <c r="E42" s="2"/>
      <c r="F42" s="7">
        <f t="shared" si="16"/>
        <v>0</v>
      </c>
      <c r="G42" s="2"/>
      <c r="H42" s="6">
        <v>-13.93</v>
      </c>
      <c r="I42" s="2"/>
      <c r="J42" s="7">
        <f t="shared" si="17"/>
        <v>0</v>
      </c>
      <c r="K42" s="2"/>
      <c r="L42" s="6">
        <f t="shared" si="18"/>
        <v>3179.0099999999998</v>
      </c>
      <c r="M42" s="2"/>
      <c r="N42" s="7">
        <f t="shared" si="19"/>
        <v>-228.21320890165111</v>
      </c>
      <c r="O42" s="11"/>
      <c r="P42" s="6">
        <v>6603.12</v>
      </c>
      <c r="Q42" s="2"/>
      <c r="R42" s="7">
        <f t="shared" si="20"/>
        <v>0</v>
      </c>
      <c r="S42" s="2"/>
      <c r="T42" s="6">
        <v>3010.49</v>
      </c>
      <c r="U42" s="2"/>
      <c r="V42" s="7">
        <f t="shared" si="21"/>
        <v>0</v>
      </c>
      <c r="W42" s="2"/>
      <c r="X42" s="6">
        <f t="shared" si="22"/>
        <v>3592.63</v>
      </c>
      <c r="Y42" s="2"/>
      <c r="Z42" s="7">
        <f t="shared" si="23"/>
        <v>1.1933705144345275</v>
      </c>
    </row>
    <row r="43" spans="1:26" s="29" customFormat="1" outlineLevel="1" collapsed="1" x14ac:dyDescent="0.25">
      <c r="A43" s="27"/>
      <c r="B43" s="14" t="str">
        <f>CONCATENATE("     ","Board                                             ")</f>
        <v xml:space="preserve">     Board                                             </v>
      </c>
      <c r="C43" s="14"/>
      <c r="D43" s="1">
        <f>SUM(OSRRefD22_4x_0)</f>
        <v>3527.11</v>
      </c>
      <c r="E43" s="1"/>
      <c r="F43" s="5">
        <f t="shared" si="16"/>
        <v>0</v>
      </c>
      <c r="G43" s="1"/>
      <c r="H43" s="1">
        <f>SUM(OSRRefH22_4x_0)</f>
        <v>3351.2</v>
      </c>
      <c r="I43" s="1"/>
      <c r="J43" s="5">
        <f t="shared" si="17"/>
        <v>0</v>
      </c>
      <c r="K43" s="1"/>
      <c r="L43" s="1">
        <f t="shared" si="18"/>
        <v>175.91000000000031</v>
      </c>
      <c r="M43" s="1"/>
      <c r="N43" s="5">
        <f t="shared" si="19"/>
        <v>5.2491644783958083E-2</v>
      </c>
      <c r="O43" s="14"/>
      <c r="P43" s="1">
        <f>SUM(OSRRefP22_4x_0)</f>
        <v>8441.7900000000009</v>
      </c>
      <c r="Q43" s="1"/>
      <c r="R43" s="5">
        <f t="shared" si="20"/>
        <v>0</v>
      </c>
      <c r="S43" s="1"/>
      <c r="T43" s="1">
        <f>SUM(OSRRefT22_4x_0)</f>
        <v>8167.07</v>
      </c>
      <c r="U43" s="1"/>
      <c r="V43" s="5">
        <f t="shared" si="21"/>
        <v>0</v>
      </c>
      <c r="W43" s="1"/>
      <c r="X43" s="1">
        <f t="shared" si="22"/>
        <v>274.72000000000116</v>
      </c>
      <c r="Y43" s="1"/>
      <c r="Z43" s="5">
        <f t="shared" si="23"/>
        <v>3.3637522391751405E-2</v>
      </c>
    </row>
    <row r="44" spans="1:26" s="24" customFormat="1" hidden="1" outlineLevel="2" x14ac:dyDescent="0.25">
      <c r="A44" s="28"/>
      <c r="B44" s="11" t="str">
        <f>CONCATENATE("          ", "6397", " - ", "BOARD EXPENSES")</f>
        <v xml:space="preserve">          6397 - BOARD EXPENSES</v>
      </c>
      <c r="C44" s="11"/>
      <c r="D44" s="6">
        <v>3527.11</v>
      </c>
      <c r="E44" s="2"/>
      <c r="F44" s="7">
        <f t="shared" si="16"/>
        <v>0</v>
      </c>
      <c r="G44" s="2"/>
      <c r="H44" s="6">
        <v>3351.2</v>
      </c>
      <c r="I44" s="2"/>
      <c r="J44" s="7">
        <f t="shared" si="17"/>
        <v>0</v>
      </c>
      <c r="K44" s="2"/>
      <c r="L44" s="6">
        <f t="shared" si="18"/>
        <v>175.91000000000031</v>
      </c>
      <c r="M44" s="2"/>
      <c r="N44" s="7">
        <f t="shared" si="19"/>
        <v>5.2491644783958083E-2</v>
      </c>
      <c r="O44" s="11"/>
      <c r="P44" s="6">
        <v>8441.7900000000009</v>
      </c>
      <c r="Q44" s="2"/>
      <c r="R44" s="7">
        <f t="shared" si="20"/>
        <v>0</v>
      </c>
      <c r="S44" s="2"/>
      <c r="T44" s="6">
        <v>8167.07</v>
      </c>
      <c r="U44" s="2"/>
      <c r="V44" s="7">
        <f t="shared" si="21"/>
        <v>0</v>
      </c>
      <c r="W44" s="2"/>
      <c r="X44" s="6">
        <f t="shared" si="22"/>
        <v>274.72000000000116</v>
      </c>
      <c r="Y44" s="2"/>
      <c r="Z44" s="7">
        <f t="shared" si="23"/>
        <v>3.3637522391751405E-2</v>
      </c>
    </row>
    <row r="45" spans="1:26" s="29" customFormat="1" outlineLevel="1" collapsed="1" x14ac:dyDescent="0.2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8599.93</v>
      </c>
      <c r="E45" s="1"/>
      <c r="F45" s="5">
        <f t="shared" si="16"/>
        <v>0</v>
      </c>
      <c r="G45" s="1"/>
      <c r="H45" s="1">
        <f>SUM(OSRRefH22_5x_0)</f>
        <v>10293.85</v>
      </c>
      <c r="I45" s="1"/>
      <c r="J45" s="5">
        <f t="shared" si="17"/>
        <v>0</v>
      </c>
      <c r="K45" s="1"/>
      <c r="L45" s="1">
        <f t="shared" si="18"/>
        <v>-1693.92</v>
      </c>
      <c r="M45" s="1"/>
      <c r="N45" s="5">
        <f t="shared" si="19"/>
        <v>-0.16455650704061162</v>
      </c>
      <c r="O45" s="14"/>
      <c r="P45" s="1">
        <f>SUM(OSRRefP22_5x_0)</f>
        <v>25799.79</v>
      </c>
      <c r="Q45" s="1"/>
      <c r="R45" s="5">
        <f t="shared" si="20"/>
        <v>0</v>
      </c>
      <c r="S45" s="1"/>
      <c r="T45" s="1">
        <f>SUM(OSRRefT22_5x_0)</f>
        <v>30881.55</v>
      </c>
      <c r="U45" s="1"/>
      <c r="V45" s="5">
        <f t="shared" si="21"/>
        <v>0</v>
      </c>
      <c r="W45" s="1"/>
      <c r="X45" s="1">
        <f t="shared" si="22"/>
        <v>-5081.7599999999984</v>
      </c>
      <c r="Y45" s="1"/>
      <c r="Z45" s="5">
        <f t="shared" si="23"/>
        <v>-0.16455650704061159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8599.93</v>
      </c>
      <c r="E46" s="2"/>
      <c r="F46" s="7">
        <f t="shared" si="16"/>
        <v>0</v>
      </c>
      <c r="G46" s="2"/>
      <c r="H46" s="6">
        <v>9971.81</v>
      </c>
      <c r="I46" s="2"/>
      <c r="J46" s="7">
        <f t="shared" si="17"/>
        <v>0</v>
      </c>
      <c r="K46" s="2"/>
      <c r="L46" s="6">
        <f t="shared" si="18"/>
        <v>-1371.8799999999992</v>
      </c>
      <c r="M46" s="2"/>
      <c r="N46" s="7">
        <f t="shared" si="19"/>
        <v>-0.13757582625421055</v>
      </c>
      <c r="O46" s="11"/>
      <c r="P46" s="6">
        <v>25799.79</v>
      </c>
      <c r="Q46" s="2"/>
      <c r="R46" s="7">
        <f t="shared" si="20"/>
        <v>0</v>
      </c>
      <c r="S46" s="2"/>
      <c r="T46" s="6">
        <v>29915.43</v>
      </c>
      <c r="U46" s="2"/>
      <c r="V46" s="7">
        <f t="shared" si="21"/>
        <v>0</v>
      </c>
      <c r="W46" s="2"/>
      <c r="X46" s="6">
        <f t="shared" si="22"/>
        <v>-4115.6399999999994</v>
      </c>
      <c r="Y46" s="2"/>
      <c r="Z46" s="7">
        <f t="shared" si="23"/>
        <v>-0.13757582625421061</v>
      </c>
    </row>
    <row r="47" spans="1:26" s="24" customFormat="1" hidden="1" outlineLevel="2" x14ac:dyDescent="0.25">
      <c r="A47" s="28"/>
      <c r="B47" s="11" t="str">
        <f>CONCATENATE("          ", "6324", " - ", "FURNITURE + FIXT DEPRECIATION")</f>
        <v xml:space="preserve">          6324 - FURNITURE + FIXT DEPRECIATION</v>
      </c>
      <c r="C47" s="11"/>
      <c r="D47" s="6"/>
      <c r="E47" s="2"/>
      <c r="F47" s="7">
        <f t="shared" si="16"/>
        <v>0</v>
      </c>
      <c r="G47" s="2"/>
      <c r="H47" s="6">
        <v>322.04000000000002</v>
      </c>
      <c r="I47" s="2"/>
      <c r="J47" s="7">
        <f t="shared" si="17"/>
        <v>0</v>
      </c>
      <c r="K47" s="2"/>
      <c r="L47" s="6">
        <f t="shared" si="18"/>
        <v>-322.04000000000002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966.12</v>
      </c>
      <c r="U47" s="2"/>
      <c r="V47" s="7">
        <f t="shared" si="21"/>
        <v>0</v>
      </c>
      <c r="W47" s="2"/>
      <c r="X47" s="6">
        <f t="shared" si="22"/>
        <v>-966.12</v>
      </c>
      <c r="Y47" s="2"/>
      <c r="Z47" s="7">
        <f t="shared" si="23"/>
        <v>-1</v>
      </c>
    </row>
    <row r="48" spans="1:26" s="29" customFormat="1" outlineLevel="1" collapsed="1" x14ac:dyDescent="0.25">
      <c r="A48" s="27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27575</v>
      </c>
      <c r="E48" s="1"/>
      <c r="F48" s="5">
        <f t="shared" ref="F48:F64" si="24">IF(D$12=0,0,D48/D$12)</f>
        <v>0</v>
      </c>
      <c r="G48" s="1"/>
      <c r="H48" s="1">
        <f>SUM(OSRRefH22_6x_0)</f>
        <v>10039.69</v>
      </c>
      <c r="I48" s="1"/>
      <c r="J48" s="5">
        <f t="shared" ref="J48:J64" si="25">IF(H$12=0,0,H48/H$12)</f>
        <v>0</v>
      </c>
      <c r="K48" s="1"/>
      <c r="L48" s="1">
        <f t="shared" ref="L48:L64" si="26">+D48-H48</f>
        <v>17535.309999999998</v>
      </c>
      <c r="M48" s="1"/>
      <c r="N48" s="5">
        <f t="shared" ref="N48:N64" si="27">IF(H48=0,0,L48/H48)</f>
        <v>1.7465987495629842</v>
      </c>
      <c r="O48" s="14"/>
      <c r="P48" s="1">
        <f>SUM(OSRRefP22_6x_0)</f>
        <v>139243.59999999998</v>
      </c>
      <c r="Q48" s="1"/>
      <c r="R48" s="5">
        <f t="shared" ref="R48:R64" si="28">IF(P$12=0,0,P48/P$12)</f>
        <v>0</v>
      </c>
      <c r="S48" s="1"/>
      <c r="T48" s="1">
        <f>SUM(OSRRefT22_6x_0)</f>
        <v>36039.689999999995</v>
      </c>
      <c r="U48" s="1"/>
      <c r="V48" s="5">
        <f t="shared" ref="V48:V64" si="29">IF(T$12=0,0,T48/T$12)</f>
        <v>0</v>
      </c>
      <c r="W48" s="1"/>
      <c r="X48" s="1">
        <f t="shared" ref="X48:X64" si="30">+P48-T48</f>
        <v>103203.90999999997</v>
      </c>
      <c r="Y48" s="1"/>
      <c r="Z48" s="5">
        <f t="shared" ref="Z48:Z64" si="31">IF(T48=0,0,X48/T48)</f>
        <v>2.8636181387797728</v>
      </c>
    </row>
    <row r="49" spans="1:26" s="24" customFormat="1" hidden="1" outlineLevel="2" x14ac:dyDescent="0.25">
      <c r="A49" s="28"/>
      <c r="B49" s="11" t="str">
        <f>CONCATENATE("          ", "6399", " - ", "DONATION-ON CAMPUS")</f>
        <v xml:space="preserve">          6399 - DONATION-ON CAMPUS</v>
      </c>
      <c r="C49" s="11"/>
      <c r="D49" s="6">
        <v>27575</v>
      </c>
      <c r="E49" s="2"/>
      <c r="F49" s="7">
        <f t="shared" si="24"/>
        <v>0</v>
      </c>
      <c r="G49" s="2"/>
      <c r="H49" s="6">
        <v>10039.69</v>
      </c>
      <c r="I49" s="2"/>
      <c r="J49" s="7">
        <f t="shared" si="25"/>
        <v>0</v>
      </c>
      <c r="K49" s="2"/>
      <c r="L49" s="6">
        <f t="shared" si="26"/>
        <v>17535.309999999998</v>
      </c>
      <c r="M49" s="2"/>
      <c r="N49" s="7">
        <f t="shared" si="27"/>
        <v>1.7465987495629842</v>
      </c>
      <c r="O49" s="11"/>
      <c r="P49" s="6">
        <v>139243.59999999998</v>
      </c>
      <c r="Q49" s="2"/>
      <c r="R49" s="7">
        <f t="shared" si="28"/>
        <v>0</v>
      </c>
      <c r="S49" s="2"/>
      <c r="T49" s="6">
        <v>36039.689999999995</v>
      </c>
      <c r="U49" s="2"/>
      <c r="V49" s="7">
        <f t="shared" si="29"/>
        <v>0</v>
      </c>
      <c r="W49" s="2"/>
      <c r="X49" s="6">
        <f t="shared" si="30"/>
        <v>103203.90999999997</v>
      </c>
      <c r="Y49" s="2"/>
      <c r="Z49" s="7">
        <f t="shared" si="31"/>
        <v>2.8636181387797728</v>
      </c>
    </row>
    <row r="50" spans="1:26" s="29" customFormat="1" outlineLevel="1" collapsed="1" x14ac:dyDescent="0.25">
      <c r="A50" s="27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SUM(OSRRefD22_7x_0)</f>
        <v>438</v>
      </c>
      <c r="E50" s="1"/>
      <c r="F50" s="5">
        <f t="shared" si="24"/>
        <v>0</v>
      </c>
      <c r="G50" s="1"/>
      <c r="H50" s="1">
        <f>SUM(OSRRefH22_7x_0)</f>
        <v>-529.14</v>
      </c>
      <c r="I50" s="1"/>
      <c r="J50" s="5">
        <f t="shared" si="25"/>
        <v>0</v>
      </c>
      <c r="K50" s="1"/>
      <c r="L50" s="1">
        <f t="shared" si="26"/>
        <v>967.14</v>
      </c>
      <c r="M50" s="1"/>
      <c r="N50" s="5">
        <f t="shared" si="27"/>
        <v>-1.8277582492346072</v>
      </c>
      <c r="O50" s="14"/>
      <c r="P50" s="1">
        <f>SUM(OSRRefP22_7x_0)</f>
        <v>11565.12</v>
      </c>
      <c r="Q50" s="1"/>
      <c r="R50" s="5">
        <f t="shared" si="28"/>
        <v>0</v>
      </c>
      <c r="S50" s="1"/>
      <c r="T50" s="1">
        <f>SUM(OSRRefT22_7x_0)</f>
        <v>8141.26</v>
      </c>
      <c r="U50" s="1"/>
      <c r="V50" s="5">
        <f t="shared" si="29"/>
        <v>0</v>
      </c>
      <c r="W50" s="1"/>
      <c r="X50" s="1">
        <f t="shared" si="30"/>
        <v>3423.8600000000006</v>
      </c>
      <c r="Y50" s="1"/>
      <c r="Z50" s="5">
        <f t="shared" si="31"/>
        <v>0.42055652319174186</v>
      </c>
    </row>
    <row r="51" spans="1:26" s="24" customFormat="1" hidden="1" outlineLevel="2" x14ac:dyDescent="0.25">
      <c r="A51" s="28"/>
      <c r="B51" s="11" t="str">
        <f>CONCATENATE("          ", "6277", " - ", "EMPLOYEE APPRECIATION")</f>
        <v xml:space="preserve">          6277 - EMPLOYEE APPRECIATION</v>
      </c>
      <c r="C51" s="11"/>
      <c r="D51" s="6">
        <v>438</v>
      </c>
      <c r="E51" s="2"/>
      <c r="F51" s="7">
        <f t="shared" si="24"/>
        <v>0</v>
      </c>
      <c r="G51" s="2"/>
      <c r="H51" s="6">
        <v>-529.14</v>
      </c>
      <c r="I51" s="2"/>
      <c r="J51" s="7">
        <f t="shared" si="25"/>
        <v>0</v>
      </c>
      <c r="K51" s="2"/>
      <c r="L51" s="6">
        <f t="shared" si="26"/>
        <v>967.14</v>
      </c>
      <c r="M51" s="2"/>
      <c r="N51" s="7">
        <f t="shared" si="27"/>
        <v>-1.8277582492346072</v>
      </c>
      <c r="O51" s="11"/>
      <c r="P51" s="6">
        <v>11565.12</v>
      </c>
      <c r="Q51" s="2"/>
      <c r="R51" s="7">
        <f t="shared" si="28"/>
        <v>0</v>
      </c>
      <c r="S51" s="2"/>
      <c r="T51" s="6">
        <v>8141.26</v>
      </c>
      <c r="U51" s="2"/>
      <c r="V51" s="7">
        <f t="shared" si="29"/>
        <v>0</v>
      </c>
      <c r="W51" s="2"/>
      <c r="X51" s="6">
        <f t="shared" si="30"/>
        <v>3423.8600000000006</v>
      </c>
      <c r="Y51" s="2"/>
      <c r="Z51" s="7">
        <f t="shared" si="31"/>
        <v>0.42055652319174186</v>
      </c>
    </row>
    <row r="52" spans="1:26" s="29" customFormat="1" outlineLevel="1" collapsed="1" x14ac:dyDescent="0.25">
      <c r="A52" s="27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SUM(OSRRefD22_8x_0)</f>
        <v>300.24</v>
      </c>
      <c r="E52" s="1"/>
      <c r="F52" s="5">
        <f t="shared" si="24"/>
        <v>0</v>
      </c>
      <c r="G52" s="1"/>
      <c r="H52" s="1">
        <f>SUM(OSRRefH22_8x_0)</f>
        <v>300.24</v>
      </c>
      <c r="I52" s="1"/>
      <c r="J52" s="5">
        <f t="shared" si="25"/>
        <v>0</v>
      </c>
      <c r="K52" s="1"/>
      <c r="L52" s="1">
        <f t="shared" si="26"/>
        <v>0</v>
      </c>
      <c r="M52" s="1"/>
      <c r="N52" s="5">
        <f t="shared" si="27"/>
        <v>0</v>
      </c>
      <c r="O52" s="14"/>
      <c r="P52" s="1">
        <f>SUM(OSRRefP22_8x_0)</f>
        <v>900.72</v>
      </c>
      <c r="Q52" s="1"/>
      <c r="R52" s="5">
        <f t="shared" si="28"/>
        <v>0</v>
      </c>
      <c r="S52" s="1"/>
      <c r="T52" s="1">
        <f>SUM(OSRRefT22_8x_0)</f>
        <v>900.72</v>
      </c>
      <c r="U52" s="1"/>
      <c r="V52" s="5">
        <f t="shared" si="29"/>
        <v>0</v>
      </c>
      <c r="W52" s="1"/>
      <c r="X52" s="1">
        <f t="shared" si="30"/>
        <v>0</v>
      </c>
      <c r="Y52" s="1"/>
      <c r="Z52" s="5">
        <f t="shared" si="31"/>
        <v>0</v>
      </c>
    </row>
    <row r="53" spans="1:26" s="24" customFormat="1" hidden="1" outlineLevel="2" x14ac:dyDescent="0.25">
      <c r="A53" s="28"/>
      <c r="B53" s="11" t="str">
        <f>CONCATENATE("          ", "6351", " - ", "EQUIPMENT RENTAL")</f>
        <v xml:space="preserve">          6351 - EQUIPMENT RENTAL</v>
      </c>
      <c r="C53" s="11"/>
      <c r="D53" s="6">
        <v>300.24</v>
      </c>
      <c r="E53" s="2"/>
      <c r="F53" s="7">
        <f t="shared" si="24"/>
        <v>0</v>
      </c>
      <c r="G53" s="2"/>
      <c r="H53" s="6">
        <v>300.24</v>
      </c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1"/>
      <c r="P53" s="6">
        <v>900.72</v>
      </c>
      <c r="Q53" s="2"/>
      <c r="R53" s="7">
        <f t="shared" si="28"/>
        <v>0</v>
      </c>
      <c r="S53" s="2"/>
      <c r="T53" s="6">
        <v>900.72</v>
      </c>
      <c r="U53" s="2"/>
      <c r="V53" s="7">
        <f t="shared" si="29"/>
        <v>0</v>
      </c>
      <c r="W53" s="2"/>
      <c r="X53" s="6">
        <f t="shared" si="30"/>
        <v>0</v>
      </c>
      <c r="Y53" s="2"/>
      <c r="Z53" s="7">
        <f t="shared" si="31"/>
        <v>0</v>
      </c>
    </row>
    <row r="54" spans="1:26" s="29" customFormat="1" outlineLevel="1" collapsed="1" x14ac:dyDescent="0.25">
      <c r="A54" s="27"/>
      <c r="B54" s="14" t="str">
        <f>CONCATENATE("     ","Freight out/Postage                               ")</f>
        <v xml:space="preserve">     Freight out/Postage                               </v>
      </c>
      <c r="C54" s="14"/>
      <c r="D54" s="1">
        <f>SUM(OSRRefD22_9x_0)</f>
        <v>263.60000000000002</v>
      </c>
      <c r="E54" s="1"/>
      <c r="F54" s="5">
        <f t="shared" si="24"/>
        <v>0</v>
      </c>
      <c r="G54" s="1"/>
      <c r="H54" s="1">
        <f>SUM(OSRRefH22_9x_0)</f>
        <v>272.67</v>
      </c>
      <c r="I54" s="1"/>
      <c r="J54" s="5">
        <f t="shared" si="25"/>
        <v>0</v>
      </c>
      <c r="K54" s="1"/>
      <c r="L54" s="1">
        <f t="shared" si="26"/>
        <v>-9.0699999999999932</v>
      </c>
      <c r="M54" s="1"/>
      <c r="N54" s="5">
        <f t="shared" si="27"/>
        <v>-3.3263652033593695E-2</v>
      </c>
      <c r="O54" s="14"/>
      <c r="P54" s="1">
        <f>SUM(OSRRefP22_9x_0)</f>
        <v>611.1</v>
      </c>
      <c r="Q54" s="1"/>
      <c r="R54" s="5">
        <f t="shared" si="28"/>
        <v>0</v>
      </c>
      <c r="S54" s="1"/>
      <c r="T54" s="1">
        <f>SUM(OSRRefT22_9x_0)</f>
        <v>578.39</v>
      </c>
      <c r="U54" s="1"/>
      <c r="V54" s="5">
        <f t="shared" si="29"/>
        <v>0</v>
      </c>
      <c r="W54" s="1"/>
      <c r="X54" s="1">
        <f t="shared" si="30"/>
        <v>32.710000000000036</v>
      </c>
      <c r="Y54" s="1"/>
      <c r="Z54" s="5">
        <f t="shared" si="31"/>
        <v>5.6553536541088259E-2</v>
      </c>
    </row>
    <row r="55" spans="1:26" s="24" customFormat="1" hidden="1" outlineLevel="2" x14ac:dyDescent="0.25">
      <c r="A55" s="28"/>
      <c r="B55" s="11" t="str">
        <f>CONCATENATE("          ", "6307", " - ", "POSTAGE")</f>
        <v xml:space="preserve">          6307 - POSTAGE</v>
      </c>
      <c r="C55" s="11"/>
      <c r="D55" s="6">
        <v>263.60000000000002</v>
      </c>
      <c r="E55" s="2"/>
      <c r="F55" s="7">
        <f t="shared" si="24"/>
        <v>0</v>
      </c>
      <c r="G55" s="2"/>
      <c r="H55" s="6">
        <v>272.67</v>
      </c>
      <c r="I55" s="2"/>
      <c r="J55" s="7">
        <f t="shared" si="25"/>
        <v>0</v>
      </c>
      <c r="K55" s="2"/>
      <c r="L55" s="6">
        <f t="shared" si="26"/>
        <v>-9.0699999999999932</v>
      </c>
      <c r="M55" s="2"/>
      <c r="N55" s="7">
        <f t="shared" si="27"/>
        <v>-3.3263652033593695E-2</v>
      </c>
      <c r="O55" s="11"/>
      <c r="P55" s="6">
        <v>611.1</v>
      </c>
      <c r="Q55" s="2"/>
      <c r="R55" s="7">
        <f t="shared" si="28"/>
        <v>0</v>
      </c>
      <c r="S55" s="2"/>
      <c r="T55" s="6">
        <v>578.39</v>
      </c>
      <c r="U55" s="2"/>
      <c r="V55" s="7">
        <f t="shared" si="29"/>
        <v>0</v>
      </c>
      <c r="W55" s="2"/>
      <c r="X55" s="6">
        <f t="shared" si="30"/>
        <v>32.710000000000036</v>
      </c>
      <c r="Y55" s="2"/>
      <c r="Z55" s="7">
        <f t="shared" si="31"/>
        <v>5.6553536541088259E-2</v>
      </c>
    </row>
    <row r="56" spans="1:26" s="29" customFormat="1" outlineLevel="1" collapsed="1" x14ac:dyDescent="0.25">
      <c r="A56" s="27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SUM(OSRRefD22_10x_0)</f>
        <v>4153.0600000000004</v>
      </c>
      <c r="E56" s="1"/>
      <c r="F56" s="5">
        <f t="shared" si="24"/>
        <v>0</v>
      </c>
      <c r="G56" s="1"/>
      <c r="H56" s="1">
        <f>SUM(OSRRefH22_10x_0)</f>
        <v>2014.2</v>
      </c>
      <c r="I56" s="1"/>
      <c r="J56" s="5">
        <f t="shared" si="25"/>
        <v>0</v>
      </c>
      <c r="K56" s="1"/>
      <c r="L56" s="1">
        <f t="shared" si="26"/>
        <v>2138.8600000000006</v>
      </c>
      <c r="M56" s="1"/>
      <c r="N56" s="5">
        <f t="shared" si="27"/>
        <v>1.0618905769039819</v>
      </c>
      <c r="O56" s="14"/>
      <c r="P56" s="1">
        <f>SUM(OSRRefP22_10x_0)</f>
        <v>6433.68</v>
      </c>
      <c r="Q56" s="1"/>
      <c r="R56" s="5">
        <f t="shared" si="28"/>
        <v>0</v>
      </c>
      <c r="S56" s="1"/>
      <c r="T56" s="1">
        <f>SUM(OSRRefT22_10x_0)</f>
        <v>9392.2999999999993</v>
      </c>
      <c r="U56" s="1"/>
      <c r="V56" s="5">
        <f t="shared" si="29"/>
        <v>0</v>
      </c>
      <c r="W56" s="1"/>
      <c r="X56" s="1">
        <f t="shared" si="30"/>
        <v>-2958.619999999999</v>
      </c>
      <c r="Y56" s="1"/>
      <c r="Z56" s="5">
        <f t="shared" si="31"/>
        <v>-0.31500484439381188</v>
      </c>
    </row>
    <row r="57" spans="1:26" s="24" customFormat="1" hidden="1" outlineLevel="2" x14ac:dyDescent="0.25">
      <c r="A57" s="28"/>
      <c r="B57" s="11" t="str">
        <f>CONCATENATE("          ", "6279", " - ", "GENERAL EXPENSE")</f>
        <v xml:space="preserve">          6279 - GENERAL EXPENSE</v>
      </c>
      <c r="C57" s="11"/>
      <c r="D57" s="6">
        <v>4153.0600000000004</v>
      </c>
      <c r="E57" s="2"/>
      <c r="F57" s="7">
        <f t="shared" si="24"/>
        <v>0</v>
      </c>
      <c r="G57" s="2"/>
      <c r="H57" s="6">
        <v>2014.2</v>
      </c>
      <c r="I57" s="2"/>
      <c r="J57" s="7">
        <f t="shared" si="25"/>
        <v>0</v>
      </c>
      <c r="K57" s="2"/>
      <c r="L57" s="6">
        <f t="shared" si="26"/>
        <v>2138.8600000000006</v>
      </c>
      <c r="M57" s="2"/>
      <c r="N57" s="7">
        <f t="shared" si="27"/>
        <v>1.0618905769039819</v>
      </c>
      <c r="O57" s="11"/>
      <c r="P57" s="6">
        <v>6433.68</v>
      </c>
      <c r="Q57" s="2"/>
      <c r="R57" s="7">
        <f t="shared" si="28"/>
        <v>0</v>
      </c>
      <c r="S57" s="2"/>
      <c r="T57" s="6">
        <v>9392.2999999999993</v>
      </c>
      <c r="U57" s="2"/>
      <c r="V57" s="7">
        <f t="shared" si="29"/>
        <v>0</v>
      </c>
      <c r="W57" s="2"/>
      <c r="X57" s="6">
        <f t="shared" si="30"/>
        <v>-2958.619999999999</v>
      </c>
      <c r="Y57" s="2"/>
      <c r="Z57" s="7">
        <f t="shared" si="31"/>
        <v>-0.31500484439381188</v>
      </c>
    </row>
    <row r="58" spans="1:26" s="29" customFormat="1" outlineLevel="1" collapsed="1" x14ac:dyDescent="0.25">
      <c r="A58" s="27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370.89</v>
      </c>
      <c r="I58" s="1"/>
      <c r="J58" s="5">
        <f t="shared" si="25"/>
        <v>0</v>
      </c>
      <c r="K58" s="1"/>
      <c r="L58" s="1">
        <f t="shared" si="26"/>
        <v>22.78000000000003</v>
      </c>
      <c r="M58" s="1"/>
      <c r="N58" s="5">
        <f t="shared" si="27"/>
        <v>6.1419827981342261E-2</v>
      </c>
      <c r="O58" s="14"/>
      <c r="P58" s="1">
        <f>SUM(OSRRefP22_11x_0)</f>
        <v>1181.01</v>
      </c>
      <c r="Q58" s="1"/>
      <c r="R58" s="5">
        <f t="shared" si="28"/>
        <v>0</v>
      </c>
      <c r="S58" s="1"/>
      <c r="T58" s="1">
        <f>SUM(OSRRefT22_11x_0)</f>
        <v>1112.67</v>
      </c>
      <c r="U58" s="1"/>
      <c r="V58" s="5">
        <f t="shared" si="29"/>
        <v>0</v>
      </c>
      <c r="W58" s="1"/>
      <c r="X58" s="1">
        <f t="shared" si="30"/>
        <v>68.339999999999918</v>
      </c>
      <c r="Y58" s="1"/>
      <c r="Z58" s="5">
        <f t="shared" si="31"/>
        <v>6.1419827981342101E-2</v>
      </c>
    </row>
    <row r="59" spans="1:26" s="24" customFormat="1" hidden="1" outlineLevel="2" x14ac:dyDescent="0.25">
      <c r="A59" s="28"/>
      <c r="B59" s="11" t="str">
        <f>CONCATENATE("          ", "6314", " - ", "LIABILITY INSURANCE")</f>
        <v xml:space="preserve">          6314 - LIABILITY INSURANCE</v>
      </c>
      <c r="C59" s="11"/>
      <c r="D59" s="6">
        <v>393.67</v>
      </c>
      <c r="E59" s="2"/>
      <c r="F59" s="7">
        <f t="shared" si="24"/>
        <v>0</v>
      </c>
      <c r="G59" s="2"/>
      <c r="H59" s="6">
        <v>370.89</v>
      </c>
      <c r="I59" s="2"/>
      <c r="J59" s="7">
        <f t="shared" si="25"/>
        <v>0</v>
      </c>
      <c r="K59" s="2"/>
      <c r="L59" s="6">
        <f t="shared" si="26"/>
        <v>22.78000000000003</v>
      </c>
      <c r="M59" s="2"/>
      <c r="N59" s="7">
        <f t="shared" si="27"/>
        <v>6.1419827981342261E-2</v>
      </c>
      <c r="O59" s="11"/>
      <c r="P59" s="6">
        <v>1181.01</v>
      </c>
      <c r="Q59" s="2"/>
      <c r="R59" s="7">
        <f t="shared" si="28"/>
        <v>0</v>
      </c>
      <c r="S59" s="2"/>
      <c r="T59" s="6">
        <v>1112.67</v>
      </c>
      <c r="U59" s="2"/>
      <c r="V59" s="7">
        <f t="shared" si="29"/>
        <v>0</v>
      </c>
      <c r="W59" s="2"/>
      <c r="X59" s="6">
        <f t="shared" si="30"/>
        <v>68.339999999999918</v>
      </c>
      <c r="Y59" s="2"/>
      <c r="Z59" s="7">
        <f t="shared" si="31"/>
        <v>6.1419827981342101E-2</v>
      </c>
    </row>
    <row r="60" spans="1:26" s="29" customFormat="1" outlineLevel="1" collapsed="1" x14ac:dyDescent="0.25">
      <c r="A60" s="27"/>
      <c r="B60" s="14" t="str">
        <f>CONCATENATE("     ","Professional Services                             ")</f>
        <v xml:space="preserve">     Professional Services                             </v>
      </c>
      <c r="C60" s="14"/>
      <c r="D60" s="1">
        <f>SUM(OSRRefD22_12x_0)</f>
        <v>45470.68</v>
      </c>
      <c r="E60" s="1"/>
      <c r="F60" s="5">
        <f t="shared" si="24"/>
        <v>0</v>
      </c>
      <c r="G60" s="1"/>
      <c r="H60" s="1">
        <f>SUM(OSRRefH22_12x_0)</f>
        <v>5675</v>
      </c>
      <c r="I60" s="1"/>
      <c r="J60" s="5">
        <f t="shared" si="25"/>
        <v>0</v>
      </c>
      <c r="K60" s="1"/>
      <c r="L60" s="1">
        <f t="shared" si="26"/>
        <v>39795.68</v>
      </c>
      <c r="M60" s="1"/>
      <c r="N60" s="5">
        <f t="shared" si="27"/>
        <v>7.012454625550661</v>
      </c>
      <c r="O60" s="14"/>
      <c r="P60" s="1">
        <f>SUM(OSRRefP22_12x_0)</f>
        <v>71060.92</v>
      </c>
      <c r="Q60" s="1"/>
      <c r="R60" s="5">
        <f t="shared" si="28"/>
        <v>0</v>
      </c>
      <c r="S60" s="1"/>
      <c r="T60" s="1">
        <f>SUM(OSRRefT22_12x_0)</f>
        <v>22413</v>
      </c>
      <c r="U60" s="1"/>
      <c r="V60" s="5">
        <f t="shared" si="29"/>
        <v>0</v>
      </c>
      <c r="W60" s="1"/>
      <c r="X60" s="1">
        <f t="shared" si="30"/>
        <v>48647.92</v>
      </c>
      <c r="Y60" s="1"/>
      <c r="Z60" s="5">
        <f t="shared" si="31"/>
        <v>2.1705224646410564</v>
      </c>
    </row>
    <row r="61" spans="1:26" s="24" customFormat="1" hidden="1" outlineLevel="2" x14ac:dyDescent="0.25">
      <c r="A61" s="28"/>
      <c r="B61" s="11" t="str">
        <f>CONCATENATE("          ", "6331", " - ", "INDIRECT COSTS-AUXILIARY ORGAN")</f>
        <v xml:space="preserve">          6331 - INDIRECT COSTS-AUXILIARY ORGAN</v>
      </c>
      <c r="C61" s="11"/>
      <c r="D61" s="6">
        <v>12000</v>
      </c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12000</v>
      </c>
      <c r="M61" s="2"/>
      <c r="N61" s="7">
        <f t="shared" si="27"/>
        <v>0</v>
      </c>
      <c r="O61" s="11"/>
      <c r="P61" s="6">
        <v>23487</v>
      </c>
      <c r="Q61" s="2"/>
      <c r="R61" s="7">
        <f t="shared" si="28"/>
        <v>0</v>
      </c>
      <c r="S61" s="2"/>
      <c r="T61" s="6">
        <v>11425.25</v>
      </c>
      <c r="U61" s="2"/>
      <c r="V61" s="7">
        <f t="shared" si="29"/>
        <v>0</v>
      </c>
      <c r="W61" s="2"/>
      <c r="X61" s="6">
        <f t="shared" si="30"/>
        <v>12061.75</v>
      </c>
      <c r="Y61" s="2"/>
      <c r="Z61" s="7">
        <f t="shared" si="31"/>
        <v>1.0557099407015165</v>
      </c>
    </row>
    <row r="62" spans="1:26" s="24" customFormat="1" hidden="1" outlineLevel="2" x14ac:dyDescent="0.25">
      <c r="A62" s="28"/>
      <c r="B62" s="11" t="str">
        <f>CONCATENATE("          ", "6332", " - ", "CONSULTANT FEES")</f>
        <v xml:space="preserve">          6332 - CONSULTANT FEES</v>
      </c>
      <c r="C62" s="11"/>
      <c r="D62" s="6">
        <v>15062.24</v>
      </c>
      <c r="E62" s="2"/>
      <c r="F62" s="7">
        <f t="shared" si="24"/>
        <v>0</v>
      </c>
      <c r="G62" s="2"/>
      <c r="H62" s="6">
        <v>5600</v>
      </c>
      <c r="I62" s="2"/>
      <c r="J62" s="7">
        <f t="shared" si="25"/>
        <v>0</v>
      </c>
      <c r="K62" s="2"/>
      <c r="L62" s="6">
        <f t="shared" si="26"/>
        <v>9462.24</v>
      </c>
      <c r="M62" s="2"/>
      <c r="N62" s="7">
        <f t="shared" si="27"/>
        <v>1.6896857142857142</v>
      </c>
      <c r="O62" s="11"/>
      <c r="P62" s="6">
        <v>15144.74</v>
      </c>
      <c r="Q62" s="2"/>
      <c r="R62" s="7">
        <f t="shared" si="28"/>
        <v>0</v>
      </c>
      <c r="S62" s="2"/>
      <c r="T62" s="6">
        <v>5600</v>
      </c>
      <c r="U62" s="2"/>
      <c r="V62" s="7">
        <f t="shared" si="29"/>
        <v>0</v>
      </c>
      <c r="W62" s="2"/>
      <c r="X62" s="6">
        <f t="shared" si="30"/>
        <v>9544.74</v>
      </c>
      <c r="Y62" s="2"/>
      <c r="Z62" s="7">
        <f t="shared" si="31"/>
        <v>1.7044178571428572</v>
      </c>
    </row>
    <row r="63" spans="1:26" s="24" customFormat="1" hidden="1" outlineLevel="2" x14ac:dyDescent="0.25">
      <c r="A63" s="28"/>
      <c r="B63" s="11" t="str">
        <f>CONCATENATE("          ", "6334", " - ", "LEGAL COUNCIL EXPENSE")</f>
        <v xml:space="preserve">          6334 - LEGAL COUNCIL EXPENSE</v>
      </c>
      <c r="C63" s="11"/>
      <c r="D63" s="6">
        <v>11970</v>
      </c>
      <c r="E63" s="2"/>
      <c r="F63" s="7">
        <f t="shared" si="24"/>
        <v>0</v>
      </c>
      <c r="G63" s="2"/>
      <c r="H63" s="6">
        <v>75</v>
      </c>
      <c r="I63" s="2"/>
      <c r="J63" s="7">
        <f t="shared" si="25"/>
        <v>0</v>
      </c>
      <c r="K63" s="2"/>
      <c r="L63" s="6">
        <f t="shared" si="26"/>
        <v>11895</v>
      </c>
      <c r="M63" s="2"/>
      <c r="N63" s="7">
        <f t="shared" si="27"/>
        <v>158.6</v>
      </c>
      <c r="O63" s="11"/>
      <c r="P63" s="6">
        <v>18600</v>
      </c>
      <c r="Q63" s="2"/>
      <c r="R63" s="7">
        <f t="shared" si="28"/>
        <v>0</v>
      </c>
      <c r="S63" s="2"/>
      <c r="T63" s="6">
        <v>75</v>
      </c>
      <c r="U63" s="2"/>
      <c r="V63" s="7">
        <f t="shared" si="29"/>
        <v>0</v>
      </c>
      <c r="W63" s="2"/>
      <c r="X63" s="6">
        <f t="shared" si="30"/>
        <v>18525</v>
      </c>
      <c r="Y63" s="2"/>
      <c r="Z63" s="7">
        <f t="shared" si="31"/>
        <v>247</v>
      </c>
    </row>
    <row r="64" spans="1:26" s="24" customFormat="1" hidden="1" outlineLevel="2" x14ac:dyDescent="0.25">
      <c r="A64" s="28"/>
      <c r="B64" s="11" t="str">
        <f>CONCATENATE("          ", "6336", " - ", "PROFESSIONAL SERVICES")</f>
        <v xml:space="preserve">          6336 - PROFESSIONAL SERVICES</v>
      </c>
      <c r="C64" s="11"/>
      <c r="D64" s="6">
        <v>6438.44</v>
      </c>
      <c r="E64" s="2"/>
      <c r="F64" s="7">
        <f t="shared" si="24"/>
        <v>0</v>
      </c>
      <c r="G64" s="2"/>
      <c r="H64" s="6"/>
      <c r="I64" s="2"/>
      <c r="J64" s="7">
        <f t="shared" si="25"/>
        <v>0</v>
      </c>
      <c r="K64" s="2"/>
      <c r="L64" s="6">
        <f t="shared" si="26"/>
        <v>6438.44</v>
      </c>
      <c r="M64" s="2"/>
      <c r="N64" s="7">
        <f t="shared" si="27"/>
        <v>0</v>
      </c>
      <c r="O64" s="11"/>
      <c r="P64" s="6">
        <v>13829.18</v>
      </c>
      <c r="Q64" s="2"/>
      <c r="R64" s="7">
        <f t="shared" si="28"/>
        <v>0</v>
      </c>
      <c r="S64" s="2"/>
      <c r="T64" s="6">
        <v>5312.75</v>
      </c>
      <c r="U64" s="2"/>
      <c r="V64" s="7">
        <f t="shared" si="29"/>
        <v>0</v>
      </c>
      <c r="W64" s="2"/>
      <c r="X64" s="6">
        <f t="shared" si="30"/>
        <v>8516.43</v>
      </c>
      <c r="Y64" s="2"/>
      <c r="Z64" s="7">
        <f t="shared" si="31"/>
        <v>1.60301726977554</v>
      </c>
    </row>
    <row r="65" spans="1:26" s="29" customFormat="1" outlineLevel="1" collapsed="1" x14ac:dyDescent="0.25">
      <c r="A65" s="27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SUM(OSRRefD22_13x_0)</f>
        <v>24725.599999999999</v>
      </c>
      <c r="E65" s="1"/>
      <c r="F65" s="5">
        <f t="shared" ref="F65:F68" si="32">IF(D$12=0,0,D65/D$12)</f>
        <v>0</v>
      </c>
      <c r="G65" s="1"/>
      <c r="H65" s="1">
        <f>SUM(OSRRefH22_13x_0)</f>
        <v>28826.43</v>
      </c>
      <c r="I65" s="1"/>
      <c r="J65" s="5">
        <f t="shared" ref="J65:J68" si="33">IF(H$12=0,0,H65/H$12)</f>
        <v>0</v>
      </c>
      <c r="K65" s="1"/>
      <c r="L65" s="1">
        <f t="shared" ref="L65:L68" si="34">+D65-H65</f>
        <v>-4100.8300000000017</v>
      </c>
      <c r="M65" s="1"/>
      <c r="N65" s="5">
        <f t="shared" ref="N65:N68" si="35">IF(H65=0,0,L65/H65)</f>
        <v>-0.14225937793892623</v>
      </c>
      <c r="O65" s="14"/>
      <c r="P65" s="1">
        <f>SUM(OSRRefP22_13x_0)</f>
        <v>74684.02</v>
      </c>
      <c r="Q65" s="1"/>
      <c r="R65" s="5">
        <f t="shared" ref="R65:R68" si="36">IF(P$12=0,0,P65/P$12)</f>
        <v>0</v>
      </c>
      <c r="S65" s="1"/>
      <c r="T65" s="1">
        <f>SUM(OSRRefT22_13x_0)</f>
        <v>70826.819999999992</v>
      </c>
      <c r="U65" s="1"/>
      <c r="V65" s="5">
        <f t="shared" ref="V65:V68" si="37">IF(T$12=0,0,T65/T$12)</f>
        <v>0</v>
      </c>
      <c r="W65" s="1"/>
      <c r="X65" s="1">
        <f t="shared" ref="X65:X68" si="38">+P65-T65</f>
        <v>3857.2000000000116</v>
      </c>
      <c r="Y65" s="1"/>
      <c r="Z65" s="5">
        <f t="shared" ref="Z65:Z68" si="39">IF(T65=0,0,X65/T65)</f>
        <v>5.4459595955317665E-2</v>
      </c>
    </row>
    <row r="66" spans="1:26" s="24" customFormat="1" hidden="1" outlineLevel="2" x14ac:dyDescent="0.25">
      <c r="A66" s="28"/>
      <c r="B66" s="11" t="str">
        <f>CONCATENATE("          ", "6371", " - ", "COMPUTER SOFTWARE MAINTENANCE")</f>
        <v xml:space="preserve">          6371 - COMPUTER SOFTWARE MAINTENANCE</v>
      </c>
      <c r="C66" s="11"/>
      <c r="D66" s="6">
        <v>11127.65</v>
      </c>
      <c r="E66" s="2"/>
      <c r="F66" s="7">
        <f t="shared" si="32"/>
        <v>0</v>
      </c>
      <c r="G66" s="2"/>
      <c r="H66" s="6">
        <v>11198.49</v>
      </c>
      <c r="I66" s="2"/>
      <c r="J66" s="7">
        <f t="shared" si="33"/>
        <v>0</v>
      </c>
      <c r="K66" s="2"/>
      <c r="L66" s="6">
        <f t="shared" si="34"/>
        <v>-70.840000000000146</v>
      </c>
      <c r="M66" s="2"/>
      <c r="N66" s="7">
        <f t="shared" si="35"/>
        <v>-6.3258528605196008E-3</v>
      </c>
      <c r="O66" s="11"/>
      <c r="P66" s="6">
        <v>31505.11</v>
      </c>
      <c r="Q66" s="2"/>
      <c r="R66" s="7">
        <f t="shared" si="36"/>
        <v>0</v>
      </c>
      <c r="S66" s="2"/>
      <c r="T66" s="6">
        <v>32976.369999999995</v>
      </c>
      <c r="U66" s="2"/>
      <c r="V66" s="7">
        <f t="shared" si="37"/>
        <v>0</v>
      </c>
      <c r="W66" s="2"/>
      <c r="X66" s="6">
        <f t="shared" si="38"/>
        <v>-1471.2599999999948</v>
      </c>
      <c r="Y66" s="2"/>
      <c r="Z66" s="7">
        <f t="shared" si="39"/>
        <v>-4.4615583825630141E-2</v>
      </c>
    </row>
    <row r="67" spans="1:26" s="24" customFormat="1" hidden="1" outlineLevel="2" x14ac:dyDescent="0.25">
      <c r="A67" s="28"/>
      <c r="B67" s="11" t="str">
        <f>CONCATENATE("          ", "6373", " - ", "MAINTENANCE CONTRACTS")</f>
        <v xml:space="preserve">          6373 - MAINTENANCE CONTRACTS</v>
      </c>
      <c r="C67" s="11"/>
      <c r="D67" s="6">
        <v>13544.27</v>
      </c>
      <c r="E67" s="2"/>
      <c r="F67" s="7">
        <f t="shared" si="32"/>
        <v>0</v>
      </c>
      <c r="G67" s="2"/>
      <c r="H67" s="6">
        <v>17564.580000000002</v>
      </c>
      <c r="I67" s="2"/>
      <c r="J67" s="7">
        <f t="shared" si="33"/>
        <v>0</v>
      </c>
      <c r="K67" s="2"/>
      <c r="L67" s="6">
        <f t="shared" si="34"/>
        <v>-4020.3100000000013</v>
      </c>
      <c r="M67" s="2"/>
      <c r="N67" s="7">
        <f t="shared" si="35"/>
        <v>-0.22888734031784425</v>
      </c>
      <c r="O67" s="11"/>
      <c r="P67" s="6">
        <v>43005.8</v>
      </c>
      <c r="Q67" s="2"/>
      <c r="R67" s="7">
        <f t="shared" si="36"/>
        <v>0</v>
      </c>
      <c r="S67" s="2"/>
      <c r="T67" s="6">
        <v>37118.009999999995</v>
      </c>
      <c r="U67" s="2"/>
      <c r="V67" s="7">
        <f t="shared" si="37"/>
        <v>0</v>
      </c>
      <c r="W67" s="2"/>
      <c r="X67" s="6">
        <f t="shared" si="38"/>
        <v>5887.7900000000081</v>
      </c>
      <c r="Y67" s="2"/>
      <c r="Z67" s="7">
        <f t="shared" si="39"/>
        <v>0.15862353612168348</v>
      </c>
    </row>
    <row r="68" spans="1:26" s="24" customFormat="1" hidden="1" outlineLevel="2" x14ac:dyDescent="0.25">
      <c r="A68" s="28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53.68</v>
      </c>
      <c r="E68" s="2"/>
      <c r="F68" s="7">
        <f t="shared" si="32"/>
        <v>0</v>
      </c>
      <c r="G68" s="2"/>
      <c r="H68" s="6">
        <v>63.36</v>
      </c>
      <c r="I68" s="2"/>
      <c r="J68" s="7">
        <f t="shared" si="33"/>
        <v>0</v>
      </c>
      <c r="K68" s="2"/>
      <c r="L68" s="6">
        <f t="shared" si="34"/>
        <v>-9.68</v>
      </c>
      <c r="M68" s="2"/>
      <c r="N68" s="7">
        <f t="shared" si="35"/>
        <v>-0.15277777777777776</v>
      </c>
      <c r="O68" s="11"/>
      <c r="P68" s="6">
        <v>173.11</v>
      </c>
      <c r="Q68" s="2"/>
      <c r="R68" s="7">
        <f t="shared" si="36"/>
        <v>0</v>
      </c>
      <c r="S68" s="2"/>
      <c r="T68" s="6">
        <v>732.44</v>
      </c>
      <c r="U68" s="2"/>
      <c r="V68" s="7">
        <f t="shared" si="37"/>
        <v>0</v>
      </c>
      <c r="W68" s="2"/>
      <c r="X68" s="6">
        <f t="shared" si="38"/>
        <v>-559.33000000000004</v>
      </c>
      <c r="Y68" s="2"/>
      <c r="Z68" s="7">
        <f t="shared" si="39"/>
        <v>-0.76365299546720555</v>
      </c>
    </row>
    <row r="69" spans="1:26" s="29" customFormat="1" outlineLevel="1" collapsed="1" x14ac:dyDescent="0.25">
      <c r="A69" s="27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SUM(OSRRefD22_14x_0)</f>
        <v>870.09</v>
      </c>
      <c r="E69" s="1"/>
      <c r="F69" s="5">
        <f t="shared" ref="F69:F71" si="40">IF(D$12=0,0,D69/D$12)</f>
        <v>0</v>
      </c>
      <c r="G69" s="1"/>
      <c r="H69" s="1">
        <f>SUM(OSRRefH22_14x_0)</f>
        <v>624.03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246.06000000000006</v>
      </c>
      <c r="M69" s="1"/>
      <c r="N69" s="5">
        <f t="shared" ref="N69:N71" si="43">IF(H69=0,0,L69/H69)</f>
        <v>0.39430796596317497</v>
      </c>
      <c r="O69" s="14"/>
      <c r="P69" s="1">
        <f>SUM(OSRRefP22_14x_0)</f>
        <v>3739.83</v>
      </c>
      <c r="Q69" s="1"/>
      <c r="R69" s="5">
        <f t="shared" ref="R69:R71" si="44">IF(P$12=0,0,P69/P$12)</f>
        <v>0</v>
      </c>
      <c r="S69" s="1"/>
      <c r="T69" s="1">
        <f>SUM(OSRRefT22_14x_0)</f>
        <v>2007.23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1732.6</v>
      </c>
      <c r="Y69" s="1"/>
      <c r="Z69" s="5">
        <f t="shared" ref="Z69:Z71" si="47">IF(T69=0,0,X69/T69)</f>
        <v>0.86317960572530295</v>
      </c>
    </row>
    <row r="70" spans="1:26" s="24" customFormat="1" hidden="1" outlineLevel="2" x14ac:dyDescent="0.25">
      <c r="A70" s="28"/>
      <c r="B70" s="11" t="str">
        <f>CONCATENATE("          ", "6281", " - ", "STORAGE FEE")</f>
        <v xml:space="preserve">          6281 - STORAGE FEE</v>
      </c>
      <c r="C70" s="11"/>
      <c r="D70" s="6">
        <v>856.83</v>
      </c>
      <c r="E70" s="2"/>
      <c r="F70" s="7">
        <f t="shared" si="40"/>
        <v>0</v>
      </c>
      <c r="G70" s="2"/>
      <c r="H70" s="6">
        <v>624.03</v>
      </c>
      <c r="I70" s="2"/>
      <c r="J70" s="7">
        <f t="shared" si="41"/>
        <v>0</v>
      </c>
      <c r="K70" s="2"/>
      <c r="L70" s="6">
        <f t="shared" si="42"/>
        <v>232.80000000000007</v>
      </c>
      <c r="M70" s="2"/>
      <c r="N70" s="7">
        <f t="shared" si="43"/>
        <v>0.37305898754867567</v>
      </c>
      <c r="O70" s="11"/>
      <c r="P70" s="6">
        <v>3713.31</v>
      </c>
      <c r="Q70" s="2"/>
      <c r="R70" s="7">
        <f t="shared" si="44"/>
        <v>0</v>
      </c>
      <c r="S70" s="2"/>
      <c r="T70" s="6">
        <v>1982.45</v>
      </c>
      <c r="U70" s="2"/>
      <c r="V70" s="7">
        <f t="shared" si="45"/>
        <v>0</v>
      </c>
      <c r="W70" s="2"/>
      <c r="X70" s="6">
        <f t="shared" si="46"/>
        <v>1730.86</v>
      </c>
      <c r="Y70" s="2"/>
      <c r="Z70" s="7">
        <f t="shared" si="47"/>
        <v>0.87309137683169813</v>
      </c>
    </row>
    <row r="71" spans="1:26" s="24" customFormat="1" hidden="1" outlineLevel="2" x14ac:dyDescent="0.25">
      <c r="A71" s="28"/>
      <c r="B71" s="11" t="str">
        <f>CONCATENATE("          ", "6286", " - ", "LAUNDRY EXPENSE")</f>
        <v xml:space="preserve">          6286 - LAUNDRY EXPENSE</v>
      </c>
      <c r="C71" s="11"/>
      <c r="D71" s="6">
        <v>13.26</v>
      </c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13.26</v>
      </c>
      <c r="M71" s="2"/>
      <c r="N71" s="7">
        <f t="shared" si="43"/>
        <v>0</v>
      </c>
      <c r="O71" s="11"/>
      <c r="P71" s="6">
        <v>26.52</v>
      </c>
      <c r="Q71" s="2"/>
      <c r="R71" s="7">
        <f t="shared" si="44"/>
        <v>0</v>
      </c>
      <c r="S71" s="2"/>
      <c r="T71" s="6">
        <v>24.78</v>
      </c>
      <c r="U71" s="2"/>
      <c r="V71" s="7">
        <f t="shared" si="45"/>
        <v>0</v>
      </c>
      <c r="W71" s="2"/>
      <c r="X71" s="6">
        <f t="shared" si="46"/>
        <v>1.7399999999999984</v>
      </c>
      <c r="Y71" s="2"/>
      <c r="Z71" s="7">
        <f t="shared" si="47"/>
        <v>7.0217917675544722E-2</v>
      </c>
    </row>
    <row r="72" spans="1:26" s="29" customFormat="1" outlineLevel="1" collapsed="1" x14ac:dyDescent="0.25">
      <c r="A72" s="27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SUM(OSRRefD22_15x_0)</f>
        <v>39</v>
      </c>
      <c r="E72" s="1"/>
      <c r="F72" s="5">
        <f t="shared" ref="F72:F78" si="48">IF(D$12=0,0,D72/D$12)</f>
        <v>0</v>
      </c>
      <c r="G72" s="1"/>
      <c r="H72" s="1">
        <f>SUM(OSRRefH22_15x_0)</f>
        <v>378</v>
      </c>
      <c r="I72" s="1"/>
      <c r="J72" s="5">
        <f t="shared" ref="J72:J78" si="49">IF(H$12=0,0,H72/H$12)</f>
        <v>0</v>
      </c>
      <c r="K72" s="1"/>
      <c r="L72" s="1">
        <f t="shared" ref="L72:L78" si="50">+D72-H72</f>
        <v>-339</v>
      </c>
      <c r="M72" s="1"/>
      <c r="N72" s="5">
        <f t="shared" ref="N72:N78" si="51">IF(H72=0,0,L72/H72)</f>
        <v>-0.89682539682539686</v>
      </c>
      <c r="O72" s="14"/>
      <c r="P72" s="1">
        <f>SUM(OSRRefP22_15x_0)</f>
        <v>1626</v>
      </c>
      <c r="Q72" s="1"/>
      <c r="R72" s="5">
        <f t="shared" ref="R72:R78" si="52">IF(P$12=0,0,P72/P$12)</f>
        <v>0</v>
      </c>
      <c r="S72" s="1"/>
      <c r="T72" s="1">
        <f>SUM(OSRRefT22_15x_0)</f>
        <v>1817</v>
      </c>
      <c r="U72" s="1"/>
      <c r="V72" s="5">
        <f t="shared" ref="V72:V78" si="53">IF(T$12=0,0,T72/T$12)</f>
        <v>0</v>
      </c>
      <c r="W72" s="1"/>
      <c r="X72" s="1">
        <f t="shared" ref="X72:X78" si="54">+P72-T72</f>
        <v>-191</v>
      </c>
      <c r="Y72" s="1"/>
      <c r="Z72" s="5">
        <f t="shared" ref="Z72:Z78" si="55">IF(T72=0,0,X72/T72)</f>
        <v>-0.10511832691249312</v>
      </c>
    </row>
    <row r="73" spans="1:26" s="24" customFormat="1" hidden="1" outlineLevel="2" x14ac:dyDescent="0.25">
      <c r="A73" s="28"/>
      <c r="B73" s="11" t="str">
        <f>CONCATENATE("          ", "6258", " - ", "MEMBERSHIP DUES")</f>
        <v xml:space="preserve">          6258 - MEMBERSHIP DUES</v>
      </c>
      <c r="C73" s="11"/>
      <c r="D73" s="6">
        <v>39</v>
      </c>
      <c r="E73" s="2"/>
      <c r="F73" s="7">
        <f t="shared" si="48"/>
        <v>0</v>
      </c>
      <c r="G73" s="2"/>
      <c r="H73" s="6">
        <v>378</v>
      </c>
      <c r="I73" s="2"/>
      <c r="J73" s="7">
        <f t="shared" si="49"/>
        <v>0</v>
      </c>
      <c r="K73" s="2"/>
      <c r="L73" s="6">
        <f t="shared" si="50"/>
        <v>-339</v>
      </c>
      <c r="M73" s="2"/>
      <c r="N73" s="7">
        <f t="shared" si="51"/>
        <v>-0.89682539682539686</v>
      </c>
      <c r="O73" s="11"/>
      <c r="P73" s="6">
        <v>1626</v>
      </c>
      <c r="Q73" s="2"/>
      <c r="R73" s="7">
        <f t="shared" si="52"/>
        <v>0</v>
      </c>
      <c r="S73" s="2"/>
      <c r="T73" s="6">
        <v>1817</v>
      </c>
      <c r="U73" s="2"/>
      <c r="V73" s="7">
        <f t="shared" si="53"/>
        <v>0</v>
      </c>
      <c r="W73" s="2"/>
      <c r="X73" s="6">
        <f t="shared" si="54"/>
        <v>-191</v>
      </c>
      <c r="Y73" s="2"/>
      <c r="Z73" s="7">
        <f t="shared" si="55"/>
        <v>-0.10511832691249312</v>
      </c>
    </row>
    <row r="74" spans="1:26" s="29" customFormat="1" outlineLevel="1" collapsed="1" x14ac:dyDescent="0.25">
      <c r="A74" s="27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SUM(OSRRefD22_16x_0)</f>
        <v>8201.86</v>
      </c>
      <c r="E74" s="1"/>
      <c r="F74" s="5">
        <f t="shared" si="48"/>
        <v>0</v>
      </c>
      <c r="G74" s="1"/>
      <c r="H74" s="1">
        <f>SUM(OSRRefH22_16x_0)</f>
        <v>7467.0999999999995</v>
      </c>
      <c r="I74" s="1"/>
      <c r="J74" s="5">
        <f t="shared" si="49"/>
        <v>0</v>
      </c>
      <c r="K74" s="1"/>
      <c r="L74" s="1">
        <f t="shared" si="50"/>
        <v>734.76000000000113</v>
      </c>
      <c r="M74" s="1"/>
      <c r="N74" s="5">
        <f t="shared" si="51"/>
        <v>9.8399646449090161E-2</v>
      </c>
      <c r="O74" s="14"/>
      <c r="P74" s="1">
        <f>SUM(OSRRefP22_16x_0)</f>
        <v>28124.2</v>
      </c>
      <c r="Q74" s="1"/>
      <c r="R74" s="5">
        <f t="shared" si="52"/>
        <v>0</v>
      </c>
      <c r="S74" s="1"/>
      <c r="T74" s="1">
        <f>SUM(OSRRefT22_16x_0)</f>
        <v>17130.919999999998</v>
      </c>
      <c r="U74" s="1"/>
      <c r="V74" s="5">
        <f t="shared" si="53"/>
        <v>0</v>
      </c>
      <c r="W74" s="1"/>
      <c r="X74" s="1">
        <f t="shared" si="54"/>
        <v>10993.280000000002</v>
      </c>
      <c r="Y74" s="1"/>
      <c r="Z74" s="5">
        <f t="shared" si="55"/>
        <v>0.64172151875089045</v>
      </c>
    </row>
    <row r="75" spans="1:26" s="24" customFormat="1" hidden="1" outlineLevel="2" x14ac:dyDescent="0.25">
      <c r="A75" s="28"/>
      <c r="B75" s="11" t="str">
        <f>CONCATENATE("          ", "6234", " - ", "EXPENDABLE SUPPLIES &amp; EQUIPMEN")</f>
        <v xml:space="preserve">          6234 - EXPENDABLE SUPPLIES &amp; EQUIPMEN</v>
      </c>
      <c r="C75" s="11"/>
      <c r="D75" s="6">
        <v>217.02</v>
      </c>
      <c r="E75" s="2"/>
      <c r="F75" s="7">
        <f t="shared" si="48"/>
        <v>0</v>
      </c>
      <c r="G75" s="2"/>
      <c r="H75" s="6">
        <v>-568.01</v>
      </c>
      <c r="I75" s="2"/>
      <c r="J75" s="7">
        <f t="shared" si="49"/>
        <v>0</v>
      </c>
      <c r="K75" s="2"/>
      <c r="L75" s="6">
        <f t="shared" si="50"/>
        <v>785.03</v>
      </c>
      <c r="M75" s="2"/>
      <c r="N75" s="7">
        <f t="shared" si="51"/>
        <v>-1.3820707381912289</v>
      </c>
      <c r="O75" s="11"/>
      <c r="P75" s="6">
        <v>776.96</v>
      </c>
      <c r="Q75" s="2"/>
      <c r="R75" s="7">
        <f t="shared" si="52"/>
        <v>0</v>
      </c>
      <c r="S75" s="2"/>
      <c r="T75" s="6">
        <v>1689.29</v>
      </c>
      <c r="U75" s="2"/>
      <c r="V75" s="7">
        <f t="shared" si="53"/>
        <v>0</v>
      </c>
      <c r="W75" s="2"/>
      <c r="X75" s="6">
        <f t="shared" si="54"/>
        <v>-912.32999999999993</v>
      </c>
      <c r="Y75" s="2"/>
      <c r="Z75" s="7">
        <f t="shared" si="55"/>
        <v>-0.54006712879375351</v>
      </c>
    </row>
    <row r="76" spans="1:26" s="24" customFormat="1" hidden="1" outlineLevel="2" x14ac:dyDescent="0.25">
      <c r="A76" s="28"/>
      <c r="B76" s="11" t="str">
        <f>CONCATENATE("          ", "6241", " - ", "OFFICE EXPENSE")</f>
        <v xml:space="preserve">          6241 - OFFICE EXPENSE</v>
      </c>
      <c r="C76" s="11"/>
      <c r="D76" s="6">
        <v>7511.36</v>
      </c>
      <c r="E76" s="2"/>
      <c r="F76" s="7">
        <f t="shared" si="48"/>
        <v>0</v>
      </c>
      <c r="G76" s="2"/>
      <c r="H76" s="6">
        <v>7345.26</v>
      </c>
      <c r="I76" s="2"/>
      <c r="J76" s="7">
        <f t="shared" si="49"/>
        <v>0</v>
      </c>
      <c r="K76" s="2"/>
      <c r="L76" s="6">
        <f t="shared" si="50"/>
        <v>166.09999999999945</v>
      </c>
      <c r="M76" s="2"/>
      <c r="N76" s="7">
        <f t="shared" si="51"/>
        <v>2.2613222676937161E-2</v>
      </c>
      <c r="O76" s="11"/>
      <c r="P76" s="6">
        <v>23335.72</v>
      </c>
      <c r="Q76" s="2"/>
      <c r="R76" s="7">
        <f t="shared" si="52"/>
        <v>0</v>
      </c>
      <c r="S76" s="2"/>
      <c r="T76" s="6">
        <v>12930.46</v>
      </c>
      <c r="U76" s="2"/>
      <c r="V76" s="7">
        <f t="shared" si="53"/>
        <v>0</v>
      </c>
      <c r="W76" s="2"/>
      <c r="X76" s="6">
        <f t="shared" si="54"/>
        <v>10405.260000000002</v>
      </c>
      <c r="Y76" s="2"/>
      <c r="Z76" s="7">
        <f t="shared" si="55"/>
        <v>0.80470919054697221</v>
      </c>
    </row>
    <row r="77" spans="1:26" s="24" customFormat="1" hidden="1" outlineLevel="2" x14ac:dyDescent="0.25">
      <c r="A77" s="28"/>
      <c r="B77" s="11" t="str">
        <f>CONCATENATE("          ", "6244", " - ", "SAFETY SUPPLY EXPENSE")</f>
        <v xml:space="preserve">          6244 - SAFETY SUPPLY EXPENSE</v>
      </c>
      <c r="C77" s="11"/>
      <c r="D77" s="6">
        <v>354.41</v>
      </c>
      <c r="E77" s="2"/>
      <c r="F77" s="7">
        <f t="shared" si="48"/>
        <v>0</v>
      </c>
      <c r="G77" s="2"/>
      <c r="H77" s="6">
        <v>323.23</v>
      </c>
      <c r="I77" s="2"/>
      <c r="J77" s="7">
        <f t="shared" si="49"/>
        <v>0</v>
      </c>
      <c r="K77" s="2"/>
      <c r="L77" s="6">
        <f t="shared" si="50"/>
        <v>31.180000000000007</v>
      </c>
      <c r="M77" s="2"/>
      <c r="N77" s="7">
        <f t="shared" si="51"/>
        <v>9.6463818333694287E-2</v>
      </c>
      <c r="O77" s="11"/>
      <c r="P77" s="6">
        <v>1232.33</v>
      </c>
      <c r="Q77" s="2"/>
      <c r="R77" s="7">
        <f t="shared" si="52"/>
        <v>0</v>
      </c>
      <c r="S77" s="2"/>
      <c r="T77" s="6">
        <v>1728.21</v>
      </c>
      <c r="U77" s="2"/>
      <c r="V77" s="7">
        <f t="shared" si="53"/>
        <v>0</v>
      </c>
      <c r="W77" s="2"/>
      <c r="X77" s="6">
        <f t="shared" si="54"/>
        <v>-495.88000000000011</v>
      </c>
      <c r="Y77" s="2"/>
      <c r="Z77" s="7">
        <f t="shared" si="55"/>
        <v>-0.2869327222964802</v>
      </c>
    </row>
    <row r="78" spans="1:26" s="24" customFormat="1" hidden="1" outlineLevel="2" x14ac:dyDescent="0.25">
      <c r="A78" s="28"/>
      <c r="B78" s="11" t="str">
        <f>CONCATENATE("          ", "6245", " - ", "PRINTING")</f>
        <v xml:space="preserve">          6245 - PRINTING</v>
      </c>
      <c r="C78" s="11"/>
      <c r="D78" s="6">
        <v>119.07</v>
      </c>
      <c r="E78" s="2"/>
      <c r="F78" s="7">
        <f t="shared" si="48"/>
        <v>0</v>
      </c>
      <c r="G78" s="2"/>
      <c r="H78" s="6">
        <v>366.62</v>
      </c>
      <c r="I78" s="2"/>
      <c r="J78" s="7">
        <f t="shared" si="49"/>
        <v>0</v>
      </c>
      <c r="K78" s="2"/>
      <c r="L78" s="6">
        <f t="shared" si="50"/>
        <v>-247.55</v>
      </c>
      <c r="M78" s="2"/>
      <c r="N78" s="7">
        <f t="shared" si="51"/>
        <v>-0.67522230102012981</v>
      </c>
      <c r="O78" s="11"/>
      <c r="P78" s="6">
        <v>2779.19</v>
      </c>
      <c r="Q78" s="2"/>
      <c r="R78" s="7">
        <f t="shared" si="52"/>
        <v>0</v>
      </c>
      <c r="S78" s="2"/>
      <c r="T78" s="6">
        <v>782.96</v>
      </c>
      <c r="U78" s="2"/>
      <c r="V78" s="7">
        <f t="shared" si="53"/>
        <v>0</v>
      </c>
      <c r="W78" s="2"/>
      <c r="X78" s="6">
        <f t="shared" si="54"/>
        <v>1996.23</v>
      </c>
      <c r="Y78" s="2"/>
      <c r="Z78" s="7">
        <f t="shared" si="55"/>
        <v>2.5495938489833452</v>
      </c>
    </row>
    <row r="79" spans="1:26" s="29" customFormat="1" outlineLevel="1" collapsed="1" x14ac:dyDescent="0.25">
      <c r="A79" s="27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SUM(OSRRefD22_17x_0)</f>
        <v>2234.73</v>
      </c>
      <c r="E79" s="1"/>
      <c r="F79" s="5">
        <f t="shared" ref="F79:F81" si="56">IF(D$12=0,0,D79/D$12)</f>
        <v>0</v>
      </c>
      <c r="G79" s="1"/>
      <c r="H79" s="1">
        <f>SUM(OSRRefH22_17x_0)</f>
        <v>2546.2000000000003</v>
      </c>
      <c r="I79" s="1"/>
      <c r="J79" s="5">
        <f t="shared" ref="J79:J81" si="57">IF(H$12=0,0,H79/H$12)</f>
        <v>0</v>
      </c>
      <c r="K79" s="1"/>
      <c r="L79" s="1">
        <f t="shared" ref="L79:L81" si="58">+D79-H79</f>
        <v>-311.47000000000025</v>
      </c>
      <c r="M79" s="1"/>
      <c r="N79" s="5">
        <f t="shared" ref="N79:N81" si="59">IF(H79=0,0,L79/H79)</f>
        <v>-0.12232738983583388</v>
      </c>
      <c r="O79" s="14"/>
      <c r="P79" s="1">
        <f>SUM(OSRRefP22_17x_0)</f>
        <v>9277.77</v>
      </c>
      <c r="Q79" s="1"/>
      <c r="R79" s="5">
        <f t="shared" ref="R79:R81" si="60">IF(P$12=0,0,P79/P$12)</f>
        <v>0</v>
      </c>
      <c r="S79" s="1"/>
      <c r="T79" s="1">
        <f>SUM(OSRRefT22_17x_0)</f>
        <v>5914.56</v>
      </c>
      <c r="U79" s="1"/>
      <c r="V79" s="5">
        <f t="shared" ref="V79:V81" si="61">IF(T$12=0,0,T79/T$12)</f>
        <v>0</v>
      </c>
      <c r="W79" s="1"/>
      <c r="X79" s="1">
        <f t="shared" ref="X79:X81" si="62">+P79-T79</f>
        <v>3363.21</v>
      </c>
      <c r="Y79" s="1"/>
      <c r="Z79" s="5">
        <f t="shared" ref="Z79:Z81" si="63">IF(T79=0,0,X79/T79)</f>
        <v>0.56863232429800359</v>
      </c>
    </row>
    <row r="80" spans="1:26" s="24" customFormat="1" hidden="1" outlineLevel="2" x14ac:dyDescent="0.25">
      <c r="A80" s="28"/>
      <c r="B80" s="11" t="str">
        <f>CONCATENATE("          ", "6303", " - ", "DATA PHONE LINES")</f>
        <v xml:space="preserve">          6303 - DATA PHONE LINES</v>
      </c>
      <c r="C80" s="11"/>
      <c r="D80" s="6">
        <v>116.55</v>
      </c>
      <c r="E80" s="2"/>
      <c r="F80" s="7">
        <f t="shared" si="56"/>
        <v>0</v>
      </c>
      <c r="G80" s="2"/>
      <c r="H80" s="6">
        <v>173.9</v>
      </c>
      <c r="I80" s="2"/>
      <c r="J80" s="7">
        <f t="shared" si="57"/>
        <v>0</v>
      </c>
      <c r="K80" s="2"/>
      <c r="L80" s="6">
        <f t="shared" si="58"/>
        <v>-57.350000000000009</v>
      </c>
      <c r="M80" s="2"/>
      <c r="N80" s="7">
        <f t="shared" si="59"/>
        <v>-0.32978723404255322</v>
      </c>
      <c r="O80" s="11"/>
      <c r="P80" s="6">
        <v>507.62</v>
      </c>
      <c r="Q80" s="2"/>
      <c r="R80" s="7">
        <f t="shared" si="60"/>
        <v>0</v>
      </c>
      <c r="S80" s="2"/>
      <c r="T80" s="6">
        <v>521.76</v>
      </c>
      <c r="U80" s="2"/>
      <c r="V80" s="7">
        <f t="shared" si="61"/>
        <v>0</v>
      </c>
      <c r="W80" s="2"/>
      <c r="X80" s="6">
        <f t="shared" si="62"/>
        <v>-14.139999999999986</v>
      </c>
      <c r="Y80" s="2"/>
      <c r="Z80" s="7">
        <f t="shared" si="63"/>
        <v>-2.7100582643360908E-2</v>
      </c>
    </row>
    <row r="81" spans="1:26" s="24" customFormat="1" hidden="1" outlineLevel="2" x14ac:dyDescent="0.25">
      <c r="A81" s="28"/>
      <c r="B81" s="11" t="str">
        <f>CONCATENATE("          ", "6309", " - ", "TELEPHONE")</f>
        <v xml:space="preserve">          6309 - TELEPHONE</v>
      </c>
      <c r="C81" s="11"/>
      <c r="D81" s="6">
        <v>2118.1799999999998</v>
      </c>
      <c r="E81" s="2"/>
      <c r="F81" s="7">
        <f t="shared" si="56"/>
        <v>0</v>
      </c>
      <c r="G81" s="2"/>
      <c r="H81" s="6">
        <v>2372.3000000000002</v>
      </c>
      <c r="I81" s="2"/>
      <c r="J81" s="7">
        <f t="shared" si="57"/>
        <v>0</v>
      </c>
      <c r="K81" s="2"/>
      <c r="L81" s="6">
        <f t="shared" si="58"/>
        <v>-254.12000000000035</v>
      </c>
      <c r="M81" s="2"/>
      <c r="N81" s="7">
        <f t="shared" si="59"/>
        <v>-0.10711967289128707</v>
      </c>
      <c r="O81" s="11"/>
      <c r="P81" s="6">
        <v>8770.15</v>
      </c>
      <c r="Q81" s="2"/>
      <c r="R81" s="7">
        <f t="shared" si="60"/>
        <v>0</v>
      </c>
      <c r="S81" s="2"/>
      <c r="T81" s="6">
        <v>5392.8</v>
      </c>
      <c r="U81" s="2"/>
      <c r="V81" s="7">
        <f t="shared" si="61"/>
        <v>0</v>
      </c>
      <c r="W81" s="2"/>
      <c r="X81" s="6">
        <f t="shared" si="62"/>
        <v>3377.3499999999995</v>
      </c>
      <c r="Y81" s="2"/>
      <c r="Z81" s="7">
        <f t="shared" si="63"/>
        <v>0.62627021213469802</v>
      </c>
    </row>
    <row r="82" spans="1:26" s="29" customFormat="1" outlineLevel="1" collapsed="1" x14ac:dyDescent="0.25">
      <c r="A82" s="27"/>
      <c r="B82" s="14" t="str">
        <f>CONCATENATE("     ","Training                                          ")</f>
        <v xml:space="preserve">     Training                                          </v>
      </c>
      <c r="C82" s="14"/>
      <c r="D82" s="1">
        <f>SUM(OSRRefD22_18x_0)</f>
        <v>463</v>
      </c>
      <c r="E82" s="1"/>
      <c r="F82" s="5">
        <f t="shared" ref="F82:F86" si="64">IF(D$12=0,0,D82/D$12)</f>
        <v>0</v>
      </c>
      <c r="G82" s="1"/>
      <c r="H82" s="1">
        <f>SUM(OSRRefH22_18x_0)</f>
        <v>1323.46</v>
      </c>
      <c r="I82" s="1"/>
      <c r="J82" s="5">
        <f t="shared" ref="J82:J86" si="65">IF(H$12=0,0,H82/H$12)</f>
        <v>0</v>
      </c>
      <c r="K82" s="1"/>
      <c r="L82" s="1">
        <f t="shared" ref="L82:L86" si="66">+D82-H82</f>
        <v>-860.46</v>
      </c>
      <c r="M82" s="1"/>
      <c r="N82" s="5">
        <f t="shared" ref="N82:N86" si="67">IF(H82=0,0,L82/H82)</f>
        <v>-0.65015943058347059</v>
      </c>
      <c r="O82" s="14"/>
      <c r="P82" s="1">
        <f>SUM(OSRRefP22_18x_0)</f>
        <v>5461.98</v>
      </c>
      <c r="Q82" s="1"/>
      <c r="R82" s="5">
        <f t="shared" ref="R82:R86" si="68">IF(P$12=0,0,P82/P$12)</f>
        <v>0</v>
      </c>
      <c r="S82" s="1"/>
      <c r="T82" s="1">
        <f>SUM(OSRRefT22_18x_0)</f>
        <v>16717.75</v>
      </c>
      <c r="U82" s="1"/>
      <c r="V82" s="5">
        <f t="shared" ref="V82:V86" si="69">IF(T$12=0,0,T82/T$12)</f>
        <v>0</v>
      </c>
      <c r="W82" s="1"/>
      <c r="X82" s="1">
        <f t="shared" ref="X82:X86" si="70">+P82-T82</f>
        <v>-11255.77</v>
      </c>
      <c r="Y82" s="1"/>
      <c r="Z82" s="5">
        <f t="shared" ref="Z82:Z86" si="71">IF(T82=0,0,X82/T82)</f>
        <v>-0.67328258886512837</v>
      </c>
    </row>
    <row r="83" spans="1:26" s="24" customFormat="1" hidden="1" outlineLevel="2" x14ac:dyDescent="0.25">
      <c r="A83" s="28"/>
      <c r="B83" s="11" t="str">
        <f>CONCATENATE("          ", "6376", " - ", "TRAINING")</f>
        <v xml:space="preserve">          6376 - TRAINING</v>
      </c>
      <c r="C83" s="11"/>
      <c r="D83" s="6">
        <v>463</v>
      </c>
      <c r="E83" s="2"/>
      <c r="F83" s="7">
        <f t="shared" si="64"/>
        <v>0</v>
      </c>
      <c r="G83" s="2"/>
      <c r="H83" s="6">
        <v>1323.46</v>
      </c>
      <c r="I83" s="2"/>
      <c r="J83" s="7">
        <f t="shared" si="65"/>
        <v>0</v>
      </c>
      <c r="K83" s="2"/>
      <c r="L83" s="6">
        <f t="shared" si="66"/>
        <v>-860.46</v>
      </c>
      <c r="M83" s="2"/>
      <c r="N83" s="7">
        <f t="shared" si="67"/>
        <v>-0.65015943058347059</v>
      </c>
      <c r="O83" s="11"/>
      <c r="P83" s="6">
        <v>5461.98</v>
      </c>
      <c r="Q83" s="2"/>
      <c r="R83" s="7">
        <f t="shared" si="68"/>
        <v>0</v>
      </c>
      <c r="S83" s="2"/>
      <c r="T83" s="6">
        <v>16717.75</v>
      </c>
      <c r="U83" s="2"/>
      <c r="V83" s="7">
        <f t="shared" si="69"/>
        <v>0</v>
      </c>
      <c r="W83" s="2"/>
      <c r="X83" s="6">
        <f t="shared" si="70"/>
        <v>-11255.77</v>
      </c>
      <c r="Y83" s="2"/>
      <c r="Z83" s="7">
        <f t="shared" si="71"/>
        <v>-0.67328258886512837</v>
      </c>
    </row>
    <row r="84" spans="1:26" s="29" customFormat="1" outlineLevel="1" collapsed="1" x14ac:dyDescent="0.25">
      <c r="A84" s="27"/>
      <c r="B84" s="14" t="str">
        <f>CONCATENATE("     ","Travel                                            ")</f>
        <v xml:space="preserve">     Travel                                            </v>
      </c>
      <c r="C84" s="14"/>
      <c r="D84" s="1">
        <f>SUM(OSRRefD22_19x_0)</f>
        <v>856.9</v>
      </c>
      <c r="E84" s="1"/>
      <c r="F84" s="5">
        <f t="shared" si="64"/>
        <v>0</v>
      </c>
      <c r="G84" s="1"/>
      <c r="H84" s="1">
        <f>SUM(OSRRefH22_19x_0)</f>
        <v>559.26</v>
      </c>
      <c r="I84" s="1"/>
      <c r="J84" s="5">
        <f t="shared" si="65"/>
        <v>0</v>
      </c>
      <c r="K84" s="1"/>
      <c r="L84" s="1">
        <f t="shared" si="66"/>
        <v>297.64</v>
      </c>
      <c r="M84" s="1"/>
      <c r="N84" s="5">
        <f t="shared" si="67"/>
        <v>0.53220326860494227</v>
      </c>
      <c r="O84" s="14"/>
      <c r="P84" s="1">
        <f>SUM(OSRRefP22_19x_0)</f>
        <v>5170.32</v>
      </c>
      <c r="Q84" s="1"/>
      <c r="R84" s="5">
        <f t="shared" si="68"/>
        <v>0</v>
      </c>
      <c r="S84" s="1"/>
      <c r="T84" s="1">
        <f>SUM(OSRRefT22_19x_0)</f>
        <v>3981.5200000000004</v>
      </c>
      <c r="U84" s="1"/>
      <c r="V84" s="5">
        <f t="shared" si="69"/>
        <v>0</v>
      </c>
      <c r="W84" s="1"/>
      <c r="X84" s="1">
        <f t="shared" si="70"/>
        <v>1188.7999999999993</v>
      </c>
      <c r="Y84" s="1"/>
      <c r="Z84" s="5">
        <f t="shared" si="71"/>
        <v>0.29857943699893486</v>
      </c>
    </row>
    <row r="85" spans="1:26" s="24" customFormat="1" hidden="1" outlineLevel="2" x14ac:dyDescent="0.25">
      <c r="A85" s="28"/>
      <c r="B85" s="11" t="str">
        <f>CONCATENATE("          ", "6292", " - ", "TRAVEL/CONFERENCE")</f>
        <v xml:space="preserve">          6292 - TRAVEL/CONFERENCE</v>
      </c>
      <c r="C85" s="11"/>
      <c r="D85" s="6">
        <v>856.9</v>
      </c>
      <c r="E85" s="2"/>
      <c r="F85" s="7">
        <f t="shared" si="64"/>
        <v>0</v>
      </c>
      <c r="G85" s="2"/>
      <c r="H85" s="6">
        <v>559.26</v>
      </c>
      <c r="I85" s="2"/>
      <c r="J85" s="7">
        <f t="shared" si="65"/>
        <v>0</v>
      </c>
      <c r="K85" s="2"/>
      <c r="L85" s="6">
        <f t="shared" si="66"/>
        <v>297.64</v>
      </c>
      <c r="M85" s="2"/>
      <c r="N85" s="7">
        <f t="shared" si="67"/>
        <v>0.53220326860494227</v>
      </c>
      <c r="O85" s="11"/>
      <c r="P85" s="6">
        <v>5146.42</v>
      </c>
      <c r="Q85" s="2"/>
      <c r="R85" s="7">
        <f t="shared" si="68"/>
        <v>0</v>
      </c>
      <c r="S85" s="2"/>
      <c r="T85" s="6">
        <v>3957.76</v>
      </c>
      <c r="U85" s="2"/>
      <c r="V85" s="7">
        <f t="shared" si="69"/>
        <v>0</v>
      </c>
      <c r="W85" s="2"/>
      <c r="X85" s="6">
        <f t="shared" si="70"/>
        <v>1188.6599999999999</v>
      </c>
      <c r="Y85" s="2"/>
      <c r="Z85" s="7">
        <f t="shared" si="71"/>
        <v>0.30033655401034925</v>
      </c>
    </row>
    <row r="86" spans="1:26" s="24" customFormat="1" hidden="1" outlineLevel="2" x14ac:dyDescent="0.25">
      <c r="A86" s="28"/>
      <c r="B86" s="11" t="str">
        <f>CONCATENATE("          ", "6294", " - ", "TRAVEL OPERATIONAL")</f>
        <v xml:space="preserve">          6294 - TRAVEL OPERATIONAL</v>
      </c>
      <c r="C86" s="11"/>
      <c r="D86" s="6"/>
      <c r="E86" s="2"/>
      <c r="F86" s="7">
        <f t="shared" si="64"/>
        <v>0</v>
      </c>
      <c r="G86" s="2"/>
      <c r="H86" s="6"/>
      <c r="I86" s="2"/>
      <c r="J86" s="7">
        <f t="shared" si="65"/>
        <v>0</v>
      </c>
      <c r="K86" s="2"/>
      <c r="L86" s="6">
        <f t="shared" si="66"/>
        <v>0</v>
      </c>
      <c r="M86" s="2"/>
      <c r="N86" s="7">
        <f t="shared" si="67"/>
        <v>0</v>
      </c>
      <c r="O86" s="11"/>
      <c r="P86" s="6">
        <v>23.9</v>
      </c>
      <c r="Q86" s="2"/>
      <c r="R86" s="7">
        <f t="shared" si="68"/>
        <v>0</v>
      </c>
      <c r="S86" s="2"/>
      <c r="T86" s="6">
        <v>23.76</v>
      </c>
      <c r="U86" s="2"/>
      <c r="V86" s="7">
        <f t="shared" si="69"/>
        <v>0</v>
      </c>
      <c r="W86" s="2"/>
      <c r="X86" s="6">
        <f t="shared" si="70"/>
        <v>0.13999999999999702</v>
      </c>
      <c r="Y86" s="2"/>
      <c r="Z86" s="7">
        <f t="shared" si="71"/>
        <v>5.8922558922557666E-3</v>
      </c>
    </row>
    <row r="87" spans="1:26" s="53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5" t="s">
        <v>0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6" t="s">
        <v>3</v>
      </c>
      <c r="C90" s="26"/>
      <c r="D90" s="21">
        <f>+D16-D18+D88</f>
        <v>-331728.94</v>
      </c>
      <c r="E90" s="13"/>
      <c r="F90" s="20">
        <f>IF(D$12=0,0,D90/D$12)</f>
        <v>0</v>
      </c>
      <c r="G90" s="13"/>
      <c r="H90" s="21">
        <f>+H16-H18+H88</f>
        <v>-279224.88000000006</v>
      </c>
      <c r="I90" s="13"/>
      <c r="J90" s="20">
        <f>IF(H$12=0,0,H90/H$12)</f>
        <v>0</v>
      </c>
      <c r="K90" s="15"/>
      <c r="L90" s="21">
        <f>+D90-H90</f>
        <v>-52504.059999999939</v>
      </c>
      <c r="M90" s="15"/>
      <c r="N90" s="20">
        <f>IF(H90=0,0,L90/H90)</f>
        <v>0.18803503470034594</v>
      </c>
      <c r="O90" s="25"/>
      <c r="P90" s="21">
        <f>+P16-P18+P88</f>
        <v>-1045557.8000000003</v>
      </c>
      <c r="Q90" s="13"/>
      <c r="R90" s="20">
        <f>IF(P$12=0,0,P90/P$12)</f>
        <v>0</v>
      </c>
      <c r="S90" s="13"/>
      <c r="T90" s="21">
        <f>+T16-T18+T88</f>
        <v>-891671.16999999993</v>
      </c>
      <c r="U90" s="13"/>
      <c r="V90" s="20">
        <f>IF(T$12=0,0,T90/T$12)</f>
        <v>0</v>
      </c>
      <c r="W90" s="15"/>
      <c r="X90" s="21">
        <f>+P90-T90</f>
        <v>-153886.63000000035</v>
      </c>
      <c r="Y90" s="15"/>
      <c r="Z90" s="20">
        <f>IF(T90=0,0,X90/T90)</f>
        <v>0.17258226482751524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1"/>
      <c r="B92" s="10" t="s">
        <v>13</v>
      </c>
      <c r="C92" s="10"/>
      <c r="D92" s="4"/>
      <c r="E92" s="4"/>
      <c r="F92" s="12">
        <f>IF(D$12=0,0,D92/D$12)</f>
        <v>0</v>
      </c>
      <c r="G92" s="4"/>
      <c r="H92" s="4"/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/>
      <c r="Q92" s="4"/>
      <c r="R92" s="12">
        <f>IF(P$12=0,0,P92/P$12)</f>
        <v>0</v>
      </c>
      <c r="S92" s="4"/>
      <c r="T92" s="4"/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6" t="s">
        <v>4</v>
      </c>
      <c r="C94" s="26"/>
      <c r="D94" s="35">
        <f>+D90-D92</f>
        <v>-331728.94</v>
      </c>
      <c r="E94" s="13"/>
      <c r="F94" s="30">
        <f>IF(D$12=0,0,D94/D$12)</f>
        <v>0</v>
      </c>
      <c r="G94" s="13"/>
      <c r="H94" s="35">
        <f>+H90-H92</f>
        <v>-279224.88000000006</v>
      </c>
      <c r="I94" s="13"/>
      <c r="J94" s="30">
        <f>IF(H$12=0,0,H94/H$12)</f>
        <v>0</v>
      </c>
      <c r="K94" s="15"/>
      <c r="L94" s="35">
        <f>D94-H94</f>
        <v>-52504.059999999939</v>
      </c>
      <c r="M94" s="15"/>
      <c r="N94" s="30">
        <f>IF(H94=0,0,L94/H94)</f>
        <v>0.18803503470034594</v>
      </c>
      <c r="O94" s="25"/>
      <c r="P94" s="35">
        <f>+P90-P92</f>
        <v>-1045557.8000000003</v>
      </c>
      <c r="Q94" s="13"/>
      <c r="R94" s="30">
        <f>IF(P$12=0,0,P94/P$12)</f>
        <v>0</v>
      </c>
      <c r="S94" s="13"/>
      <c r="T94" s="35">
        <f>+T90-T92</f>
        <v>-891671.16999999993</v>
      </c>
      <c r="U94" s="13"/>
      <c r="V94" s="30">
        <f>IF(T$12=0,0,T94/T$12)</f>
        <v>0</v>
      </c>
      <c r="W94" s="15"/>
      <c r="X94" s="35">
        <f>P94-T94</f>
        <v>-153886.63000000035</v>
      </c>
      <c r="Y94" s="15"/>
      <c r="Z94" s="30">
        <f>IF(T94=0,0,X94/T94)</f>
        <v>0.17258226482751524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6" t="s">
        <v>5</v>
      </c>
      <c r="C97" s="26"/>
      <c r="D97" s="36">
        <f>SUM(D94:D96)</f>
        <v>-331728.94</v>
      </c>
      <c r="E97" s="13"/>
      <c r="F97" s="31">
        <f>IF(D$12=0,0,D97/D$12)</f>
        <v>0</v>
      </c>
      <c r="G97" s="13"/>
      <c r="H97" s="36">
        <f>SUM(H94:H96)</f>
        <v>-279224.88000000006</v>
      </c>
      <c r="I97" s="13"/>
      <c r="J97" s="31">
        <f>IF(H$12=0,0,H97/H$12)</f>
        <v>0</v>
      </c>
      <c r="K97" s="15"/>
      <c r="L97" s="36">
        <f>+D97-H97</f>
        <v>-52504.059999999939</v>
      </c>
      <c r="M97" s="15"/>
      <c r="N97" s="31">
        <f>IF(H97=0,0,L97/H97)</f>
        <v>0.18803503470034594</v>
      </c>
      <c r="O97" s="25"/>
      <c r="P97" s="36">
        <f>SUM(P94:P96)</f>
        <v>-1045557.8000000003</v>
      </c>
      <c r="Q97" s="13"/>
      <c r="R97" s="31">
        <f>IF(P$12=0,0,P97/P$12)</f>
        <v>0</v>
      </c>
      <c r="S97" s="13"/>
      <c r="T97" s="36">
        <f>SUM(T94:T96)</f>
        <v>-891671.16999999993</v>
      </c>
      <c r="U97" s="13"/>
      <c r="V97" s="31">
        <f>IF(T$12=0,0,T97/T$12)</f>
        <v>0</v>
      </c>
      <c r="W97" s="15"/>
      <c r="X97" s="36">
        <f>+P97-T97</f>
        <v>-153886.63000000035</v>
      </c>
      <c r="Y97" s="15"/>
      <c r="Z97" s="31">
        <f>IF(T97=0,0,X97/T97)</f>
        <v>0.17258226482751524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6" x14ac:dyDescent="0.25">
      <c r="A99" s="9"/>
      <c r="B99" s="55">
        <v>43756.462378819444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56" t="s">
        <v>313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7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","200", " - ", "Corporate Expense")</f>
        <v>Department 200 - Corporate Expense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52222.929999999993</v>
      </c>
      <c r="E18" s="22"/>
      <c r="F18" s="34">
        <f t="shared" ref="F18:F27" si="0">IF(D$12=0,0,D18/D$12)</f>
        <v>0</v>
      </c>
      <c r="G18" s="22"/>
      <c r="H18" s="22">
        <f>SUM(OSRRefH22x_0)</f>
        <v>38615.209999999992</v>
      </c>
      <c r="I18" s="22"/>
      <c r="J18" s="34">
        <f t="shared" ref="J18:J27" si="1">IF(H$12=0,0,H18/H$12)</f>
        <v>0</v>
      </c>
      <c r="K18" s="4"/>
      <c r="L18" s="22">
        <f t="shared" ref="L18:L27" si="2">+D18-H18</f>
        <v>13607.720000000001</v>
      </c>
      <c r="M18" s="4"/>
      <c r="N18" s="34">
        <f t="shared" ref="N18:N27" si="3">IF(H18=0,0,L18/H18)</f>
        <v>0.35239274886760952</v>
      </c>
      <c r="O18" s="10"/>
      <c r="P18" s="22">
        <f>SUM(OSRRefP22x_0)</f>
        <v>129890.79</v>
      </c>
      <c r="Q18" s="22"/>
      <c r="R18" s="34">
        <f t="shared" ref="R18:R27" si="4">IF(P$12=0,0,P18/P$12)</f>
        <v>0</v>
      </c>
      <c r="S18" s="22"/>
      <c r="T18" s="22">
        <f>SUM(OSRRefT22x_0)</f>
        <v>126206.44</v>
      </c>
      <c r="U18" s="22"/>
      <c r="V18" s="34">
        <f t="shared" ref="V18:V27" si="5">IF(T$12=0,0,T18/T$12)</f>
        <v>0</v>
      </c>
      <c r="W18" s="4"/>
      <c r="X18" s="22">
        <f t="shared" ref="X18:X27" si="6">+P18-T18</f>
        <v>3684.3499999999913</v>
      </c>
      <c r="Y18" s="4"/>
      <c r="Z18" s="34">
        <f t="shared" ref="Z18:Z27" si="7">IF(T18=0,0,X18/T18)</f>
        <v>2.9193042763903262E-2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30468.499999999996</v>
      </c>
      <c r="E19" s="1"/>
      <c r="F19" s="5">
        <f t="shared" si="0"/>
        <v>0</v>
      </c>
      <c r="G19" s="1"/>
      <c r="H19" s="1">
        <f>SUM(OSRRefH22_0x_0)</f>
        <v>35277.939999999995</v>
      </c>
      <c r="I19" s="1"/>
      <c r="J19" s="5">
        <f t="shared" si="1"/>
        <v>0</v>
      </c>
      <c r="K19" s="1"/>
      <c r="L19" s="1">
        <f t="shared" si="2"/>
        <v>-4809.4399999999987</v>
      </c>
      <c r="M19" s="1"/>
      <c r="N19" s="5">
        <f t="shared" si="3"/>
        <v>-0.13632995577406162</v>
      </c>
      <c r="O19" s="14"/>
      <c r="P19" s="1">
        <f>SUM(OSRRefP22_0x_0)</f>
        <v>88296.639999999999</v>
      </c>
      <c r="Q19" s="1"/>
      <c r="R19" s="5">
        <f t="shared" si="4"/>
        <v>0</v>
      </c>
      <c r="S19" s="1"/>
      <c r="T19" s="1">
        <f>SUM(OSRRefT22_0x_0)</f>
        <v>103603.62999999999</v>
      </c>
      <c r="U19" s="1"/>
      <c r="V19" s="5">
        <f t="shared" si="5"/>
        <v>0</v>
      </c>
      <c r="W19" s="1"/>
      <c r="X19" s="1">
        <f t="shared" si="6"/>
        <v>-15306.989999999991</v>
      </c>
      <c r="Y19" s="1"/>
      <c r="Z19" s="5">
        <f t="shared" si="7"/>
        <v>-0.14774569192218451</v>
      </c>
    </row>
    <row r="20" spans="1:26" s="24" customFormat="1" hidden="1" outlineLevel="2" x14ac:dyDescent="0.25">
      <c r="A20" s="28"/>
      <c r="B20" s="11" t="str">
        <f>CONCATENATE("          ", "6120", " - ", "RETIREES HEALTH INSURANCE")</f>
        <v xml:space="preserve">          6120 - RETIREES HEALTH INSURANCE</v>
      </c>
      <c r="C20" s="11"/>
      <c r="D20" s="6">
        <v>30468.499999999996</v>
      </c>
      <c r="E20" s="2"/>
      <c r="F20" s="7">
        <f t="shared" si="0"/>
        <v>0</v>
      </c>
      <c r="G20" s="2"/>
      <c r="H20" s="6">
        <v>35277.939999999995</v>
      </c>
      <c r="I20" s="2"/>
      <c r="J20" s="7">
        <f t="shared" si="1"/>
        <v>0</v>
      </c>
      <c r="K20" s="2"/>
      <c r="L20" s="6">
        <f t="shared" si="2"/>
        <v>-4809.4399999999987</v>
      </c>
      <c r="M20" s="2"/>
      <c r="N20" s="7">
        <f t="shared" si="3"/>
        <v>-0.13632995577406162</v>
      </c>
      <c r="O20" s="11"/>
      <c r="P20" s="6">
        <v>88296.639999999999</v>
      </c>
      <c r="Q20" s="2"/>
      <c r="R20" s="7">
        <f t="shared" si="4"/>
        <v>0</v>
      </c>
      <c r="S20" s="2"/>
      <c r="T20" s="6">
        <v>103603.62999999999</v>
      </c>
      <c r="U20" s="2"/>
      <c r="V20" s="7">
        <f t="shared" si="5"/>
        <v>0</v>
      </c>
      <c r="W20" s="2"/>
      <c r="X20" s="6">
        <f t="shared" si="6"/>
        <v>-15306.989999999991</v>
      </c>
      <c r="Y20" s="2"/>
      <c r="Z20" s="7">
        <f t="shared" si="7"/>
        <v>-0.14774569192218451</v>
      </c>
    </row>
    <row r="21" spans="1:26" s="29" customFormat="1" outlineLevel="1" collapsed="1" x14ac:dyDescent="0.25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3165.08</v>
      </c>
      <c r="E21" s="1"/>
      <c r="F21" s="5">
        <f t="shared" si="0"/>
        <v>0</v>
      </c>
      <c r="G21" s="1"/>
      <c r="H21" s="1">
        <f>SUM(OSRRefH22_1x_0)</f>
        <v>-13.93</v>
      </c>
      <c r="I21" s="1"/>
      <c r="J21" s="5">
        <f t="shared" si="1"/>
        <v>0</v>
      </c>
      <c r="K21" s="1"/>
      <c r="L21" s="1">
        <f t="shared" si="2"/>
        <v>3179.0099999999998</v>
      </c>
      <c r="M21" s="1"/>
      <c r="N21" s="5">
        <f t="shared" si="3"/>
        <v>-228.21320890165111</v>
      </c>
      <c r="O21" s="14"/>
      <c r="P21" s="1">
        <f>SUM(OSRRefP22_1x_0)</f>
        <v>6603.12</v>
      </c>
      <c r="Q21" s="1"/>
      <c r="R21" s="5">
        <f t="shared" si="4"/>
        <v>0</v>
      </c>
      <c r="S21" s="1"/>
      <c r="T21" s="1">
        <f>SUM(OSRRefT22_1x_0)</f>
        <v>3010.49</v>
      </c>
      <c r="U21" s="1"/>
      <c r="V21" s="5">
        <f t="shared" si="5"/>
        <v>0</v>
      </c>
      <c r="W21" s="1"/>
      <c r="X21" s="1">
        <f t="shared" si="6"/>
        <v>3592.63</v>
      </c>
      <c r="Y21" s="1"/>
      <c r="Z21" s="5">
        <f t="shared" si="7"/>
        <v>1.1933705144345275</v>
      </c>
    </row>
    <row r="22" spans="1:26" s="24" customFormat="1" hidden="1" outlineLevel="2" x14ac:dyDescent="0.25">
      <c r="A22" s="28"/>
      <c r="B22" s="11" t="str">
        <f>CONCATENATE("          ", "6381", " - ", "BANK/CREDIT CARD FEES")</f>
        <v xml:space="preserve">          6381 - BANK/CREDIT CARD FEES</v>
      </c>
      <c r="C22" s="11"/>
      <c r="D22" s="6">
        <v>3165.08</v>
      </c>
      <c r="E22" s="2"/>
      <c r="F22" s="7">
        <f t="shared" si="0"/>
        <v>0</v>
      </c>
      <c r="G22" s="2"/>
      <c r="H22" s="6">
        <v>-13.93</v>
      </c>
      <c r="I22" s="2"/>
      <c r="J22" s="7">
        <f t="shared" si="1"/>
        <v>0</v>
      </c>
      <c r="K22" s="2"/>
      <c r="L22" s="6">
        <f t="shared" si="2"/>
        <v>3179.0099999999998</v>
      </c>
      <c r="M22" s="2"/>
      <c r="N22" s="7">
        <f t="shared" si="3"/>
        <v>-228.21320890165111</v>
      </c>
      <c r="O22" s="11"/>
      <c r="P22" s="6">
        <v>6603.12</v>
      </c>
      <c r="Q22" s="2"/>
      <c r="R22" s="7">
        <f t="shared" si="4"/>
        <v>0</v>
      </c>
      <c r="S22" s="2"/>
      <c r="T22" s="6">
        <v>3010.49</v>
      </c>
      <c r="U22" s="2"/>
      <c r="V22" s="7">
        <f t="shared" si="5"/>
        <v>0</v>
      </c>
      <c r="W22" s="2"/>
      <c r="X22" s="6">
        <f t="shared" si="6"/>
        <v>3592.63</v>
      </c>
      <c r="Y22" s="2"/>
      <c r="Z22" s="7">
        <f t="shared" si="7"/>
        <v>1.1933705144345275</v>
      </c>
    </row>
    <row r="23" spans="1:26" s="29" customFormat="1" outlineLevel="1" collapsed="1" x14ac:dyDescent="0.25">
      <c r="A23" s="27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3527.11</v>
      </c>
      <c r="E23" s="1"/>
      <c r="F23" s="5">
        <f t="shared" si="0"/>
        <v>0</v>
      </c>
      <c r="G23" s="1"/>
      <c r="H23" s="1">
        <f>SUM(OSRRefH22_2x_0)</f>
        <v>3351.2</v>
      </c>
      <c r="I23" s="1"/>
      <c r="J23" s="5">
        <f t="shared" si="1"/>
        <v>0</v>
      </c>
      <c r="K23" s="1"/>
      <c r="L23" s="1">
        <f t="shared" si="2"/>
        <v>175.91000000000031</v>
      </c>
      <c r="M23" s="1"/>
      <c r="N23" s="5">
        <f t="shared" si="3"/>
        <v>5.2491644783958083E-2</v>
      </c>
      <c r="O23" s="14"/>
      <c r="P23" s="1">
        <f>SUM(OSRRefP22_2x_0)</f>
        <v>8441.7900000000009</v>
      </c>
      <c r="Q23" s="1"/>
      <c r="R23" s="5">
        <f t="shared" si="4"/>
        <v>0</v>
      </c>
      <c r="S23" s="1"/>
      <c r="T23" s="1">
        <f>SUM(OSRRefT22_2x_0)</f>
        <v>8167.07</v>
      </c>
      <c r="U23" s="1"/>
      <c r="V23" s="5">
        <f t="shared" si="5"/>
        <v>0</v>
      </c>
      <c r="W23" s="1"/>
      <c r="X23" s="1">
        <f t="shared" si="6"/>
        <v>274.72000000000116</v>
      </c>
      <c r="Y23" s="1"/>
      <c r="Z23" s="5">
        <f t="shared" si="7"/>
        <v>3.3637522391751405E-2</v>
      </c>
    </row>
    <row r="24" spans="1:26" s="24" customFormat="1" hidden="1" outlineLevel="2" x14ac:dyDescent="0.25">
      <c r="A24" s="28"/>
      <c r="B24" s="11" t="str">
        <f>CONCATENATE("          ", "6397", " - ", "BOARD EXPENSES")</f>
        <v xml:space="preserve">          6397 - BOARD EXPENSES</v>
      </c>
      <c r="C24" s="11"/>
      <c r="D24" s="6">
        <v>3527.11</v>
      </c>
      <c r="E24" s="2"/>
      <c r="F24" s="7">
        <f t="shared" si="0"/>
        <v>0</v>
      </c>
      <c r="G24" s="2"/>
      <c r="H24" s="6">
        <v>3351.2</v>
      </c>
      <c r="I24" s="2"/>
      <c r="J24" s="7">
        <f t="shared" si="1"/>
        <v>0</v>
      </c>
      <c r="K24" s="2"/>
      <c r="L24" s="6">
        <f t="shared" si="2"/>
        <v>175.91000000000031</v>
      </c>
      <c r="M24" s="2"/>
      <c r="N24" s="7">
        <f t="shared" si="3"/>
        <v>5.2491644783958083E-2</v>
      </c>
      <c r="O24" s="11"/>
      <c r="P24" s="6">
        <v>8441.7900000000009</v>
      </c>
      <c r="Q24" s="2"/>
      <c r="R24" s="7">
        <f t="shared" si="4"/>
        <v>0</v>
      </c>
      <c r="S24" s="2"/>
      <c r="T24" s="6">
        <v>8167.07</v>
      </c>
      <c r="U24" s="2"/>
      <c r="V24" s="7">
        <f t="shared" si="5"/>
        <v>0</v>
      </c>
      <c r="W24" s="2"/>
      <c r="X24" s="6">
        <f t="shared" si="6"/>
        <v>274.72000000000116</v>
      </c>
      <c r="Y24" s="2"/>
      <c r="Z24" s="7">
        <f t="shared" si="7"/>
        <v>3.3637522391751405E-2</v>
      </c>
    </row>
    <row r="25" spans="1:26" s="29" customFormat="1" outlineLevel="1" collapsed="1" x14ac:dyDescent="0.25">
      <c r="A25" s="27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15062.24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15062.24</v>
      </c>
      <c r="M25" s="1"/>
      <c r="N25" s="5">
        <f t="shared" si="3"/>
        <v>0</v>
      </c>
      <c r="O25" s="14"/>
      <c r="P25" s="1">
        <f>SUM(OSRRefP22_3x_0)</f>
        <v>26549.239999999998</v>
      </c>
      <c r="Q25" s="1"/>
      <c r="R25" s="5">
        <f t="shared" si="4"/>
        <v>0</v>
      </c>
      <c r="S25" s="1"/>
      <c r="T25" s="1">
        <f>SUM(OSRRefT22_3x_0)</f>
        <v>11425.25</v>
      </c>
      <c r="U25" s="1"/>
      <c r="V25" s="5">
        <f t="shared" si="5"/>
        <v>0</v>
      </c>
      <c r="W25" s="1"/>
      <c r="X25" s="1">
        <f t="shared" si="6"/>
        <v>15123.989999999998</v>
      </c>
      <c r="Y25" s="1"/>
      <c r="Z25" s="5">
        <f t="shared" si="7"/>
        <v>1.323733835145839</v>
      </c>
    </row>
    <row r="26" spans="1:26" s="24" customFormat="1" hidden="1" outlineLevel="2" x14ac:dyDescent="0.25">
      <c r="A26" s="28"/>
      <c r="B26" s="11" t="str">
        <f>CONCATENATE("          ", "6331", " - ", "INDIRECT COSTS-AUXILIARY ORGAN")</f>
        <v xml:space="preserve">          6331 - INDIRECT COSTS-AUXILIARY ORGAN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11487</v>
      </c>
      <c r="Q26" s="2"/>
      <c r="R26" s="7">
        <f t="shared" si="4"/>
        <v>0</v>
      </c>
      <c r="S26" s="2"/>
      <c r="T26" s="6">
        <v>11425.25</v>
      </c>
      <c r="U26" s="2"/>
      <c r="V26" s="7">
        <f t="shared" si="5"/>
        <v>0</v>
      </c>
      <c r="W26" s="2"/>
      <c r="X26" s="6">
        <f t="shared" si="6"/>
        <v>61.75</v>
      </c>
      <c r="Y26" s="2"/>
      <c r="Z26" s="7">
        <f t="shared" si="7"/>
        <v>5.4046957396993505E-3</v>
      </c>
    </row>
    <row r="27" spans="1:26" s="24" customFormat="1" hidden="1" outlineLevel="2" x14ac:dyDescent="0.25">
      <c r="A27" s="28"/>
      <c r="B27" s="11" t="str">
        <f>CONCATENATE("          ", "6332", " - ", "CONSULTANT FEES")</f>
        <v xml:space="preserve">          6332 - CONSULTANT FEES</v>
      </c>
      <c r="C27" s="11"/>
      <c r="D27" s="6">
        <v>15062.24</v>
      </c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15062.24</v>
      </c>
      <c r="M27" s="2"/>
      <c r="N27" s="7">
        <f t="shared" si="3"/>
        <v>0</v>
      </c>
      <c r="O27" s="11"/>
      <c r="P27" s="6">
        <v>15062.24</v>
      </c>
      <c r="Q27" s="2"/>
      <c r="R27" s="7">
        <f t="shared" si="4"/>
        <v>0</v>
      </c>
      <c r="S27" s="2"/>
      <c r="T27" s="6"/>
      <c r="U27" s="2"/>
      <c r="V27" s="7">
        <f t="shared" si="5"/>
        <v>0</v>
      </c>
      <c r="W27" s="2"/>
      <c r="X27" s="6">
        <f t="shared" si="6"/>
        <v>15062.24</v>
      </c>
      <c r="Y27" s="2"/>
      <c r="Z27" s="7">
        <f t="shared" si="7"/>
        <v>0</v>
      </c>
    </row>
    <row r="28" spans="1:26" s="53" customFormat="1" x14ac:dyDescent="0.25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5" t="s">
        <v>0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6" t="s">
        <v>3</v>
      </c>
      <c r="C31" s="26"/>
      <c r="D31" s="21">
        <f>+D16-D18+D29</f>
        <v>-52222.929999999993</v>
      </c>
      <c r="E31" s="13"/>
      <c r="F31" s="20">
        <f>IF(D$12=0,0,D31/D$12)</f>
        <v>0</v>
      </c>
      <c r="G31" s="13"/>
      <c r="H31" s="21">
        <f>+H16-H18+H29</f>
        <v>-38615.209999999992</v>
      </c>
      <c r="I31" s="13"/>
      <c r="J31" s="20">
        <f>IF(H$12=0,0,H31/H$12)</f>
        <v>0</v>
      </c>
      <c r="K31" s="15"/>
      <c r="L31" s="21">
        <f>+D31-H31</f>
        <v>-13607.720000000001</v>
      </c>
      <c r="M31" s="15"/>
      <c r="N31" s="20">
        <f>IF(H31=0,0,L31/H31)</f>
        <v>0.35239274886760952</v>
      </c>
      <c r="O31" s="25"/>
      <c r="P31" s="21">
        <f>+P16-P18+P29</f>
        <v>-129890.79</v>
      </c>
      <c r="Q31" s="13"/>
      <c r="R31" s="20">
        <f>IF(P$12=0,0,P31/P$12)</f>
        <v>0</v>
      </c>
      <c r="S31" s="13"/>
      <c r="T31" s="21">
        <f>+T16-T18+T29</f>
        <v>-126206.44</v>
      </c>
      <c r="U31" s="13"/>
      <c r="V31" s="20">
        <f>IF(T$12=0,0,T31/T$12)</f>
        <v>0</v>
      </c>
      <c r="W31" s="15"/>
      <c r="X31" s="21">
        <f>+P31-T31</f>
        <v>-3684.3499999999913</v>
      </c>
      <c r="Y31" s="15"/>
      <c r="Z31" s="20">
        <f>IF(T31=0,0,X31/T31)</f>
        <v>2.9193042763903262E-2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13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6" t="s">
        <v>4</v>
      </c>
      <c r="C35" s="26"/>
      <c r="D35" s="35">
        <f>+D31-D33</f>
        <v>-52222.929999999993</v>
      </c>
      <c r="E35" s="13"/>
      <c r="F35" s="30">
        <f>IF(D$12=0,0,D35/D$12)</f>
        <v>0</v>
      </c>
      <c r="G35" s="13"/>
      <c r="H35" s="35">
        <f>+H31-H33</f>
        <v>-38615.209999999992</v>
      </c>
      <c r="I35" s="13"/>
      <c r="J35" s="30">
        <f>IF(H$12=0,0,H35/H$12)</f>
        <v>0</v>
      </c>
      <c r="K35" s="15"/>
      <c r="L35" s="35">
        <f>D35-H35</f>
        <v>-13607.720000000001</v>
      </c>
      <c r="M35" s="15"/>
      <c r="N35" s="30">
        <f>IF(H35=0,0,L35/H35)</f>
        <v>0.35239274886760952</v>
      </c>
      <c r="O35" s="25"/>
      <c r="P35" s="35">
        <f>+P31-P33</f>
        <v>-129890.79</v>
      </c>
      <c r="Q35" s="13"/>
      <c r="R35" s="30">
        <f>IF(P$12=0,0,P35/P$12)</f>
        <v>0</v>
      </c>
      <c r="S35" s="13"/>
      <c r="T35" s="35">
        <f>+T31-T33</f>
        <v>-126206.44</v>
      </c>
      <c r="U35" s="13"/>
      <c r="V35" s="30">
        <f>IF(T$12=0,0,T35/T$12)</f>
        <v>0</v>
      </c>
      <c r="W35" s="15"/>
      <c r="X35" s="35">
        <f>P35-T35</f>
        <v>-3684.3499999999913</v>
      </c>
      <c r="Y35" s="15"/>
      <c r="Z35" s="30">
        <f>IF(T35=0,0,X35/T35)</f>
        <v>2.9193042763903262E-2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6" t="s">
        <v>5</v>
      </c>
      <c r="C38" s="26"/>
      <c r="D38" s="36">
        <f>SUM(D35:D37)</f>
        <v>-52222.929999999993</v>
      </c>
      <c r="E38" s="13"/>
      <c r="F38" s="31">
        <f>IF(D$12=0,0,D38/D$12)</f>
        <v>0</v>
      </c>
      <c r="G38" s="13"/>
      <c r="H38" s="36">
        <f>SUM(H35:H37)</f>
        <v>-38615.209999999992</v>
      </c>
      <c r="I38" s="13"/>
      <c r="J38" s="31">
        <f>IF(H$12=0,0,H38/H$12)</f>
        <v>0</v>
      </c>
      <c r="K38" s="15"/>
      <c r="L38" s="36">
        <f>+D38-H38</f>
        <v>-13607.720000000001</v>
      </c>
      <c r="M38" s="15"/>
      <c r="N38" s="31">
        <f>IF(H38=0,0,L38/H38)</f>
        <v>0.35239274886760952</v>
      </c>
      <c r="O38" s="25"/>
      <c r="P38" s="36">
        <f>SUM(P35:P37)</f>
        <v>-129890.79</v>
      </c>
      <c r="Q38" s="13"/>
      <c r="R38" s="31">
        <f>IF(P$12=0,0,P38/P$12)</f>
        <v>0</v>
      </c>
      <c r="S38" s="13"/>
      <c r="T38" s="36">
        <f>SUM(T35:T37)</f>
        <v>-126206.44</v>
      </c>
      <c r="U38" s="13"/>
      <c r="V38" s="31">
        <f>IF(T$12=0,0,T38/T$12)</f>
        <v>0</v>
      </c>
      <c r="W38" s="15"/>
      <c r="X38" s="36">
        <f>+P38-T38</f>
        <v>-3684.3499999999913</v>
      </c>
      <c r="Y38" s="15"/>
      <c r="Z38" s="31">
        <f>IF(T38=0,0,X38/T38)</f>
        <v>2.9193042763903262E-2</v>
      </c>
    </row>
    <row r="39" spans="1:26" ht="15.75" thickTop="1" x14ac:dyDescent="0.25">
      <c r="A39" s="9"/>
      <c r="C39" s="9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5">
        <v>43756.462732789354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6" t="s">
        <v>313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7"/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","201", " - ", "General Manager")</f>
        <v>Department 201 - General Manager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86715.000000000029</v>
      </c>
      <c r="E18" s="22"/>
      <c r="F18" s="34">
        <f t="shared" ref="F18:F28" si="0">IF(D$12=0,0,D18/D$12)</f>
        <v>0</v>
      </c>
      <c r="G18" s="22"/>
      <c r="H18" s="22">
        <f>SUM(OSRRefH22x_0)</f>
        <v>72251.669999999984</v>
      </c>
      <c r="I18" s="22"/>
      <c r="J18" s="34">
        <f t="shared" ref="J18:J28" si="1">IF(H$12=0,0,H18/H$12)</f>
        <v>0</v>
      </c>
      <c r="K18" s="4"/>
      <c r="L18" s="22">
        <f t="shared" ref="L18:L28" si="2">+D18-H18</f>
        <v>14463.330000000045</v>
      </c>
      <c r="M18" s="4"/>
      <c r="N18" s="34">
        <f t="shared" ref="N18:N28" si="3">IF(H18=0,0,L18/H18)</f>
        <v>0.20017987127494838</v>
      </c>
      <c r="O18" s="10"/>
      <c r="P18" s="22">
        <f>SUM(OSRRefP22x_0)</f>
        <v>331588.10000000003</v>
      </c>
      <c r="Q18" s="22"/>
      <c r="R18" s="34">
        <f t="shared" ref="R18:R28" si="4">IF(P$12=0,0,P18/P$12)</f>
        <v>0</v>
      </c>
      <c r="S18" s="22"/>
      <c r="T18" s="22">
        <f>SUM(OSRRefT22x_0)</f>
        <v>244685.34</v>
      </c>
      <c r="U18" s="22"/>
      <c r="V18" s="34">
        <f t="shared" ref="V18:V28" si="5">IF(T$12=0,0,T18/T$12)</f>
        <v>0</v>
      </c>
      <c r="W18" s="4"/>
      <c r="X18" s="22">
        <f t="shared" ref="X18:X28" si="6">+P18-T18</f>
        <v>86902.760000000038</v>
      </c>
      <c r="Y18" s="4"/>
      <c r="Z18" s="34">
        <f t="shared" ref="Z18:Z28" si="7">IF(T18=0,0,X18/T18)</f>
        <v>0.35516128591929552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23077.8</v>
      </c>
      <c r="E19" s="1"/>
      <c r="F19" s="5">
        <f t="shared" si="0"/>
        <v>0</v>
      </c>
      <c r="G19" s="1"/>
      <c r="H19" s="1">
        <f>SUM(OSRRefH22_0x_0)</f>
        <v>14076.31</v>
      </c>
      <c r="I19" s="1"/>
      <c r="J19" s="5">
        <f t="shared" si="1"/>
        <v>0</v>
      </c>
      <c r="K19" s="1"/>
      <c r="L19" s="1">
        <f t="shared" si="2"/>
        <v>9001.49</v>
      </c>
      <c r="M19" s="1"/>
      <c r="N19" s="5">
        <f t="shared" si="3"/>
        <v>0.63947795977781108</v>
      </c>
      <c r="O19" s="14"/>
      <c r="P19" s="1">
        <f>SUM(OSRRefP22_0x_0)</f>
        <v>60383.810000000005</v>
      </c>
      <c r="Q19" s="1"/>
      <c r="R19" s="5">
        <f t="shared" si="4"/>
        <v>0</v>
      </c>
      <c r="S19" s="1"/>
      <c r="T19" s="1">
        <f>SUM(OSRRefT22_0x_0)</f>
        <v>49775.11</v>
      </c>
      <c r="U19" s="1"/>
      <c r="V19" s="5">
        <f t="shared" si="5"/>
        <v>0</v>
      </c>
      <c r="W19" s="1"/>
      <c r="X19" s="1">
        <f t="shared" si="6"/>
        <v>10608.700000000004</v>
      </c>
      <c r="Y19" s="1"/>
      <c r="Z19" s="5">
        <f t="shared" si="7"/>
        <v>0.21313262793392126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1644.4</v>
      </c>
      <c r="E20" s="2"/>
      <c r="F20" s="7">
        <f t="shared" si="0"/>
        <v>0</v>
      </c>
      <c r="G20" s="2"/>
      <c r="H20" s="6">
        <v>1789.75</v>
      </c>
      <c r="I20" s="2"/>
      <c r="J20" s="7">
        <f t="shared" si="1"/>
        <v>0</v>
      </c>
      <c r="K20" s="2"/>
      <c r="L20" s="6">
        <f t="shared" si="2"/>
        <v>-145.34999999999991</v>
      </c>
      <c r="M20" s="2"/>
      <c r="N20" s="7">
        <f t="shared" si="3"/>
        <v>-8.1212459840759837E-2</v>
      </c>
      <c r="O20" s="11"/>
      <c r="P20" s="6">
        <v>7060.6</v>
      </c>
      <c r="Q20" s="2"/>
      <c r="R20" s="7">
        <f t="shared" si="4"/>
        <v>0</v>
      </c>
      <c r="S20" s="2"/>
      <c r="T20" s="6">
        <v>6371.63</v>
      </c>
      <c r="U20" s="2"/>
      <c r="V20" s="7">
        <f t="shared" si="5"/>
        <v>0</v>
      </c>
      <c r="W20" s="2"/>
      <c r="X20" s="6">
        <f t="shared" si="6"/>
        <v>688.97000000000025</v>
      </c>
      <c r="Y20" s="2"/>
      <c r="Z20" s="7">
        <f t="shared" si="7"/>
        <v>0.10813088644506982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121.29</v>
      </c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121.29</v>
      </c>
      <c r="M21" s="2"/>
      <c r="N21" s="7">
        <f t="shared" si="3"/>
        <v>0</v>
      </c>
      <c r="O21" s="11"/>
      <c r="P21" s="6">
        <v>347.8</v>
      </c>
      <c r="Q21" s="2"/>
      <c r="R21" s="7">
        <f t="shared" si="4"/>
        <v>0</v>
      </c>
      <c r="S21" s="2"/>
      <c r="T21" s="6">
        <v>230.75</v>
      </c>
      <c r="U21" s="2"/>
      <c r="V21" s="7">
        <f t="shared" si="5"/>
        <v>0</v>
      </c>
      <c r="W21" s="2"/>
      <c r="X21" s="6">
        <f t="shared" si="6"/>
        <v>117.05000000000001</v>
      </c>
      <c r="Y21" s="2"/>
      <c r="Z21" s="7">
        <f t="shared" si="7"/>
        <v>0.5072589382448538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3849.84</v>
      </c>
      <c r="E22" s="2"/>
      <c r="F22" s="7">
        <f t="shared" si="0"/>
        <v>0</v>
      </c>
      <c r="G22" s="2"/>
      <c r="H22" s="6">
        <v>4962</v>
      </c>
      <c r="I22" s="2"/>
      <c r="J22" s="7">
        <f t="shared" si="1"/>
        <v>0</v>
      </c>
      <c r="K22" s="2"/>
      <c r="L22" s="6">
        <f t="shared" si="2"/>
        <v>-1112.1599999999999</v>
      </c>
      <c r="M22" s="2"/>
      <c r="N22" s="7">
        <f t="shared" si="3"/>
        <v>-0.22413542926239416</v>
      </c>
      <c r="O22" s="11"/>
      <c r="P22" s="6">
        <v>13590.34</v>
      </c>
      <c r="Q22" s="2"/>
      <c r="R22" s="7">
        <f t="shared" si="4"/>
        <v>0</v>
      </c>
      <c r="S22" s="2"/>
      <c r="T22" s="6">
        <v>11835.57</v>
      </c>
      <c r="U22" s="2"/>
      <c r="V22" s="7">
        <f t="shared" si="5"/>
        <v>0</v>
      </c>
      <c r="W22" s="2"/>
      <c r="X22" s="6">
        <f t="shared" si="6"/>
        <v>1754.7700000000004</v>
      </c>
      <c r="Y22" s="2"/>
      <c r="Z22" s="7">
        <f t="shared" si="7"/>
        <v>0.14826239885362516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92.75</v>
      </c>
      <c r="E23" s="2"/>
      <c r="F23" s="7">
        <f t="shared" si="0"/>
        <v>0</v>
      </c>
      <c r="G23" s="2"/>
      <c r="H23" s="6">
        <v>77.86</v>
      </c>
      <c r="I23" s="2"/>
      <c r="J23" s="7">
        <f t="shared" si="1"/>
        <v>0</v>
      </c>
      <c r="K23" s="2"/>
      <c r="L23" s="6">
        <f t="shared" si="2"/>
        <v>14.89</v>
      </c>
      <c r="M23" s="2"/>
      <c r="N23" s="7">
        <f t="shared" si="3"/>
        <v>0.19124068841510405</v>
      </c>
      <c r="O23" s="11"/>
      <c r="P23" s="6">
        <v>265.95999999999998</v>
      </c>
      <c r="Q23" s="2"/>
      <c r="R23" s="7">
        <f t="shared" si="4"/>
        <v>0</v>
      </c>
      <c r="S23" s="2"/>
      <c r="T23" s="6">
        <v>271.39</v>
      </c>
      <c r="U23" s="2"/>
      <c r="V23" s="7">
        <f t="shared" si="5"/>
        <v>0</v>
      </c>
      <c r="W23" s="2"/>
      <c r="X23" s="6">
        <f t="shared" si="6"/>
        <v>-5.4300000000000068</v>
      </c>
      <c r="Y23" s="2"/>
      <c r="Z23" s="7">
        <f t="shared" si="7"/>
        <v>-2.0008106415122174E-2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3460.81</v>
      </c>
      <c r="E24" s="2"/>
      <c r="F24" s="7">
        <f t="shared" si="0"/>
        <v>0</v>
      </c>
      <c r="G24" s="2"/>
      <c r="H24" s="6">
        <v>2800.43</v>
      </c>
      <c r="I24" s="2"/>
      <c r="J24" s="7">
        <f t="shared" si="1"/>
        <v>0</v>
      </c>
      <c r="K24" s="2"/>
      <c r="L24" s="6">
        <f t="shared" si="2"/>
        <v>660.38000000000011</v>
      </c>
      <c r="M24" s="2"/>
      <c r="N24" s="7">
        <f t="shared" si="3"/>
        <v>0.2358137857400471</v>
      </c>
      <c r="O24" s="11"/>
      <c r="P24" s="6">
        <v>9824.77</v>
      </c>
      <c r="Q24" s="2"/>
      <c r="R24" s="7">
        <f t="shared" si="4"/>
        <v>0</v>
      </c>
      <c r="S24" s="2"/>
      <c r="T24" s="6">
        <v>9760.7099999999991</v>
      </c>
      <c r="U24" s="2"/>
      <c r="V24" s="7">
        <f t="shared" si="5"/>
        <v>0</v>
      </c>
      <c r="W24" s="2"/>
      <c r="X24" s="6">
        <f t="shared" si="6"/>
        <v>64.06000000000131</v>
      </c>
      <c r="Y24" s="2"/>
      <c r="Z24" s="7">
        <f t="shared" si="7"/>
        <v>6.5630471553812493E-3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2451.4</v>
      </c>
      <c r="U25" s="2"/>
      <c r="V25" s="7">
        <f t="shared" si="5"/>
        <v>0</v>
      </c>
      <c r="W25" s="2"/>
      <c r="X25" s="6">
        <f t="shared" si="6"/>
        <v>-2451.4</v>
      </c>
      <c r="Y25" s="2"/>
      <c r="Z25" s="7">
        <f t="shared" si="7"/>
        <v>-1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>
        <v>3842.94</v>
      </c>
      <c r="E26" s="2"/>
      <c r="F26" s="7">
        <f t="shared" si="0"/>
        <v>0</v>
      </c>
      <c r="G26" s="2"/>
      <c r="H26" s="6">
        <v>2657.86</v>
      </c>
      <c r="I26" s="2"/>
      <c r="J26" s="7">
        <f t="shared" si="1"/>
        <v>0</v>
      </c>
      <c r="K26" s="2"/>
      <c r="L26" s="6">
        <f t="shared" si="2"/>
        <v>1185.08</v>
      </c>
      <c r="M26" s="2"/>
      <c r="N26" s="7">
        <f t="shared" si="3"/>
        <v>0.44587751047835472</v>
      </c>
      <c r="O26" s="11"/>
      <c r="P26" s="6">
        <v>10833.44</v>
      </c>
      <c r="Q26" s="2"/>
      <c r="R26" s="7">
        <f t="shared" si="4"/>
        <v>0</v>
      </c>
      <c r="S26" s="2"/>
      <c r="T26" s="6">
        <v>9355.15</v>
      </c>
      <c r="U26" s="2"/>
      <c r="V26" s="7">
        <f t="shared" si="5"/>
        <v>0</v>
      </c>
      <c r="W26" s="2"/>
      <c r="X26" s="6">
        <f t="shared" si="6"/>
        <v>1478.2900000000009</v>
      </c>
      <c r="Y26" s="2"/>
      <c r="Z26" s="7">
        <f t="shared" si="7"/>
        <v>0.15801884523497761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>
        <v>9845.61</v>
      </c>
      <c r="E27" s="2"/>
      <c r="F27" s="7">
        <f t="shared" si="0"/>
        <v>0</v>
      </c>
      <c r="G27" s="2"/>
      <c r="H27" s="6">
        <v>1372.84</v>
      </c>
      <c r="I27" s="2"/>
      <c r="J27" s="7">
        <f t="shared" si="1"/>
        <v>0</v>
      </c>
      <c r="K27" s="2"/>
      <c r="L27" s="6">
        <f t="shared" si="2"/>
        <v>8472.77</v>
      </c>
      <c r="M27" s="2"/>
      <c r="N27" s="7">
        <f t="shared" si="3"/>
        <v>6.1717097403921803</v>
      </c>
      <c r="O27" s="11"/>
      <c r="P27" s="6">
        <v>17400.8</v>
      </c>
      <c r="Q27" s="2"/>
      <c r="R27" s="7">
        <f t="shared" si="4"/>
        <v>0</v>
      </c>
      <c r="S27" s="2"/>
      <c r="T27" s="6">
        <v>8286.93</v>
      </c>
      <c r="U27" s="2"/>
      <c r="V27" s="7">
        <f t="shared" si="5"/>
        <v>0</v>
      </c>
      <c r="W27" s="2"/>
      <c r="X27" s="6">
        <f t="shared" si="6"/>
        <v>9113.869999999999</v>
      </c>
      <c r="Y27" s="2"/>
      <c r="Z27" s="7">
        <f t="shared" si="7"/>
        <v>1.0997884620722027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>
        <v>220.16</v>
      </c>
      <c r="E28" s="2"/>
      <c r="F28" s="7">
        <f t="shared" si="0"/>
        <v>0</v>
      </c>
      <c r="G28" s="2"/>
      <c r="H28" s="6">
        <v>415.57</v>
      </c>
      <c r="I28" s="2"/>
      <c r="J28" s="7">
        <f t="shared" si="1"/>
        <v>0</v>
      </c>
      <c r="K28" s="2"/>
      <c r="L28" s="6">
        <f t="shared" si="2"/>
        <v>-195.41</v>
      </c>
      <c r="M28" s="2"/>
      <c r="N28" s="7">
        <f t="shared" si="3"/>
        <v>-0.47022162331255868</v>
      </c>
      <c r="O28" s="11"/>
      <c r="P28" s="6">
        <v>1060.0999999999999</v>
      </c>
      <c r="Q28" s="2"/>
      <c r="R28" s="7">
        <f t="shared" si="4"/>
        <v>0</v>
      </c>
      <c r="S28" s="2"/>
      <c r="T28" s="6">
        <v>1211.58</v>
      </c>
      <c r="U28" s="2"/>
      <c r="V28" s="7">
        <f t="shared" si="5"/>
        <v>0</v>
      </c>
      <c r="W28" s="2"/>
      <c r="X28" s="6">
        <f t="shared" si="6"/>
        <v>-151.48000000000002</v>
      </c>
      <c r="Y28" s="2"/>
      <c r="Z28" s="7">
        <f t="shared" si="7"/>
        <v>-0.12502682447712907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13894.240000000002</v>
      </c>
      <c r="E29" s="1"/>
      <c r="F29" s="5">
        <f t="shared" ref="F29:F32" si="8">IF(D$12=0,0,D29/D$12)</f>
        <v>0</v>
      </c>
      <c r="G29" s="1"/>
      <c r="H29" s="1">
        <f>SUM(OSRRefH22_1x_0)</f>
        <v>27915.18</v>
      </c>
      <c r="I29" s="1"/>
      <c r="J29" s="5">
        <f t="shared" ref="J29:J32" si="9">IF(H$12=0,0,H29/H$12)</f>
        <v>0</v>
      </c>
      <c r="K29" s="1"/>
      <c r="L29" s="1">
        <f t="shared" ref="L29:L32" si="10">+D29-H29</f>
        <v>-14020.939999999999</v>
      </c>
      <c r="M29" s="1"/>
      <c r="N29" s="5">
        <f t="shared" ref="N29:N32" si="11">IF(H29=0,0,L29/H29)</f>
        <v>-0.50226937458400767</v>
      </c>
      <c r="O29" s="14"/>
      <c r="P29" s="1">
        <f>SUM(OSRRefP22_1x_0)</f>
        <v>77881.320000000007</v>
      </c>
      <c r="Q29" s="1"/>
      <c r="R29" s="5">
        <f t="shared" ref="R29:R32" si="12">IF(P$12=0,0,P29/P$12)</f>
        <v>0</v>
      </c>
      <c r="S29" s="1"/>
      <c r="T29" s="1">
        <f>SUM(OSRRefT22_1x_0)</f>
        <v>86091.45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-8210.1299999999901</v>
      </c>
      <c r="Y29" s="1"/>
      <c r="Z29" s="5">
        <f t="shared" ref="Z29:Z32" si="15">IF(T29=0,0,X29/T29)</f>
        <v>-9.536521919424043E-2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6">
        <v>7383.95</v>
      </c>
      <c r="E30" s="2"/>
      <c r="F30" s="7">
        <f t="shared" si="8"/>
        <v>0</v>
      </c>
      <c r="G30" s="2"/>
      <c r="H30" s="6">
        <v>23161.32</v>
      </c>
      <c r="I30" s="2"/>
      <c r="J30" s="7">
        <f t="shared" si="9"/>
        <v>0</v>
      </c>
      <c r="K30" s="2"/>
      <c r="L30" s="6">
        <f t="shared" si="10"/>
        <v>-15777.369999999999</v>
      </c>
      <c r="M30" s="2"/>
      <c r="N30" s="7">
        <f t="shared" si="11"/>
        <v>-0.68119476782843114</v>
      </c>
      <c r="O30" s="11"/>
      <c r="P30" s="6">
        <v>57437.310000000005</v>
      </c>
      <c r="Q30" s="2"/>
      <c r="R30" s="7">
        <f t="shared" si="12"/>
        <v>0</v>
      </c>
      <c r="S30" s="2"/>
      <c r="T30" s="6">
        <v>70641.87</v>
      </c>
      <c r="U30" s="2"/>
      <c r="V30" s="7">
        <f t="shared" si="13"/>
        <v>0</v>
      </c>
      <c r="W30" s="2"/>
      <c r="X30" s="6">
        <f t="shared" si="14"/>
        <v>-13204.55999999999</v>
      </c>
      <c r="Y30" s="2"/>
      <c r="Z30" s="7">
        <f t="shared" si="15"/>
        <v>-0.18692257155706654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6">
        <v>4651.66</v>
      </c>
      <c r="E31" s="2"/>
      <c r="F31" s="7">
        <f t="shared" si="8"/>
        <v>0</v>
      </c>
      <c r="G31" s="2"/>
      <c r="H31" s="6">
        <v>4753.8599999999997</v>
      </c>
      <c r="I31" s="2"/>
      <c r="J31" s="7">
        <f t="shared" si="9"/>
        <v>0</v>
      </c>
      <c r="K31" s="2"/>
      <c r="L31" s="6">
        <f t="shared" si="10"/>
        <v>-102.19999999999982</v>
      </c>
      <c r="M31" s="2"/>
      <c r="N31" s="7">
        <f t="shared" si="11"/>
        <v>-2.149831926055875E-2</v>
      </c>
      <c r="O31" s="11"/>
      <c r="P31" s="6">
        <v>14199.68</v>
      </c>
      <c r="Q31" s="2"/>
      <c r="R31" s="7">
        <f t="shared" si="12"/>
        <v>0</v>
      </c>
      <c r="S31" s="2"/>
      <c r="T31" s="6">
        <v>15449.58</v>
      </c>
      <c r="U31" s="2"/>
      <c r="V31" s="7">
        <f t="shared" si="13"/>
        <v>0</v>
      </c>
      <c r="W31" s="2"/>
      <c r="X31" s="6">
        <f t="shared" si="14"/>
        <v>-1249.8999999999996</v>
      </c>
      <c r="Y31" s="2"/>
      <c r="Z31" s="7">
        <f t="shared" si="15"/>
        <v>-8.0901875649694019E-2</v>
      </c>
    </row>
    <row r="32" spans="1:26" s="24" customFormat="1" hidden="1" outlineLevel="2" x14ac:dyDescent="0.25">
      <c r="A32" s="28"/>
      <c r="B32" s="11" t="str">
        <f>CONCATENATE("          ", "6007", " - ", "STUDENT HOURLY")</f>
        <v xml:space="preserve">          6007 - STUDENT HOURLY</v>
      </c>
      <c r="C32" s="11"/>
      <c r="D32" s="6">
        <v>1858.63</v>
      </c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1858.63</v>
      </c>
      <c r="M32" s="2"/>
      <c r="N32" s="7">
        <f t="shared" si="11"/>
        <v>0</v>
      </c>
      <c r="O32" s="11"/>
      <c r="P32" s="6">
        <v>6244.33</v>
      </c>
      <c r="Q32" s="2"/>
      <c r="R32" s="7">
        <f t="shared" si="12"/>
        <v>0</v>
      </c>
      <c r="S32" s="2"/>
      <c r="T32" s="6"/>
      <c r="U32" s="2"/>
      <c r="V32" s="7">
        <f t="shared" si="13"/>
        <v>0</v>
      </c>
      <c r="W32" s="2"/>
      <c r="X32" s="6">
        <f t="shared" si="14"/>
        <v>6244.33</v>
      </c>
      <c r="Y32" s="2"/>
      <c r="Z32" s="7">
        <f t="shared" si="15"/>
        <v>0</v>
      </c>
    </row>
    <row r="33" spans="1:26" s="29" customFormat="1" outlineLevel="1" collapsed="1" x14ac:dyDescent="0.25">
      <c r="A33" s="27"/>
      <c r="B33" s="14" t="str">
        <f>CONCATENATE("     ","Advertising/Promo                                 ")</f>
        <v xml:space="preserve">     Advertising/Promo                                 </v>
      </c>
      <c r="C33" s="14"/>
      <c r="D33" s="1">
        <f>SUM(OSRRefD22_2x_0)</f>
        <v>16.98</v>
      </c>
      <c r="E33" s="1"/>
      <c r="F33" s="5">
        <f t="shared" ref="F33:F50" si="16">IF(D$12=0,0,D33/D$12)</f>
        <v>0</v>
      </c>
      <c r="G33" s="1"/>
      <c r="H33" s="1">
        <f>SUM(OSRRefH22_2x_0)</f>
        <v>13094.23</v>
      </c>
      <c r="I33" s="1"/>
      <c r="J33" s="5">
        <f t="shared" ref="J33:J50" si="17">IF(H$12=0,0,H33/H$12)</f>
        <v>0</v>
      </c>
      <c r="K33" s="1"/>
      <c r="L33" s="1">
        <f t="shared" ref="L33:L50" si="18">+D33-H33</f>
        <v>-13077.25</v>
      </c>
      <c r="M33" s="1"/>
      <c r="N33" s="5">
        <f t="shared" ref="N33:N50" si="19">IF(H33=0,0,L33/H33)</f>
        <v>-0.99870324562803625</v>
      </c>
      <c r="O33" s="14"/>
      <c r="P33" s="1">
        <f>SUM(OSRRefP22_2x_0)</f>
        <v>11193.89</v>
      </c>
      <c r="Q33" s="1"/>
      <c r="R33" s="5">
        <f t="shared" ref="R33:R50" si="20">IF(P$12=0,0,P33/P$12)</f>
        <v>0</v>
      </c>
      <c r="S33" s="1"/>
      <c r="T33" s="1">
        <f>SUM(OSRRefT22_2x_0)</f>
        <v>42641.56</v>
      </c>
      <c r="U33" s="1"/>
      <c r="V33" s="5">
        <f t="shared" ref="V33:V50" si="21">IF(T$12=0,0,T33/T$12)</f>
        <v>0</v>
      </c>
      <c r="W33" s="1"/>
      <c r="X33" s="1">
        <f t="shared" ref="X33:X50" si="22">+P33-T33</f>
        <v>-31447.67</v>
      </c>
      <c r="Y33" s="1"/>
      <c r="Z33" s="5">
        <f t="shared" ref="Z33:Z50" si="23">IF(T33=0,0,X33/T33)</f>
        <v>-0.73748873165053064</v>
      </c>
    </row>
    <row r="34" spans="1:26" s="24" customFormat="1" hidden="1" outlineLevel="2" x14ac:dyDescent="0.25">
      <c r="A34" s="28"/>
      <c r="B34" s="11" t="str">
        <f>CONCATENATE("          ", "6362", " - ", "ADVERTISING EXPENSE")</f>
        <v xml:space="preserve">          6362 - ADVERTISING EXPENSE</v>
      </c>
      <c r="C34" s="11"/>
      <c r="D34" s="6">
        <v>16.98</v>
      </c>
      <c r="E34" s="2"/>
      <c r="F34" s="7">
        <f t="shared" si="16"/>
        <v>0</v>
      </c>
      <c r="G34" s="2"/>
      <c r="H34" s="6">
        <v>13094.23</v>
      </c>
      <c r="I34" s="2"/>
      <c r="J34" s="7">
        <f t="shared" si="17"/>
        <v>0</v>
      </c>
      <c r="K34" s="2"/>
      <c r="L34" s="6">
        <f t="shared" si="18"/>
        <v>-13077.25</v>
      </c>
      <c r="M34" s="2"/>
      <c r="N34" s="7">
        <f t="shared" si="19"/>
        <v>-0.99870324562803625</v>
      </c>
      <c r="O34" s="11"/>
      <c r="P34" s="6">
        <v>11193.89</v>
      </c>
      <c r="Q34" s="2"/>
      <c r="R34" s="7">
        <f t="shared" si="20"/>
        <v>0</v>
      </c>
      <c r="S34" s="2"/>
      <c r="T34" s="6">
        <v>42641.56</v>
      </c>
      <c r="U34" s="2"/>
      <c r="V34" s="7">
        <f t="shared" si="21"/>
        <v>0</v>
      </c>
      <c r="W34" s="2"/>
      <c r="X34" s="6">
        <f t="shared" si="22"/>
        <v>-31447.67</v>
      </c>
      <c r="Y34" s="2"/>
      <c r="Z34" s="7">
        <f t="shared" si="23"/>
        <v>-0.73748873165053064</v>
      </c>
    </row>
    <row r="35" spans="1:26" s="29" customFormat="1" outlineLevel="1" collapsed="1" x14ac:dyDescent="0.25">
      <c r="A35" s="27"/>
      <c r="B35" s="14" t="str">
        <f>CONCATENATE("     ","Depreciation                                      ")</f>
        <v xml:space="preserve">     Depreciation                                      </v>
      </c>
      <c r="C35" s="14"/>
      <c r="D35" s="1">
        <f>SUM(OSRRefD22_3x_0)</f>
        <v>345.23</v>
      </c>
      <c r="E35" s="1"/>
      <c r="F35" s="5">
        <f t="shared" si="16"/>
        <v>0</v>
      </c>
      <c r="G35" s="1"/>
      <c r="H35" s="1">
        <f>SUM(OSRRefH22_3x_0)</f>
        <v>345.23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SUM(OSRRefP22_3x_0)</f>
        <v>1035.69</v>
      </c>
      <c r="Q35" s="1"/>
      <c r="R35" s="5">
        <f t="shared" si="20"/>
        <v>0</v>
      </c>
      <c r="S35" s="1"/>
      <c r="T35" s="1">
        <f>SUM(OSRRefT22_3x_0)</f>
        <v>1035.69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8"/>
      <c r="B36" s="11" t="str">
        <f>CONCATENATE("          ", "6322", " - ", "EQUIPMENT DEPRECIATION EXPENSE")</f>
        <v xml:space="preserve">          6322 - EQUIPMENT DEPRECIATION EXPENSE</v>
      </c>
      <c r="C36" s="11"/>
      <c r="D36" s="6">
        <v>345.23</v>
      </c>
      <c r="E36" s="2"/>
      <c r="F36" s="7">
        <f t="shared" si="16"/>
        <v>0</v>
      </c>
      <c r="G36" s="2"/>
      <c r="H36" s="6">
        <v>345.23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1035.69</v>
      </c>
      <c r="Q36" s="2"/>
      <c r="R36" s="7">
        <f t="shared" si="20"/>
        <v>0</v>
      </c>
      <c r="S36" s="2"/>
      <c r="T36" s="6">
        <v>1035.69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9" customFormat="1" outlineLevel="1" collapsed="1" x14ac:dyDescent="0.25">
      <c r="A37" s="27"/>
      <c r="B37" s="14" t="str">
        <f>CONCATENATE("     ","Donations                                         ")</f>
        <v xml:space="preserve">     Donations                                         </v>
      </c>
      <c r="C37" s="14"/>
      <c r="D37" s="1">
        <f>SUM(OSRRefD22_4x_0)</f>
        <v>27575</v>
      </c>
      <c r="E37" s="1"/>
      <c r="F37" s="5">
        <f t="shared" si="16"/>
        <v>0</v>
      </c>
      <c r="G37" s="1"/>
      <c r="H37" s="1">
        <f>SUM(OSRRefH22_4x_0)</f>
        <v>10039.69</v>
      </c>
      <c r="I37" s="1"/>
      <c r="J37" s="5">
        <f t="shared" si="17"/>
        <v>0</v>
      </c>
      <c r="K37" s="1"/>
      <c r="L37" s="1">
        <f t="shared" si="18"/>
        <v>17535.309999999998</v>
      </c>
      <c r="M37" s="1"/>
      <c r="N37" s="5">
        <f t="shared" si="19"/>
        <v>1.7465987495629842</v>
      </c>
      <c r="O37" s="14"/>
      <c r="P37" s="1">
        <f>SUM(OSRRefP22_4x_0)</f>
        <v>139243.59999999998</v>
      </c>
      <c r="Q37" s="1"/>
      <c r="R37" s="5">
        <f t="shared" si="20"/>
        <v>0</v>
      </c>
      <c r="S37" s="1"/>
      <c r="T37" s="1">
        <f>SUM(OSRRefT22_4x_0)</f>
        <v>36039.689999999995</v>
      </c>
      <c r="U37" s="1"/>
      <c r="V37" s="5">
        <f t="shared" si="21"/>
        <v>0</v>
      </c>
      <c r="W37" s="1"/>
      <c r="X37" s="1">
        <f t="shared" si="22"/>
        <v>103203.90999999997</v>
      </c>
      <c r="Y37" s="1"/>
      <c r="Z37" s="5">
        <f t="shared" si="23"/>
        <v>2.8636181387797728</v>
      </c>
    </row>
    <row r="38" spans="1:26" s="24" customFormat="1" hidden="1" outlineLevel="2" x14ac:dyDescent="0.25">
      <c r="A38" s="28"/>
      <c r="B38" s="11" t="str">
        <f>CONCATENATE("          ", "6399", " - ", "DONATION-ON CAMPUS")</f>
        <v xml:space="preserve">          6399 - DONATION-ON CAMPUS</v>
      </c>
      <c r="C38" s="11"/>
      <c r="D38" s="6">
        <v>27575</v>
      </c>
      <c r="E38" s="2"/>
      <c r="F38" s="7">
        <f t="shared" si="16"/>
        <v>0</v>
      </c>
      <c r="G38" s="2"/>
      <c r="H38" s="6">
        <v>10039.69</v>
      </c>
      <c r="I38" s="2"/>
      <c r="J38" s="7">
        <f t="shared" si="17"/>
        <v>0</v>
      </c>
      <c r="K38" s="2"/>
      <c r="L38" s="6">
        <f t="shared" si="18"/>
        <v>17535.309999999998</v>
      </c>
      <c r="M38" s="2"/>
      <c r="N38" s="7">
        <f t="shared" si="19"/>
        <v>1.7465987495629842</v>
      </c>
      <c r="O38" s="11"/>
      <c r="P38" s="6">
        <v>139243.59999999998</v>
      </c>
      <c r="Q38" s="2"/>
      <c r="R38" s="7">
        <f t="shared" si="20"/>
        <v>0</v>
      </c>
      <c r="S38" s="2"/>
      <c r="T38" s="6">
        <v>36039.689999999995</v>
      </c>
      <c r="U38" s="2"/>
      <c r="V38" s="7">
        <f t="shared" si="21"/>
        <v>0</v>
      </c>
      <c r="W38" s="2"/>
      <c r="X38" s="6">
        <f t="shared" si="22"/>
        <v>103203.90999999997</v>
      </c>
      <c r="Y38" s="2"/>
      <c r="Z38" s="7">
        <f t="shared" si="23"/>
        <v>2.8636181387797728</v>
      </c>
    </row>
    <row r="39" spans="1:26" s="29" customFormat="1" outlineLevel="1" collapsed="1" x14ac:dyDescent="0.25">
      <c r="A39" s="27"/>
      <c r="B39" s="14" t="str">
        <f>CONCATENATE("     ","Equipment Rental                                  ")</f>
        <v xml:space="preserve">     Equipment Rental                                  </v>
      </c>
      <c r="C39" s="14"/>
      <c r="D39" s="1">
        <f>SUM(OSRRefD22_5x_0)</f>
        <v>117.72</v>
      </c>
      <c r="E39" s="1"/>
      <c r="F39" s="5">
        <f t="shared" si="16"/>
        <v>0</v>
      </c>
      <c r="G39" s="1"/>
      <c r="H39" s="1">
        <f>SUM(OSRRefH22_5x_0)</f>
        <v>117.72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4"/>
      <c r="P39" s="1">
        <f>SUM(OSRRefP22_5x_0)</f>
        <v>353.16</v>
      </c>
      <c r="Q39" s="1"/>
      <c r="R39" s="5">
        <f t="shared" si="20"/>
        <v>0</v>
      </c>
      <c r="S39" s="1"/>
      <c r="T39" s="1">
        <f>SUM(OSRRefT22_5x_0)</f>
        <v>353.16</v>
      </c>
      <c r="U39" s="1"/>
      <c r="V39" s="5">
        <f t="shared" si="21"/>
        <v>0</v>
      </c>
      <c r="W39" s="1"/>
      <c r="X39" s="1">
        <f t="shared" si="22"/>
        <v>0</v>
      </c>
      <c r="Y39" s="1"/>
      <c r="Z39" s="5">
        <f t="shared" si="23"/>
        <v>0</v>
      </c>
    </row>
    <row r="40" spans="1:26" s="24" customFormat="1" hidden="1" outlineLevel="2" x14ac:dyDescent="0.25">
      <c r="A40" s="28"/>
      <c r="B40" s="11" t="str">
        <f>CONCATENATE("          ", "6351", " - ", "EQUIPMENT RENTAL")</f>
        <v xml:space="preserve">          6351 - EQUIPMENT RENTAL</v>
      </c>
      <c r="C40" s="11"/>
      <c r="D40" s="6">
        <v>117.72</v>
      </c>
      <c r="E40" s="2"/>
      <c r="F40" s="7">
        <f t="shared" si="16"/>
        <v>0</v>
      </c>
      <c r="G40" s="2"/>
      <c r="H40" s="6">
        <v>117.72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353.16</v>
      </c>
      <c r="Q40" s="2"/>
      <c r="R40" s="7">
        <f t="shared" si="20"/>
        <v>0</v>
      </c>
      <c r="S40" s="2"/>
      <c r="T40" s="6">
        <v>353.16</v>
      </c>
      <c r="U40" s="2"/>
      <c r="V40" s="7">
        <f t="shared" si="21"/>
        <v>0</v>
      </c>
      <c r="W40" s="2"/>
      <c r="X40" s="6">
        <f t="shared" si="22"/>
        <v>0</v>
      </c>
      <c r="Y40" s="2"/>
      <c r="Z40" s="7">
        <f t="shared" si="23"/>
        <v>0</v>
      </c>
    </row>
    <row r="41" spans="1:26" s="29" customFormat="1" outlineLevel="1" collapsed="1" x14ac:dyDescent="0.25">
      <c r="A41" s="27"/>
      <c r="B41" s="14" t="str">
        <f>CONCATENATE("     ","Freight out/Postage                               ")</f>
        <v xml:space="preserve">     Freight out/Postage                               </v>
      </c>
      <c r="C41" s="14"/>
      <c r="D41" s="1">
        <f>SUM(OSRRefD22_6x_0)</f>
        <v>0.65</v>
      </c>
      <c r="E41" s="1"/>
      <c r="F41" s="5">
        <f t="shared" si="16"/>
        <v>0</v>
      </c>
      <c r="G41" s="1"/>
      <c r="H41" s="1">
        <f>SUM(OSRRefH22_6x_0)</f>
        <v>0</v>
      </c>
      <c r="I41" s="1"/>
      <c r="J41" s="5">
        <f t="shared" si="17"/>
        <v>0</v>
      </c>
      <c r="K41" s="1"/>
      <c r="L41" s="1">
        <f t="shared" si="18"/>
        <v>0.65</v>
      </c>
      <c r="M41" s="1"/>
      <c r="N41" s="5">
        <f t="shared" si="19"/>
        <v>0</v>
      </c>
      <c r="O41" s="14"/>
      <c r="P41" s="1">
        <f>SUM(OSRRefP22_6x_0)</f>
        <v>0.65</v>
      </c>
      <c r="Q41" s="1"/>
      <c r="R41" s="5">
        <f t="shared" si="20"/>
        <v>0</v>
      </c>
      <c r="S41" s="1"/>
      <c r="T41" s="1">
        <f>SUM(OSRRefT22_6x_0)</f>
        <v>1.41</v>
      </c>
      <c r="U41" s="1"/>
      <c r="V41" s="5">
        <f t="shared" si="21"/>
        <v>0</v>
      </c>
      <c r="W41" s="1"/>
      <c r="X41" s="1">
        <f t="shared" si="22"/>
        <v>-0.7599999999999999</v>
      </c>
      <c r="Y41" s="1"/>
      <c r="Z41" s="5">
        <f t="shared" si="23"/>
        <v>-0.53900709219858156</v>
      </c>
    </row>
    <row r="42" spans="1:26" s="24" customFormat="1" hidden="1" outlineLevel="2" x14ac:dyDescent="0.25">
      <c r="A42" s="28"/>
      <c r="B42" s="11" t="str">
        <f>CONCATENATE("          ", "6307", " - ", "POSTAGE")</f>
        <v xml:space="preserve">          6307 - POSTAGE</v>
      </c>
      <c r="C42" s="11"/>
      <c r="D42" s="6">
        <v>0.65</v>
      </c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0.65</v>
      </c>
      <c r="M42" s="2"/>
      <c r="N42" s="7">
        <f t="shared" si="19"/>
        <v>0</v>
      </c>
      <c r="O42" s="11"/>
      <c r="P42" s="6">
        <v>0.65</v>
      </c>
      <c r="Q42" s="2"/>
      <c r="R42" s="7">
        <f t="shared" si="20"/>
        <v>0</v>
      </c>
      <c r="S42" s="2"/>
      <c r="T42" s="6">
        <v>1.41</v>
      </c>
      <c r="U42" s="2"/>
      <c r="V42" s="7">
        <f t="shared" si="21"/>
        <v>0</v>
      </c>
      <c r="W42" s="2"/>
      <c r="X42" s="6">
        <f t="shared" si="22"/>
        <v>-0.7599999999999999</v>
      </c>
      <c r="Y42" s="2"/>
      <c r="Z42" s="7">
        <f t="shared" si="23"/>
        <v>-0.53900709219858156</v>
      </c>
    </row>
    <row r="43" spans="1:26" s="29" customFormat="1" outlineLevel="1" collapsed="1" x14ac:dyDescent="0.25">
      <c r="A43" s="27"/>
      <c r="B43" s="14" t="str">
        <f>CONCATENATE("     ","General                                           ")</f>
        <v xml:space="preserve">     General                                           </v>
      </c>
      <c r="C43" s="14"/>
      <c r="D43" s="1">
        <f>SUM(OSRRefD22_7x_0)</f>
        <v>3300</v>
      </c>
      <c r="E43" s="1"/>
      <c r="F43" s="5">
        <f t="shared" si="16"/>
        <v>0</v>
      </c>
      <c r="G43" s="1"/>
      <c r="H43" s="1">
        <f>SUM(OSRRefH22_7x_0)</f>
        <v>2463</v>
      </c>
      <c r="I43" s="1"/>
      <c r="J43" s="5">
        <f t="shared" si="17"/>
        <v>0</v>
      </c>
      <c r="K43" s="1"/>
      <c r="L43" s="1">
        <f t="shared" si="18"/>
        <v>837</v>
      </c>
      <c r="M43" s="1"/>
      <c r="N43" s="5">
        <f t="shared" si="19"/>
        <v>0.33982947624847748</v>
      </c>
      <c r="O43" s="14"/>
      <c r="P43" s="1">
        <f>SUM(OSRRefP22_7x_0)</f>
        <v>5580.62</v>
      </c>
      <c r="Q43" s="1"/>
      <c r="R43" s="5">
        <f t="shared" si="20"/>
        <v>0</v>
      </c>
      <c r="S43" s="1"/>
      <c r="T43" s="1">
        <f>SUM(OSRRefT22_7x_0)</f>
        <v>10133</v>
      </c>
      <c r="U43" s="1"/>
      <c r="V43" s="5">
        <f t="shared" si="21"/>
        <v>0</v>
      </c>
      <c r="W43" s="1"/>
      <c r="X43" s="1">
        <f t="shared" si="22"/>
        <v>-4552.38</v>
      </c>
      <c r="Y43" s="1"/>
      <c r="Z43" s="5">
        <f t="shared" si="23"/>
        <v>-0.44926280469752294</v>
      </c>
    </row>
    <row r="44" spans="1:26" s="24" customFormat="1" hidden="1" outlineLevel="2" x14ac:dyDescent="0.25">
      <c r="A44" s="28"/>
      <c r="B44" s="11" t="str">
        <f>CONCATENATE("          ", "6279", " - ", "GENERAL EXPENSE")</f>
        <v xml:space="preserve">          6279 - GENERAL EXPENSE</v>
      </c>
      <c r="C44" s="11"/>
      <c r="D44" s="6">
        <v>3300</v>
      </c>
      <c r="E44" s="2"/>
      <c r="F44" s="7">
        <f t="shared" si="16"/>
        <v>0</v>
      </c>
      <c r="G44" s="2"/>
      <c r="H44" s="6">
        <v>2463</v>
      </c>
      <c r="I44" s="2"/>
      <c r="J44" s="7">
        <f t="shared" si="17"/>
        <v>0</v>
      </c>
      <c r="K44" s="2"/>
      <c r="L44" s="6">
        <f t="shared" si="18"/>
        <v>837</v>
      </c>
      <c r="M44" s="2"/>
      <c r="N44" s="7">
        <f t="shared" si="19"/>
        <v>0.33982947624847748</v>
      </c>
      <c r="O44" s="11"/>
      <c r="P44" s="6">
        <v>5580.62</v>
      </c>
      <c r="Q44" s="2"/>
      <c r="R44" s="7">
        <f t="shared" si="20"/>
        <v>0</v>
      </c>
      <c r="S44" s="2"/>
      <c r="T44" s="6">
        <v>10133</v>
      </c>
      <c r="U44" s="2"/>
      <c r="V44" s="7">
        <f t="shared" si="21"/>
        <v>0</v>
      </c>
      <c r="W44" s="2"/>
      <c r="X44" s="6">
        <f t="shared" si="22"/>
        <v>-4552.38</v>
      </c>
      <c r="Y44" s="2"/>
      <c r="Z44" s="7">
        <f t="shared" si="23"/>
        <v>-0.44926280469752294</v>
      </c>
    </row>
    <row r="45" spans="1:26" s="29" customFormat="1" outlineLevel="1" collapsed="1" x14ac:dyDescent="0.25">
      <c r="A45" s="27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SUM(OSRRefD22_8x_0)</f>
        <v>115.13</v>
      </c>
      <c r="E45" s="1"/>
      <c r="F45" s="5">
        <f t="shared" si="16"/>
        <v>0</v>
      </c>
      <c r="G45" s="1"/>
      <c r="H45" s="1">
        <f>SUM(OSRRefH22_8x_0)</f>
        <v>108.47</v>
      </c>
      <c r="I45" s="1"/>
      <c r="J45" s="5">
        <f t="shared" si="17"/>
        <v>0</v>
      </c>
      <c r="K45" s="1"/>
      <c r="L45" s="1">
        <f t="shared" si="18"/>
        <v>6.6599999999999966</v>
      </c>
      <c r="M45" s="1"/>
      <c r="N45" s="5">
        <f t="shared" si="19"/>
        <v>6.139946528994189E-2</v>
      </c>
      <c r="O45" s="14"/>
      <c r="P45" s="1">
        <f>SUM(OSRRefP22_8x_0)</f>
        <v>345.39</v>
      </c>
      <c r="Q45" s="1"/>
      <c r="R45" s="5">
        <f t="shared" si="20"/>
        <v>0</v>
      </c>
      <c r="S45" s="1"/>
      <c r="T45" s="1">
        <f>SUM(OSRRefT22_8x_0)</f>
        <v>325.41000000000003</v>
      </c>
      <c r="U45" s="1"/>
      <c r="V45" s="5">
        <f t="shared" si="21"/>
        <v>0</v>
      </c>
      <c r="W45" s="1"/>
      <c r="X45" s="1">
        <f t="shared" si="22"/>
        <v>19.979999999999961</v>
      </c>
      <c r="Y45" s="1"/>
      <c r="Z45" s="5">
        <f t="shared" si="23"/>
        <v>6.1399465289941793E-2</v>
      </c>
    </row>
    <row r="46" spans="1:26" s="24" customFormat="1" hidden="1" outlineLevel="2" x14ac:dyDescent="0.25">
      <c r="A46" s="28"/>
      <c r="B46" s="11" t="str">
        <f>CONCATENATE("          ", "6314", " - ", "LIABILITY INSURANCE")</f>
        <v xml:space="preserve">          6314 - LIABILITY INSURANCE</v>
      </c>
      <c r="C46" s="11"/>
      <c r="D46" s="6">
        <v>115.13</v>
      </c>
      <c r="E46" s="2"/>
      <c r="F46" s="7">
        <f t="shared" si="16"/>
        <v>0</v>
      </c>
      <c r="G46" s="2"/>
      <c r="H46" s="6">
        <v>108.47</v>
      </c>
      <c r="I46" s="2"/>
      <c r="J46" s="7">
        <f t="shared" si="17"/>
        <v>0</v>
      </c>
      <c r="K46" s="2"/>
      <c r="L46" s="6">
        <f t="shared" si="18"/>
        <v>6.6599999999999966</v>
      </c>
      <c r="M46" s="2"/>
      <c r="N46" s="7">
        <f t="shared" si="19"/>
        <v>6.139946528994189E-2</v>
      </c>
      <c r="O46" s="11"/>
      <c r="P46" s="6">
        <v>345.39</v>
      </c>
      <c r="Q46" s="2"/>
      <c r="R46" s="7">
        <f t="shared" si="20"/>
        <v>0</v>
      </c>
      <c r="S46" s="2"/>
      <c r="T46" s="6">
        <v>325.41000000000003</v>
      </c>
      <c r="U46" s="2"/>
      <c r="V46" s="7">
        <f t="shared" si="21"/>
        <v>0</v>
      </c>
      <c r="W46" s="2"/>
      <c r="X46" s="6">
        <f t="shared" si="22"/>
        <v>19.979999999999961</v>
      </c>
      <c r="Y46" s="2"/>
      <c r="Z46" s="7">
        <f t="shared" si="23"/>
        <v>6.1399465289941793E-2</v>
      </c>
    </row>
    <row r="47" spans="1:26" s="29" customFormat="1" outlineLevel="1" collapsed="1" x14ac:dyDescent="0.25">
      <c r="A47" s="27"/>
      <c r="B47" s="14" t="str">
        <f>CONCATENATE("     ","Professional Services                             ")</f>
        <v xml:space="preserve">     Professional Services                             </v>
      </c>
      <c r="C47" s="14"/>
      <c r="D47" s="1">
        <f>SUM(OSRRefD22_9x_0)</f>
        <v>12000</v>
      </c>
      <c r="E47" s="1"/>
      <c r="F47" s="5">
        <f t="shared" si="16"/>
        <v>0</v>
      </c>
      <c r="G47" s="1"/>
      <c r="H47" s="1">
        <f>SUM(OSRRefH22_9x_0)</f>
        <v>75</v>
      </c>
      <c r="I47" s="1"/>
      <c r="J47" s="5">
        <f t="shared" si="17"/>
        <v>0</v>
      </c>
      <c r="K47" s="1"/>
      <c r="L47" s="1">
        <f t="shared" si="18"/>
        <v>11925</v>
      </c>
      <c r="M47" s="1"/>
      <c r="N47" s="5">
        <f t="shared" si="19"/>
        <v>159</v>
      </c>
      <c r="O47" s="14"/>
      <c r="P47" s="1">
        <f>SUM(OSRRefP22_9x_0)</f>
        <v>17015</v>
      </c>
      <c r="Q47" s="1"/>
      <c r="R47" s="5">
        <f t="shared" si="20"/>
        <v>0</v>
      </c>
      <c r="S47" s="1"/>
      <c r="T47" s="1">
        <f>SUM(OSRRefT22_9x_0)</f>
        <v>5075</v>
      </c>
      <c r="U47" s="1"/>
      <c r="V47" s="5">
        <f t="shared" si="21"/>
        <v>0</v>
      </c>
      <c r="W47" s="1"/>
      <c r="X47" s="1">
        <f t="shared" si="22"/>
        <v>11940</v>
      </c>
      <c r="Y47" s="1"/>
      <c r="Z47" s="5">
        <f t="shared" si="23"/>
        <v>2.3527093596059112</v>
      </c>
    </row>
    <row r="48" spans="1:26" s="24" customFormat="1" hidden="1" outlineLevel="2" x14ac:dyDescent="0.25">
      <c r="A48" s="28"/>
      <c r="B48" s="11" t="str">
        <f>CONCATENATE("          ", "6331", " - ", "INDIRECT COSTS-AUXILIARY ORGAN")</f>
        <v xml:space="preserve">          6331 - INDIRECT COSTS-AUXILIARY ORGAN</v>
      </c>
      <c r="C48" s="11"/>
      <c r="D48" s="6">
        <v>12000</v>
      </c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12000</v>
      </c>
      <c r="M48" s="2"/>
      <c r="N48" s="7">
        <f t="shared" si="19"/>
        <v>0</v>
      </c>
      <c r="O48" s="11"/>
      <c r="P48" s="6">
        <v>12000</v>
      </c>
      <c r="Q48" s="2"/>
      <c r="R48" s="7">
        <f t="shared" si="20"/>
        <v>0</v>
      </c>
      <c r="S48" s="2"/>
      <c r="T48" s="6"/>
      <c r="U48" s="2"/>
      <c r="V48" s="7">
        <f t="shared" si="21"/>
        <v>0</v>
      </c>
      <c r="W48" s="2"/>
      <c r="X48" s="6">
        <f t="shared" si="22"/>
        <v>12000</v>
      </c>
      <c r="Y48" s="2"/>
      <c r="Z48" s="7">
        <f t="shared" si="23"/>
        <v>0</v>
      </c>
    </row>
    <row r="49" spans="1:26" s="24" customFormat="1" hidden="1" outlineLevel="2" x14ac:dyDescent="0.25">
      <c r="A49" s="28"/>
      <c r="B49" s="11" t="str">
        <f>CONCATENATE("          ", "6334", " - ", "LEGAL COUNCIL EXPENSE")</f>
        <v xml:space="preserve">          6334 - LEGAL COUNCIL EXPENSE</v>
      </c>
      <c r="C49" s="11"/>
      <c r="D49" s="6"/>
      <c r="E49" s="2"/>
      <c r="F49" s="7">
        <f t="shared" si="16"/>
        <v>0</v>
      </c>
      <c r="G49" s="2"/>
      <c r="H49" s="6">
        <v>75</v>
      </c>
      <c r="I49" s="2"/>
      <c r="J49" s="7">
        <f t="shared" si="17"/>
        <v>0</v>
      </c>
      <c r="K49" s="2"/>
      <c r="L49" s="6">
        <f t="shared" si="18"/>
        <v>-75</v>
      </c>
      <c r="M49" s="2"/>
      <c r="N49" s="7">
        <f t="shared" si="19"/>
        <v>-1</v>
      </c>
      <c r="O49" s="11"/>
      <c r="P49" s="6">
        <v>15</v>
      </c>
      <c r="Q49" s="2"/>
      <c r="R49" s="7">
        <f t="shared" si="20"/>
        <v>0</v>
      </c>
      <c r="S49" s="2"/>
      <c r="T49" s="6">
        <v>75</v>
      </c>
      <c r="U49" s="2"/>
      <c r="V49" s="7">
        <f t="shared" si="21"/>
        <v>0</v>
      </c>
      <c r="W49" s="2"/>
      <c r="X49" s="6">
        <f t="shared" si="22"/>
        <v>-60</v>
      </c>
      <c r="Y49" s="2"/>
      <c r="Z49" s="7">
        <f t="shared" si="23"/>
        <v>-0.8</v>
      </c>
    </row>
    <row r="50" spans="1:26" s="24" customFormat="1" hidden="1" outlineLevel="2" x14ac:dyDescent="0.25">
      <c r="A50" s="28"/>
      <c r="B50" s="11" t="str">
        <f>CONCATENATE("          ", "6336", " - ", "PROFESSIONAL SERVICES")</f>
        <v xml:space="preserve">          6336 - PROFESSIONAL SERVICES</v>
      </c>
      <c r="C50" s="11"/>
      <c r="D50" s="6"/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0</v>
      </c>
      <c r="M50" s="2"/>
      <c r="N50" s="7">
        <f t="shared" si="19"/>
        <v>0</v>
      </c>
      <c r="O50" s="11"/>
      <c r="P50" s="6">
        <v>5000</v>
      </c>
      <c r="Q50" s="2"/>
      <c r="R50" s="7">
        <f t="shared" si="20"/>
        <v>0</v>
      </c>
      <c r="S50" s="2"/>
      <c r="T50" s="6">
        <v>5000</v>
      </c>
      <c r="U50" s="2"/>
      <c r="V50" s="7">
        <f t="shared" si="21"/>
        <v>0</v>
      </c>
      <c r="W50" s="2"/>
      <c r="X50" s="6">
        <f t="shared" si="22"/>
        <v>0</v>
      </c>
      <c r="Y50" s="2"/>
      <c r="Z50" s="7">
        <f t="shared" si="23"/>
        <v>0</v>
      </c>
    </row>
    <row r="51" spans="1:26" s="29" customFormat="1" outlineLevel="1" collapsed="1" x14ac:dyDescent="0.25">
      <c r="A51" s="27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SUM(OSRRefD22_10x_0)</f>
        <v>4142.49</v>
      </c>
      <c r="E51" s="1"/>
      <c r="F51" s="5">
        <f t="shared" ref="F51:F54" si="24">IF(D$12=0,0,D51/D$12)</f>
        <v>0</v>
      </c>
      <c r="G51" s="1"/>
      <c r="H51" s="1">
        <f>SUM(OSRRefH22_10x_0)</f>
        <v>2382.9</v>
      </c>
      <c r="I51" s="1"/>
      <c r="J51" s="5">
        <f t="shared" ref="J51:J54" si="25">IF(H$12=0,0,H51/H$12)</f>
        <v>0</v>
      </c>
      <c r="K51" s="1"/>
      <c r="L51" s="1">
        <f t="shared" ref="L51:L54" si="26">+D51-H51</f>
        <v>1759.5899999999997</v>
      </c>
      <c r="M51" s="1"/>
      <c r="N51" s="5">
        <f t="shared" ref="N51:N54" si="27">IF(H51=0,0,L51/H51)</f>
        <v>0.73842376935666609</v>
      </c>
      <c r="O51" s="14"/>
      <c r="P51" s="1">
        <f>SUM(OSRRefP22_10x_0)</f>
        <v>11860.57</v>
      </c>
      <c r="Q51" s="1"/>
      <c r="R51" s="5">
        <f t="shared" ref="R51:R54" si="28">IF(P$12=0,0,P51/P$12)</f>
        <v>0</v>
      </c>
      <c r="S51" s="1"/>
      <c r="T51" s="1">
        <f>SUM(OSRRefT22_10x_0)</f>
        <v>7135.61</v>
      </c>
      <c r="U51" s="1"/>
      <c r="V51" s="5">
        <f t="shared" ref="V51:V54" si="29">IF(T$12=0,0,T51/T$12)</f>
        <v>0</v>
      </c>
      <c r="W51" s="1"/>
      <c r="X51" s="1">
        <f t="shared" ref="X51:X54" si="30">+P51-T51</f>
        <v>4724.96</v>
      </c>
      <c r="Y51" s="1"/>
      <c r="Z51" s="5">
        <f t="shared" ref="Z51:Z54" si="31">IF(T51=0,0,X51/T51)</f>
        <v>0.66216623386087525</v>
      </c>
    </row>
    <row r="52" spans="1:26" s="24" customFormat="1" hidden="1" outlineLevel="2" x14ac:dyDescent="0.25">
      <c r="A52" s="28"/>
      <c r="B52" s="11" t="str">
        <f>CONCATENATE("          ", "6371", " - ", "COMPUTER SOFTWARE MAINTENANCE")</f>
        <v xml:space="preserve">          6371 - COMPUTER SOFTWARE MAINTENANCE</v>
      </c>
      <c r="C52" s="11"/>
      <c r="D52" s="6">
        <v>31.58</v>
      </c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31.58</v>
      </c>
      <c r="M52" s="2"/>
      <c r="N52" s="7">
        <f t="shared" si="27"/>
        <v>0</v>
      </c>
      <c r="O52" s="11"/>
      <c r="P52" s="6">
        <v>31.58</v>
      </c>
      <c r="Q52" s="2"/>
      <c r="R52" s="7">
        <f t="shared" si="28"/>
        <v>0</v>
      </c>
      <c r="S52" s="2"/>
      <c r="T52" s="6"/>
      <c r="U52" s="2"/>
      <c r="V52" s="7">
        <f t="shared" si="29"/>
        <v>0</v>
      </c>
      <c r="W52" s="2"/>
      <c r="X52" s="6">
        <f t="shared" si="30"/>
        <v>31.58</v>
      </c>
      <c r="Y52" s="2"/>
      <c r="Z52" s="7">
        <f t="shared" si="31"/>
        <v>0</v>
      </c>
    </row>
    <row r="53" spans="1:26" s="24" customFormat="1" hidden="1" outlineLevel="2" x14ac:dyDescent="0.25">
      <c r="A53" s="28"/>
      <c r="B53" s="11" t="str">
        <f>CONCATENATE("          ", "6373", " - ", "MAINTENANCE CONTRACTS")</f>
        <v xml:space="preserve">          6373 - MAINTENANCE CONTRACTS</v>
      </c>
      <c r="C53" s="11"/>
      <c r="D53" s="6">
        <v>4110.91</v>
      </c>
      <c r="E53" s="2"/>
      <c r="F53" s="7">
        <f t="shared" si="24"/>
        <v>0</v>
      </c>
      <c r="G53" s="2"/>
      <c r="H53" s="6">
        <v>2382.9</v>
      </c>
      <c r="I53" s="2"/>
      <c r="J53" s="7">
        <f t="shared" si="25"/>
        <v>0</v>
      </c>
      <c r="K53" s="2"/>
      <c r="L53" s="6">
        <f t="shared" si="26"/>
        <v>1728.0099999999998</v>
      </c>
      <c r="M53" s="2"/>
      <c r="N53" s="7">
        <f t="shared" si="27"/>
        <v>0.72517101011372687</v>
      </c>
      <c r="O53" s="11"/>
      <c r="P53" s="6">
        <v>11741.24</v>
      </c>
      <c r="Q53" s="2"/>
      <c r="R53" s="7">
        <f t="shared" si="28"/>
        <v>0</v>
      </c>
      <c r="S53" s="2"/>
      <c r="T53" s="6">
        <v>7135.61</v>
      </c>
      <c r="U53" s="2"/>
      <c r="V53" s="7">
        <f t="shared" si="29"/>
        <v>0</v>
      </c>
      <c r="W53" s="2"/>
      <c r="X53" s="6">
        <f t="shared" si="30"/>
        <v>4605.63</v>
      </c>
      <c r="Y53" s="2"/>
      <c r="Z53" s="7">
        <f t="shared" si="31"/>
        <v>0.64544306653530681</v>
      </c>
    </row>
    <row r="54" spans="1:26" s="24" customFormat="1" hidden="1" outlineLevel="2" x14ac:dyDescent="0.25">
      <c r="A54" s="28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>
        <v>87.75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87.75</v>
      </c>
      <c r="Y54" s="2"/>
      <c r="Z54" s="7">
        <f t="shared" si="31"/>
        <v>0</v>
      </c>
    </row>
    <row r="55" spans="1:26" s="29" customFormat="1" outlineLevel="1" collapsed="1" x14ac:dyDescent="0.25">
      <c r="A55" s="27"/>
      <c r="B55" s="14" t="str">
        <f>CONCATENATE("     ","Subscriptions &amp; Dues                              ")</f>
        <v xml:space="preserve">     Subscriptions &amp; Dues                              </v>
      </c>
      <c r="C55" s="14"/>
      <c r="D55" s="1">
        <f>SUM(OSRRefD22_11x_0)</f>
        <v>0</v>
      </c>
      <c r="E55" s="1"/>
      <c r="F55" s="5">
        <f t="shared" ref="F55:F60" si="32">IF(D$12=0,0,D55/D$12)</f>
        <v>0</v>
      </c>
      <c r="G55" s="1"/>
      <c r="H55" s="1">
        <f>SUM(OSRRefH22_11x_0)</f>
        <v>0</v>
      </c>
      <c r="I55" s="1"/>
      <c r="J55" s="5">
        <f t="shared" ref="J55:J60" si="33">IF(H$12=0,0,H55/H$12)</f>
        <v>0</v>
      </c>
      <c r="K55" s="1"/>
      <c r="L55" s="1">
        <f t="shared" ref="L55:L60" si="34">+D55-H55</f>
        <v>0</v>
      </c>
      <c r="M55" s="1"/>
      <c r="N55" s="5">
        <f t="shared" ref="N55:N60" si="35">IF(H55=0,0,L55/H55)</f>
        <v>0</v>
      </c>
      <c r="O55" s="14"/>
      <c r="P55" s="1">
        <f>SUM(OSRRefP22_11x_0)</f>
        <v>1000</v>
      </c>
      <c r="Q55" s="1"/>
      <c r="R55" s="5">
        <f t="shared" ref="R55:R60" si="36">IF(P$12=0,0,P55/P$12)</f>
        <v>0</v>
      </c>
      <c r="S55" s="1"/>
      <c r="T55" s="1">
        <f>SUM(OSRRefT22_11x_0)</f>
        <v>1230</v>
      </c>
      <c r="U55" s="1"/>
      <c r="V55" s="5">
        <f t="shared" ref="V55:V60" si="37">IF(T$12=0,0,T55/T$12)</f>
        <v>0</v>
      </c>
      <c r="W55" s="1"/>
      <c r="X55" s="1">
        <f t="shared" ref="X55:X60" si="38">+P55-T55</f>
        <v>-230</v>
      </c>
      <c r="Y55" s="1"/>
      <c r="Z55" s="5">
        <f t="shared" ref="Z55:Z60" si="39">IF(T55=0,0,X55/T55)</f>
        <v>-0.18699186991869918</v>
      </c>
    </row>
    <row r="56" spans="1:26" s="24" customFormat="1" hidden="1" outlineLevel="2" x14ac:dyDescent="0.25">
      <c r="A56" s="28"/>
      <c r="B56" s="11" t="str">
        <f>CONCATENATE("          ", "6258", " - ", "MEMBERSHIP DUES")</f>
        <v xml:space="preserve">          6258 - MEMBERSHIP DUES</v>
      </c>
      <c r="C56" s="11"/>
      <c r="D56" s="6"/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1"/>
      <c r="P56" s="6">
        <v>1000</v>
      </c>
      <c r="Q56" s="2"/>
      <c r="R56" s="7">
        <f t="shared" si="36"/>
        <v>0</v>
      </c>
      <c r="S56" s="2"/>
      <c r="T56" s="6">
        <v>1230</v>
      </c>
      <c r="U56" s="2"/>
      <c r="V56" s="7">
        <f t="shared" si="37"/>
        <v>0</v>
      </c>
      <c r="W56" s="2"/>
      <c r="X56" s="6">
        <f t="shared" si="38"/>
        <v>-230</v>
      </c>
      <c r="Y56" s="2"/>
      <c r="Z56" s="7">
        <f t="shared" si="39"/>
        <v>-0.18699186991869918</v>
      </c>
    </row>
    <row r="57" spans="1:26" s="29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SUM(OSRRefD22_12x_0)</f>
        <v>1505.9</v>
      </c>
      <c r="E57" s="1"/>
      <c r="F57" s="5">
        <f t="shared" si="32"/>
        <v>0</v>
      </c>
      <c r="G57" s="1"/>
      <c r="H57" s="1">
        <f>SUM(OSRRefH22_12x_0)</f>
        <v>441.07</v>
      </c>
      <c r="I57" s="1"/>
      <c r="J57" s="5">
        <f t="shared" si="33"/>
        <v>0</v>
      </c>
      <c r="K57" s="1"/>
      <c r="L57" s="1">
        <f t="shared" si="34"/>
        <v>1064.8300000000002</v>
      </c>
      <c r="M57" s="1"/>
      <c r="N57" s="5">
        <f t="shared" si="35"/>
        <v>2.4141972929466982</v>
      </c>
      <c r="O57" s="14"/>
      <c r="P57" s="1">
        <f>SUM(OSRRefP22_12x_0)</f>
        <v>1803.6499999999999</v>
      </c>
      <c r="Q57" s="1"/>
      <c r="R57" s="5">
        <f t="shared" si="36"/>
        <v>0</v>
      </c>
      <c r="S57" s="1"/>
      <c r="T57" s="1">
        <f>SUM(OSRRefT22_12x_0)</f>
        <v>848.72</v>
      </c>
      <c r="U57" s="1"/>
      <c r="V57" s="5">
        <f t="shared" si="37"/>
        <v>0</v>
      </c>
      <c r="W57" s="1"/>
      <c r="X57" s="1">
        <f t="shared" si="38"/>
        <v>954.92999999999984</v>
      </c>
      <c r="Y57" s="1"/>
      <c r="Z57" s="5">
        <f t="shared" si="39"/>
        <v>1.1251413893863698</v>
      </c>
    </row>
    <row r="58" spans="1:26" s="24" customFormat="1" hidden="1" outlineLevel="2" x14ac:dyDescent="0.25">
      <c r="A58" s="28"/>
      <c r="B58" s="11" t="str">
        <f>CONCATENATE("          ", "6234", " - ", "EXPENDABLE SUPPLIES &amp; EQUIPMEN")</f>
        <v xml:space="preserve">          6234 - EXPENDABLE SUPPLIES &amp; EQUIPMEN</v>
      </c>
      <c r="C58" s="11"/>
      <c r="D58" s="6">
        <v>217.02</v>
      </c>
      <c r="E58" s="2"/>
      <c r="F58" s="7">
        <f t="shared" si="32"/>
        <v>0</v>
      </c>
      <c r="G58" s="2"/>
      <c r="H58" s="6">
        <v>230.68</v>
      </c>
      <c r="I58" s="2"/>
      <c r="J58" s="7">
        <f t="shared" si="33"/>
        <v>0</v>
      </c>
      <c r="K58" s="2"/>
      <c r="L58" s="6">
        <f t="shared" si="34"/>
        <v>-13.659999999999997</v>
      </c>
      <c r="M58" s="2"/>
      <c r="N58" s="7">
        <f t="shared" si="35"/>
        <v>-5.9216230275706591E-2</v>
      </c>
      <c r="O58" s="11"/>
      <c r="P58" s="6">
        <v>217.02</v>
      </c>
      <c r="Q58" s="2"/>
      <c r="R58" s="7">
        <f t="shared" si="36"/>
        <v>0</v>
      </c>
      <c r="S58" s="2"/>
      <c r="T58" s="6">
        <v>245.03</v>
      </c>
      <c r="U58" s="2"/>
      <c r="V58" s="7">
        <f t="shared" si="37"/>
        <v>0</v>
      </c>
      <c r="W58" s="2"/>
      <c r="X58" s="6">
        <f t="shared" si="38"/>
        <v>-28.009999999999991</v>
      </c>
      <c r="Y58" s="2"/>
      <c r="Z58" s="7">
        <f t="shared" si="39"/>
        <v>-0.11431253315920496</v>
      </c>
    </row>
    <row r="59" spans="1:26" s="24" customFormat="1" hidden="1" outlineLevel="2" x14ac:dyDescent="0.25">
      <c r="A59" s="28"/>
      <c r="B59" s="11" t="str">
        <f>CONCATENATE("          ", "6241", " - ", "OFFICE EXPENSE")</f>
        <v xml:space="preserve">          6241 - OFFICE EXPENSE</v>
      </c>
      <c r="C59" s="11"/>
      <c r="D59" s="6">
        <v>1288.8800000000001</v>
      </c>
      <c r="E59" s="2"/>
      <c r="F59" s="7">
        <f t="shared" si="32"/>
        <v>0</v>
      </c>
      <c r="G59" s="2"/>
      <c r="H59" s="6">
        <v>144.35</v>
      </c>
      <c r="I59" s="2"/>
      <c r="J59" s="7">
        <f t="shared" si="33"/>
        <v>0</v>
      </c>
      <c r="K59" s="2"/>
      <c r="L59" s="6">
        <f t="shared" si="34"/>
        <v>1144.5300000000002</v>
      </c>
      <c r="M59" s="2"/>
      <c r="N59" s="7">
        <f t="shared" si="35"/>
        <v>7.9288534811222737</v>
      </c>
      <c r="O59" s="11"/>
      <c r="P59" s="6">
        <v>1554.77</v>
      </c>
      <c r="Q59" s="2"/>
      <c r="R59" s="7">
        <f t="shared" si="36"/>
        <v>0</v>
      </c>
      <c r="S59" s="2"/>
      <c r="T59" s="6">
        <v>505.79</v>
      </c>
      <c r="U59" s="2"/>
      <c r="V59" s="7">
        <f t="shared" si="37"/>
        <v>0</v>
      </c>
      <c r="W59" s="2"/>
      <c r="X59" s="6">
        <f t="shared" si="38"/>
        <v>1048.98</v>
      </c>
      <c r="Y59" s="2"/>
      <c r="Z59" s="7">
        <f t="shared" si="39"/>
        <v>2.0739437315882085</v>
      </c>
    </row>
    <row r="60" spans="1:26" s="24" customFormat="1" hidden="1" outlineLevel="2" x14ac:dyDescent="0.25">
      <c r="A60" s="28"/>
      <c r="B60" s="11" t="str">
        <f>CONCATENATE("          ", "6245", " - ", "PRINTING")</f>
        <v xml:space="preserve">          6245 - PRINTING</v>
      </c>
      <c r="C60" s="11"/>
      <c r="D60" s="6"/>
      <c r="E60" s="2"/>
      <c r="F60" s="7">
        <f t="shared" si="32"/>
        <v>0</v>
      </c>
      <c r="G60" s="2"/>
      <c r="H60" s="6">
        <v>66.040000000000006</v>
      </c>
      <c r="I60" s="2"/>
      <c r="J60" s="7">
        <f t="shared" si="33"/>
        <v>0</v>
      </c>
      <c r="K60" s="2"/>
      <c r="L60" s="6">
        <f t="shared" si="34"/>
        <v>-66.040000000000006</v>
      </c>
      <c r="M60" s="2"/>
      <c r="N60" s="7">
        <f t="shared" si="35"/>
        <v>-1</v>
      </c>
      <c r="O60" s="11"/>
      <c r="P60" s="6">
        <v>31.86</v>
      </c>
      <c r="Q60" s="2"/>
      <c r="R60" s="7">
        <f t="shared" si="36"/>
        <v>0</v>
      </c>
      <c r="S60" s="2"/>
      <c r="T60" s="6">
        <v>97.9</v>
      </c>
      <c r="U60" s="2"/>
      <c r="V60" s="7">
        <f t="shared" si="37"/>
        <v>0</v>
      </c>
      <c r="W60" s="2"/>
      <c r="X60" s="6">
        <f t="shared" si="38"/>
        <v>-66.040000000000006</v>
      </c>
      <c r="Y60" s="2"/>
      <c r="Z60" s="7">
        <f t="shared" si="39"/>
        <v>-0.67456588355464764</v>
      </c>
    </row>
    <row r="61" spans="1:26" s="29" customFormat="1" outlineLevel="1" collapsed="1" x14ac:dyDescent="0.25">
      <c r="A61" s="27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SUM(OSRRefD22_13x_0)</f>
        <v>450</v>
      </c>
      <c r="E61" s="1"/>
      <c r="F61" s="5">
        <f t="shared" ref="F61:F67" si="40">IF(D$12=0,0,D61/D$12)</f>
        <v>0</v>
      </c>
      <c r="G61" s="1"/>
      <c r="H61" s="1">
        <f>SUM(OSRRefH22_13x_0)</f>
        <v>480.02</v>
      </c>
      <c r="I61" s="1"/>
      <c r="J61" s="5">
        <f t="shared" ref="J61:J67" si="41">IF(H$12=0,0,H61/H$12)</f>
        <v>0</v>
      </c>
      <c r="K61" s="1"/>
      <c r="L61" s="1">
        <f t="shared" ref="L61:L67" si="42">+D61-H61</f>
        <v>-30.019999999999982</v>
      </c>
      <c r="M61" s="1"/>
      <c r="N61" s="5">
        <f t="shared" ref="N61:N67" si="43">IF(H61=0,0,L61/H61)</f>
        <v>-6.2539060872463609E-2</v>
      </c>
      <c r="O61" s="14"/>
      <c r="P61" s="1">
        <f>SUM(OSRRefP22_13x_0)</f>
        <v>909.63</v>
      </c>
      <c r="Q61" s="1"/>
      <c r="R61" s="5">
        <f t="shared" ref="R61:R67" si="44">IF(P$12=0,0,P61/P$12)</f>
        <v>0</v>
      </c>
      <c r="S61" s="1"/>
      <c r="T61" s="1">
        <f>SUM(OSRRefT22_13x_0)</f>
        <v>934.84</v>
      </c>
      <c r="U61" s="1"/>
      <c r="V61" s="5">
        <f t="shared" ref="V61:V67" si="45">IF(T$12=0,0,T61/T$12)</f>
        <v>0</v>
      </c>
      <c r="W61" s="1"/>
      <c r="X61" s="1">
        <f t="shared" ref="X61:X67" si="46">+P61-T61</f>
        <v>-25.210000000000036</v>
      </c>
      <c r="Y61" s="1"/>
      <c r="Z61" s="5">
        <f t="shared" ref="Z61:Z67" si="47">IF(T61=0,0,X61/T61)</f>
        <v>-2.6967181549783958E-2</v>
      </c>
    </row>
    <row r="62" spans="1:26" s="24" customFormat="1" hidden="1" outlineLevel="2" x14ac:dyDescent="0.25">
      <c r="A62" s="28"/>
      <c r="B62" s="11" t="str">
        <f>CONCATENATE("          ", "6309", " - ", "TELEPHONE")</f>
        <v xml:space="preserve">          6309 - TELEPHONE</v>
      </c>
      <c r="C62" s="11"/>
      <c r="D62" s="6">
        <v>450</v>
      </c>
      <c r="E62" s="2"/>
      <c r="F62" s="7">
        <f t="shared" si="40"/>
        <v>0</v>
      </c>
      <c r="G62" s="2"/>
      <c r="H62" s="6">
        <v>480.02</v>
      </c>
      <c r="I62" s="2"/>
      <c r="J62" s="7">
        <f t="shared" si="41"/>
        <v>0</v>
      </c>
      <c r="K62" s="2"/>
      <c r="L62" s="6">
        <f t="shared" si="42"/>
        <v>-30.019999999999982</v>
      </c>
      <c r="M62" s="2"/>
      <c r="N62" s="7">
        <f t="shared" si="43"/>
        <v>-6.2539060872463609E-2</v>
      </c>
      <c r="O62" s="11"/>
      <c r="P62" s="6">
        <v>909.63</v>
      </c>
      <c r="Q62" s="2"/>
      <c r="R62" s="7">
        <f t="shared" si="44"/>
        <v>0</v>
      </c>
      <c r="S62" s="2"/>
      <c r="T62" s="6">
        <v>934.84</v>
      </c>
      <c r="U62" s="2"/>
      <c r="V62" s="7">
        <f t="shared" si="45"/>
        <v>0</v>
      </c>
      <c r="W62" s="2"/>
      <c r="X62" s="6">
        <f t="shared" si="46"/>
        <v>-25.210000000000036</v>
      </c>
      <c r="Y62" s="2"/>
      <c r="Z62" s="7">
        <f t="shared" si="47"/>
        <v>-2.6967181549783958E-2</v>
      </c>
    </row>
    <row r="63" spans="1:26" s="29" customFormat="1" outlineLevel="1" collapsed="1" x14ac:dyDescent="0.25">
      <c r="A63" s="27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SUM(OSRRefD22_14x_0)</f>
        <v>0</v>
      </c>
      <c r="E63" s="1"/>
      <c r="F63" s="5">
        <f t="shared" si="40"/>
        <v>0</v>
      </c>
      <c r="G63" s="1"/>
      <c r="H63" s="1">
        <f>SUM(OSRRefH22_14x_0)</f>
        <v>468.23</v>
      </c>
      <c r="I63" s="1"/>
      <c r="J63" s="5">
        <f t="shared" si="41"/>
        <v>0</v>
      </c>
      <c r="K63" s="1"/>
      <c r="L63" s="1">
        <f t="shared" si="42"/>
        <v>-468.23</v>
      </c>
      <c r="M63" s="1"/>
      <c r="N63" s="5">
        <f t="shared" si="43"/>
        <v>-1</v>
      </c>
      <c r="O63" s="14"/>
      <c r="P63" s="1">
        <f>SUM(OSRRefP22_14x_0)</f>
        <v>0</v>
      </c>
      <c r="Q63" s="1"/>
      <c r="R63" s="5">
        <f t="shared" si="44"/>
        <v>0</v>
      </c>
      <c r="S63" s="1"/>
      <c r="T63" s="1">
        <f>SUM(OSRRefT22_14x_0)</f>
        <v>1630.47</v>
      </c>
      <c r="U63" s="1"/>
      <c r="V63" s="5">
        <f t="shared" si="45"/>
        <v>0</v>
      </c>
      <c r="W63" s="1"/>
      <c r="X63" s="1">
        <f t="shared" si="46"/>
        <v>-1630.47</v>
      </c>
      <c r="Y63" s="1"/>
      <c r="Z63" s="5">
        <f t="shared" si="47"/>
        <v>-1</v>
      </c>
    </row>
    <row r="64" spans="1:26" s="24" customFormat="1" hidden="1" outlineLevel="2" x14ac:dyDescent="0.25">
      <c r="A64" s="28"/>
      <c r="B64" s="11" t="str">
        <f>CONCATENATE("          ", "6376", " - ", "TRAINING")</f>
        <v xml:space="preserve">          6376 - TRAINING</v>
      </c>
      <c r="C64" s="11"/>
      <c r="D64" s="6"/>
      <c r="E64" s="2"/>
      <c r="F64" s="7">
        <f t="shared" si="40"/>
        <v>0</v>
      </c>
      <c r="G64" s="2"/>
      <c r="H64" s="6">
        <v>468.23</v>
      </c>
      <c r="I64" s="2"/>
      <c r="J64" s="7">
        <f t="shared" si="41"/>
        <v>0</v>
      </c>
      <c r="K64" s="2"/>
      <c r="L64" s="6">
        <f t="shared" si="42"/>
        <v>-468.23</v>
      </c>
      <c r="M64" s="2"/>
      <c r="N64" s="7">
        <f t="shared" si="43"/>
        <v>-1</v>
      </c>
      <c r="O64" s="11"/>
      <c r="P64" s="6"/>
      <c r="Q64" s="2"/>
      <c r="R64" s="7">
        <f t="shared" si="44"/>
        <v>0</v>
      </c>
      <c r="S64" s="2"/>
      <c r="T64" s="6">
        <v>1630.47</v>
      </c>
      <c r="U64" s="2"/>
      <c r="V64" s="7">
        <f t="shared" si="45"/>
        <v>0</v>
      </c>
      <c r="W64" s="2"/>
      <c r="X64" s="6">
        <f t="shared" si="46"/>
        <v>-1630.47</v>
      </c>
      <c r="Y64" s="2"/>
      <c r="Z64" s="7">
        <f t="shared" si="47"/>
        <v>-1</v>
      </c>
    </row>
    <row r="65" spans="1:26" s="29" customFormat="1" outlineLevel="1" collapsed="1" x14ac:dyDescent="0.25">
      <c r="A65" s="27"/>
      <c r="B65" s="14" t="str">
        <f>CONCATENATE("     ","Travel                                            ")</f>
        <v xml:space="preserve">     Travel                                            </v>
      </c>
      <c r="C65" s="14"/>
      <c r="D65" s="1">
        <f>SUM(OSRRefD22_15x_0)</f>
        <v>173.86</v>
      </c>
      <c r="E65" s="1"/>
      <c r="F65" s="5">
        <f t="shared" si="40"/>
        <v>0</v>
      </c>
      <c r="G65" s="1"/>
      <c r="H65" s="1">
        <f>SUM(OSRRefH22_15x_0)</f>
        <v>244.62</v>
      </c>
      <c r="I65" s="1"/>
      <c r="J65" s="5">
        <f t="shared" si="41"/>
        <v>0</v>
      </c>
      <c r="K65" s="1"/>
      <c r="L65" s="1">
        <f t="shared" si="42"/>
        <v>-70.759999999999991</v>
      </c>
      <c r="M65" s="1"/>
      <c r="N65" s="5">
        <f t="shared" si="43"/>
        <v>-0.28926498242171528</v>
      </c>
      <c r="O65" s="14"/>
      <c r="P65" s="1">
        <f>SUM(OSRRefP22_15x_0)</f>
        <v>2981.12</v>
      </c>
      <c r="Q65" s="1"/>
      <c r="R65" s="5">
        <f t="shared" si="44"/>
        <v>0</v>
      </c>
      <c r="S65" s="1"/>
      <c r="T65" s="1">
        <f>SUM(OSRRefT22_15x_0)</f>
        <v>1434.22</v>
      </c>
      <c r="U65" s="1"/>
      <c r="V65" s="5">
        <f t="shared" si="45"/>
        <v>0</v>
      </c>
      <c r="W65" s="1"/>
      <c r="X65" s="1">
        <f t="shared" si="46"/>
        <v>1546.8999999999999</v>
      </c>
      <c r="Y65" s="1"/>
      <c r="Z65" s="5">
        <f t="shared" si="47"/>
        <v>1.0785653525958359</v>
      </c>
    </row>
    <row r="66" spans="1:26" s="24" customFormat="1" hidden="1" outlineLevel="2" x14ac:dyDescent="0.25">
      <c r="A66" s="28"/>
      <c r="B66" s="11" t="str">
        <f>CONCATENATE("          ", "6292", " - ", "TRAVEL/CONFERENCE")</f>
        <v xml:space="preserve">          6292 - TRAVEL/CONFERENCE</v>
      </c>
      <c r="C66" s="11"/>
      <c r="D66" s="6">
        <v>173.86</v>
      </c>
      <c r="E66" s="2"/>
      <c r="F66" s="7">
        <f t="shared" si="40"/>
        <v>0</v>
      </c>
      <c r="G66" s="2"/>
      <c r="H66" s="6">
        <v>244.62</v>
      </c>
      <c r="I66" s="2"/>
      <c r="J66" s="7">
        <f t="shared" si="41"/>
        <v>0</v>
      </c>
      <c r="K66" s="2"/>
      <c r="L66" s="6">
        <f t="shared" si="42"/>
        <v>-70.759999999999991</v>
      </c>
      <c r="M66" s="2"/>
      <c r="N66" s="7">
        <f t="shared" si="43"/>
        <v>-0.28926498242171528</v>
      </c>
      <c r="O66" s="11"/>
      <c r="P66" s="6">
        <v>2981.12</v>
      </c>
      <c r="Q66" s="2"/>
      <c r="R66" s="7">
        <f t="shared" si="44"/>
        <v>0</v>
      </c>
      <c r="S66" s="2"/>
      <c r="T66" s="6">
        <v>1410.46</v>
      </c>
      <c r="U66" s="2"/>
      <c r="V66" s="7">
        <f t="shared" si="45"/>
        <v>0</v>
      </c>
      <c r="W66" s="2"/>
      <c r="X66" s="6">
        <f t="shared" si="46"/>
        <v>1570.6599999999999</v>
      </c>
      <c r="Y66" s="2"/>
      <c r="Z66" s="7">
        <f t="shared" si="47"/>
        <v>1.1135799668193354</v>
      </c>
    </row>
    <row r="67" spans="1:26" s="24" customFormat="1" hidden="1" outlineLevel="2" x14ac:dyDescent="0.25">
      <c r="A67" s="28"/>
      <c r="B67" s="11" t="str">
        <f>CONCATENATE("          ", "6294", " - ", "TRAVEL OPERATIONAL")</f>
        <v xml:space="preserve">          6294 - TRAVEL OPERATIONAL</v>
      </c>
      <c r="C67" s="11"/>
      <c r="D67" s="6"/>
      <c r="E67" s="2"/>
      <c r="F67" s="7">
        <f t="shared" si="40"/>
        <v>0</v>
      </c>
      <c r="G67" s="2"/>
      <c r="H67" s="6"/>
      <c r="I67" s="2"/>
      <c r="J67" s="7">
        <f t="shared" si="41"/>
        <v>0</v>
      </c>
      <c r="K67" s="2"/>
      <c r="L67" s="6">
        <f t="shared" si="42"/>
        <v>0</v>
      </c>
      <c r="M67" s="2"/>
      <c r="N67" s="7">
        <f t="shared" si="43"/>
        <v>0</v>
      </c>
      <c r="O67" s="11"/>
      <c r="P67" s="6"/>
      <c r="Q67" s="2"/>
      <c r="R67" s="7">
        <f t="shared" si="44"/>
        <v>0</v>
      </c>
      <c r="S67" s="2"/>
      <c r="T67" s="6">
        <v>23.76</v>
      </c>
      <c r="U67" s="2"/>
      <c r="V67" s="7">
        <f t="shared" si="45"/>
        <v>0</v>
      </c>
      <c r="W67" s="2"/>
      <c r="X67" s="6">
        <f t="shared" si="46"/>
        <v>-23.76</v>
      </c>
      <c r="Y67" s="2"/>
      <c r="Z67" s="7">
        <f t="shared" si="47"/>
        <v>-1</v>
      </c>
    </row>
    <row r="68" spans="1:26" s="53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5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6" t="s">
        <v>3</v>
      </c>
      <c r="C71" s="26"/>
      <c r="D71" s="21">
        <f>+D16-D18+D69</f>
        <v>-86715.000000000029</v>
      </c>
      <c r="E71" s="13"/>
      <c r="F71" s="20">
        <f>IF(D$12=0,0,D71/D$12)</f>
        <v>0</v>
      </c>
      <c r="G71" s="13"/>
      <c r="H71" s="21">
        <f>+H16-H18+H69</f>
        <v>-72251.669999999984</v>
      </c>
      <c r="I71" s="13"/>
      <c r="J71" s="20">
        <f>IF(H$12=0,0,H71/H$12)</f>
        <v>0</v>
      </c>
      <c r="K71" s="15"/>
      <c r="L71" s="21">
        <f>+D71-H71</f>
        <v>-14463.330000000045</v>
      </c>
      <c r="M71" s="15"/>
      <c r="N71" s="20">
        <f>IF(H71=0,0,L71/H71)</f>
        <v>0.20017987127494838</v>
      </c>
      <c r="O71" s="25"/>
      <c r="P71" s="21">
        <f>+P16-P18+P69</f>
        <v>-331588.10000000003</v>
      </c>
      <c r="Q71" s="13"/>
      <c r="R71" s="20">
        <f>IF(P$12=0,0,P71/P$12)</f>
        <v>0</v>
      </c>
      <c r="S71" s="13"/>
      <c r="T71" s="21">
        <f>+T16-T18+T69</f>
        <v>-244685.34</v>
      </c>
      <c r="U71" s="13"/>
      <c r="V71" s="20">
        <f>IF(T$12=0,0,T71/T$12)</f>
        <v>0</v>
      </c>
      <c r="W71" s="15"/>
      <c r="X71" s="21">
        <f>+P71-T71</f>
        <v>-86902.760000000038</v>
      </c>
      <c r="Y71" s="15"/>
      <c r="Z71" s="20">
        <f>IF(T71=0,0,X71/T71)</f>
        <v>0.35516128591929552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4</v>
      </c>
      <c r="C75" s="26"/>
      <c r="D75" s="35">
        <f>+D71-D73</f>
        <v>-86715.000000000029</v>
      </c>
      <c r="E75" s="13"/>
      <c r="F75" s="30">
        <f>IF(D$12=0,0,D75/D$12)</f>
        <v>0</v>
      </c>
      <c r="G75" s="13"/>
      <c r="H75" s="35">
        <f>+H71-H73</f>
        <v>-72251.669999999984</v>
      </c>
      <c r="I75" s="13"/>
      <c r="J75" s="30">
        <f>IF(H$12=0,0,H75/H$12)</f>
        <v>0</v>
      </c>
      <c r="K75" s="15"/>
      <c r="L75" s="35">
        <f>D75-H75</f>
        <v>-14463.330000000045</v>
      </c>
      <c r="M75" s="15"/>
      <c r="N75" s="30">
        <f>IF(H75=0,0,L75/H75)</f>
        <v>0.20017987127494838</v>
      </c>
      <c r="O75" s="25"/>
      <c r="P75" s="35">
        <f>+P71-P73</f>
        <v>-331588.10000000003</v>
      </c>
      <c r="Q75" s="13"/>
      <c r="R75" s="30">
        <f>IF(P$12=0,0,P75/P$12)</f>
        <v>0</v>
      </c>
      <c r="S75" s="13"/>
      <c r="T75" s="35">
        <f>+T71-T73</f>
        <v>-244685.34</v>
      </c>
      <c r="U75" s="13"/>
      <c r="V75" s="30">
        <f>IF(T$12=0,0,T75/T$12)</f>
        <v>0</v>
      </c>
      <c r="W75" s="15"/>
      <c r="X75" s="35">
        <f>P75-T75</f>
        <v>-86902.760000000038</v>
      </c>
      <c r="Y75" s="15"/>
      <c r="Z75" s="30">
        <f>IF(T75=0,0,X75/T75)</f>
        <v>0.35516128591929552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5</v>
      </c>
      <c r="C78" s="26"/>
      <c r="D78" s="36">
        <f>SUM(D75:D77)</f>
        <v>-86715.000000000029</v>
      </c>
      <c r="E78" s="13"/>
      <c r="F78" s="31">
        <f>IF(D$12=0,0,D78/D$12)</f>
        <v>0</v>
      </c>
      <c r="G78" s="13"/>
      <c r="H78" s="36">
        <f>SUM(H75:H77)</f>
        <v>-72251.669999999984</v>
      </c>
      <c r="I78" s="13"/>
      <c r="J78" s="31">
        <f>IF(H$12=0,0,H78/H$12)</f>
        <v>0</v>
      </c>
      <c r="K78" s="15"/>
      <c r="L78" s="36">
        <f>+D78-H78</f>
        <v>-14463.330000000045</v>
      </c>
      <c r="M78" s="15"/>
      <c r="N78" s="31">
        <f>IF(H78=0,0,L78/H78)</f>
        <v>0.20017987127494838</v>
      </c>
      <c r="O78" s="25"/>
      <c r="P78" s="36">
        <f>SUM(P75:P77)</f>
        <v>-331588.10000000003</v>
      </c>
      <c r="Q78" s="13"/>
      <c r="R78" s="31">
        <f>IF(P$12=0,0,P78/P$12)</f>
        <v>0</v>
      </c>
      <c r="S78" s="13"/>
      <c r="T78" s="36">
        <f>SUM(T75:T77)</f>
        <v>-244685.34</v>
      </c>
      <c r="U78" s="13"/>
      <c r="V78" s="31">
        <f>IF(T$12=0,0,T78/T$12)</f>
        <v>0</v>
      </c>
      <c r="W78" s="15"/>
      <c r="X78" s="36">
        <f>+P78-T78</f>
        <v>-86902.760000000038</v>
      </c>
      <c r="Y78" s="15"/>
      <c r="Z78" s="31">
        <f>IF(T78=0,0,X78/T78)</f>
        <v>0.35516128591929552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5">
        <v>43756.462747951387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6" t="s">
        <v>313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7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","202", " - ", "Accounting")</f>
        <v>Department 202 - Accounting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48851.63</v>
      </c>
      <c r="E18" s="22"/>
      <c r="F18" s="34">
        <f t="shared" ref="F18:F27" si="0">IF(D$12=0,0,D18/D$12)</f>
        <v>0</v>
      </c>
      <c r="G18" s="22"/>
      <c r="H18" s="22">
        <f>SUM(OSRRefH22x_0)</f>
        <v>46401.919999999998</v>
      </c>
      <c r="I18" s="22"/>
      <c r="J18" s="34">
        <f t="shared" ref="J18:J27" si="1">IF(H$12=0,0,H18/H$12)</f>
        <v>0</v>
      </c>
      <c r="K18" s="4"/>
      <c r="L18" s="22">
        <f t="shared" ref="L18:L27" si="2">+D18-H18</f>
        <v>2449.7099999999991</v>
      </c>
      <c r="M18" s="4"/>
      <c r="N18" s="34">
        <f t="shared" ref="N18:N27" si="3">IF(H18=0,0,L18/H18)</f>
        <v>5.2793289588017031E-2</v>
      </c>
      <c r="O18" s="10"/>
      <c r="P18" s="22">
        <f>SUM(OSRRefP22x_0)</f>
        <v>150268.91</v>
      </c>
      <c r="Q18" s="22"/>
      <c r="R18" s="34">
        <f t="shared" ref="R18:R27" si="4">IF(P$12=0,0,P18/P$12)</f>
        <v>0</v>
      </c>
      <c r="S18" s="22"/>
      <c r="T18" s="22">
        <f>SUM(OSRRefT22x_0)</f>
        <v>139791.45000000004</v>
      </c>
      <c r="U18" s="22"/>
      <c r="V18" s="34">
        <f t="shared" ref="V18:V27" si="5">IF(T$12=0,0,T18/T$12)</f>
        <v>0</v>
      </c>
      <c r="W18" s="4"/>
      <c r="X18" s="22">
        <f t="shared" ref="X18:X27" si="6">+P18-T18</f>
        <v>10477.459999999963</v>
      </c>
      <c r="Y18" s="4"/>
      <c r="Z18" s="34">
        <f t="shared" ref="Z18:Z27" si="7">IF(T18=0,0,X18/T18)</f>
        <v>7.4950649699963484E-2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14293.33</v>
      </c>
      <c r="E19" s="1"/>
      <c r="F19" s="5">
        <f t="shared" si="0"/>
        <v>0</v>
      </c>
      <c r="G19" s="1"/>
      <c r="H19" s="1">
        <f>SUM(OSRRefH22_0x_0)</f>
        <v>14230.51</v>
      </c>
      <c r="I19" s="1"/>
      <c r="J19" s="5">
        <f t="shared" si="1"/>
        <v>0</v>
      </c>
      <c r="K19" s="1"/>
      <c r="L19" s="1">
        <f t="shared" si="2"/>
        <v>62.819999999999709</v>
      </c>
      <c r="M19" s="1"/>
      <c r="N19" s="5">
        <f t="shared" si="3"/>
        <v>4.414458793114211E-3</v>
      </c>
      <c r="O19" s="14"/>
      <c r="P19" s="1">
        <f>SUM(OSRRefP22_0x_0)</f>
        <v>46141.429999999993</v>
      </c>
      <c r="Q19" s="1"/>
      <c r="R19" s="5">
        <f t="shared" si="4"/>
        <v>0</v>
      </c>
      <c r="S19" s="1"/>
      <c r="T19" s="1">
        <f>SUM(OSRRefT22_0x_0)</f>
        <v>42910.89</v>
      </c>
      <c r="U19" s="1"/>
      <c r="V19" s="5">
        <f t="shared" si="5"/>
        <v>0</v>
      </c>
      <c r="W19" s="1"/>
      <c r="X19" s="1">
        <f t="shared" si="6"/>
        <v>3230.5399999999936</v>
      </c>
      <c r="Y19" s="1"/>
      <c r="Z19" s="5">
        <f t="shared" si="7"/>
        <v>7.528485193385627E-2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2097.94</v>
      </c>
      <c r="E20" s="2"/>
      <c r="F20" s="7">
        <f t="shared" si="0"/>
        <v>0</v>
      </c>
      <c r="G20" s="2"/>
      <c r="H20" s="6">
        <v>1899.89</v>
      </c>
      <c r="I20" s="2"/>
      <c r="J20" s="7">
        <f t="shared" si="1"/>
        <v>0</v>
      </c>
      <c r="K20" s="2"/>
      <c r="L20" s="6">
        <f t="shared" si="2"/>
        <v>198.04999999999995</v>
      </c>
      <c r="M20" s="2"/>
      <c r="N20" s="7">
        <f t="shared" si="3"/>
        <v>0.1042428772192074</v>
      </c>
      <c r="O20" s="11"/>
      <c r="P20" s="6">
        <v>6191.83</v>
      </c>
      <c r="Q20" s="2"/>
      <c r="R20" s="7">
        <f t="shared" si="4"/>
        <v>0</v>
      </c>
      <c r="S20" s="2"/>
      <c r="T20" s="6">
        <v>5973.17</v>
      </c>
      <c r="U20" s="2"/>
      <c r="V20" s="7">
        <f t="shared" si="5"/>
        <v>0</v>
      </c>
      <c r="W20" s="2"/>
      <c r="X20" s="6">
        <f t="shared" si="6"/>
        <v>218.65999999999985</v>
      </c>
      <c r="Y20" s="2"/>
      <c r="Z20" s="7">
        <f t="shared" si="7"/>
        <v>3.6607027759129551E-2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103.78</v>
      </c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103.78</v>
      </c>
      <c r="M21" s="2"/>
      <c r="N21" s="7">
        <f t="shared" si="3"/>
        <v>0</v>
      </c>
      <c r="O21" s="11"/>
      <c r="P21" s="6">
        <v>302.31</v>
      </c>
      <c r="Q21" s="2"/>
      <c r="R21" s="7">
        <f t="shared" si="4"/>
        <v>0</v>
      </c>
      <c r="S21" s="2"/>
      <c r="T21" s="6">
        <v>207.08</v>
      </c>
      <c r="U21" s="2"/>
      <c r="V21" s="7">
        <f t="shared" si="5"/>
        <v>0</v>
      </c>
      <c r="W21" s="2"/>
      <c r="X21" s="6">
        <f t="shared" si="6"/>
        <v>95.22999999999999</v>
      </c>
      <c r="Y21" s="2"/>
      <c r="Z21" s="7">
        <f t="shared" si="7"/>
        <v>0.45987058141780945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5942.02</v>
      </c>
      <c r="E22" s="2"/>
      <c r="F22" s="7">
        <f t="shared" si="0"/>
        <v>0</v>
      </c>
      <c r="G22" s="2"/>
      <c r="H22" s="6">
        <v>6952.65</v>
      </c>
      <c r="I22" s="2"/>
      <c r="J22" s="7">
        <f t="shared" si="1"/>
        <v>0</v>
      </c>
      <c r="K22" s="2"/>
      <c r="L22" s="6">
        <f t="shared" si="2"/>
        <v>-1010.6299999999992</v>
      </c>
      <c r="M22" s="2"/>
      <c r="N22" s="7">
        <f t="shared" si="3"/>
        <v>-0.14535896384831673</v>
      </c>
      <c r="O22" s="11"/>
      <c r="P22" s="6">
        <v>17826.060000000001</v>
      </c>
      <c r="Q22" s="2"/>
      <c r="R22" s="7">
        <f t="shared" si="4"/>
        <v>0</v>
      </c>
      <c r="S22" s="2"/>
      <c r="T22" s="6">
        <v>16505.2</v>
      </c>
      <c r="U22" s="2"/>
      <c r="V22" s="7">
        <f t="shared" si="5"/>
        <v>0</v>
      </c>
      <c r="W22" s="2"/>
      <c r="X22" s="6">
        <f t="shared" si="6"/>
        <v>1320.8600000000006</v>
      </c>
      <c r="Y22" s="2"/>
      <c r="Z22" s="7">
        <f t="shared" si="7"/>
        <v>8.0026900613140134E-2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79.36</v>
      </c>
      <c r="E23" s="2"/>
      <c r="F23" s="7">
        <f t="shared" si="0"/>
        <v>0</v>
      </c>
      <c r="G23" s="2"/>
      <c r="H23" s="6">
        <v>75.010000000000005</v>
      </c>
      <c r="I23" s="2"/>
      <c r="J23" s="7">
        <f t="shared" si="1"/>
        <v>0</v>
      </c>
      <c r="K23" s="2"/>
      <c r="L23" s="6">
        <f t="shared" si="2"/>
        <v>4.3499999999999943</v>
      </c>
      <c r="M23" s="2"/>
      <c r="N23" s="7">
        <f t="shared" si="3"/>
        <v>5.7992267697640237E-2</v>
      </c>
      <c r="O23" s="11"/>
      <c r="P23" s="6">
        <v>231.17</v>
      </c>
      <c r="Q23" s="2"/>
      <c r="R23" s="7">
        <f t="shared" si="4"/>
        <v>0</v>
      </c>
      <c r="S23" s="2"/>
      <c r="T23" s="6">
        <v>248.69</v>
      </c>
      <c r="U23" s="2"/>
      <c r="V23" s="7">
        <f t="shared" si="5"/>
        <v>0</v>
      </c>
      <c r="W23" s="2"/>
      <c r="X23" s="6">
        <f t="shared" si="6"/>
        <v>-17.52000000000001</v>
      </c>
      <c r="Y23" s="2"/>
      <c r="Z23" s="7">
        <f t="shared" si="7"/>
        <v>-7.0449153564678957E-2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2196.79</v>
      </c>
      <c r="E24" s="2"/>
      <c r="F24" s="7">
        <f t="shared" si="0"/>
        <v>0</v>
      </c>
      <c r="G24" s="2"/>
      <c r="H24" s="6">
        <v>1889.43</v>
      </c>
      <c r="I24" s="2"/>
      <c r="J24" s="7">
        <f t="shared" si="1"/>
        <v>0</v>
      </c>
      <c r="K24" s="2"/>
      <c r="L24" s="6">
        <f t="shared" si="2"/>
        <v>307.3599999999999</v>
      </c>
      <c r="M24" s="2"/>
      <c r="N24" s="7">
        <f t="shared" si="3"/>
        <v>0.1626733988557395</v>
      </c>
      <c r="O24" s="11"/>
      <c r="P24" s="6">
        <v>6590.37</v>
      </c>
      <c r="Q24" s="2"/>
      <c r="R24" s="7">
        <f t="shared" si="4"/>
        <v>0</v>
      </c>
      <c r="S24" s="2"/>
      <c r="T24" s="6">
        <v>6585.48</v>
      </c>
      <c r="U24" s="2"/>
      <c r="V24" s="7">
        <f t="shared" si="5"/>
        <v>0</v>
      </c>
      <c r="W24" s="2"/>
      <c r="X24" s="6">
        <f t="shared" si="6"/>
        <v>4.8900000000003274</v>
      </c>
      <c r="Y24" s="2"/>
      <c r="Z24" s="7">
        <f t="shared" si="7"/>
        <v>7.4254268481573516E-4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6">
        <v>1866.76</v>
      </c>
      <c r="E25" s="2"/>
      <c r="F25" s="7">
        <f t="shared" si="0"/>
        <v>0</v>
      </c>
      <c r="G25" s="2"/>
      <c r="H25" s="6">
        <v>1618.22</v>
      </c>
      <c r="I25" s="2"/>
      <c r="J25" s="7">
        <f t="shared" si="1"/>
        <v>0</v>
      </c>
      <c r="K25" s="2"/>
      <c r="L25" s="6">
        <f t="shared" si="2"/>
        <v>248.53999999999996</v>
      </c>
      <c r="M25" s="2"/>
      <c r="N25" s="7">
        <f t="shared" si="3"/>
        <v>0.15358851083289043</v>
      </c>
      <c r="O25" s="11"/>
      <c r="P25" s="6">
        <v>6474.7</v>
      </c>
      <c r="Q25" s="2"/>
      <c r="R25" s="7">
        <f t="shared" si="4"/>
        <v>0</v>
      </c>
      <c r="S25" s="2"/>
      <c r="T25" s="6">
        <v>5732.67</v>
      </c>
      <c r="U25" s="2"/>
      <c r="V25" s="7">
        <f t="shared" si="5"/>
        <v>0</v>
      </c>
      <c r="W25" s="2"/>
      <c r="X25" s="6">
        <f t="shared" si="6"/>
        <v>742.02999999999975</v>
      </c>
      <c r="Y25" s="2"/>
      <c r="Z25" s="7">
        <f t="shared" si="7"/>
        <v>0.12943881297894344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6">
        <v>1152.2</v>
      </c>
      <c r="E26" s="2"/>
      <c r="F26" s="7">
        <f t="shared" si="0"/>
        <v>0</v>
      </c>
      <c r="G26" s="2"/>
      <c r="H26" s="6">
        <v>1049.96</v>
      </c>
      <c r="I26" s="2"/>
      <c r="J26" s="7">
        <f t="shared" si="1"/>
        <v>0</v>
      </c>
      <c r="K26" s="2"/>
      <c r="L26" s="6">
        <f t="shared" si="2"/>
        <v>102.24000000000001</v>
      </c>
      <c r="M26" s="2"/>
      <c r="N26" s="7">
        <f t="shared" si="3"/>
        <v>9.7375138100499067E-2</v>
      </c>
      <c r="O26" s="11"/>
      <c r="P26" s="6">
        <v>6239.31</v>
      </c>
      <c r="Q26" s="2"/>
      <c r="R26" s="7">
        <f t="shared" si="4"/>
        <v>0</v>
      </c>
      <c r="S26" s="2"/>
      <c r="T26" s="6">
        <v>5429.08</v>
      </c>
      <c r="U26" s="2"/>
      <c r="V26" s="7">
        <f t="shared" si="5"/>
        <v>0</v>
      </c>
      <c r="W26" s="2"/>
      <c r="X26" s="6">
        <f t="shared" si="6"/>
        <v>810.23000000000047</v>
      </c>
      <c r="Y26" s="2"/>
      <c r="Z26" s="7">
        <f t="shared" si="7"/>
        <v>0.14923891340705986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6">
        <v>854.48</v>
      </c>
      <c r="E27" s="2"/>
      <c r="F27" s="7">
        <f t="shared" si="0"/>
        <v>0</v>
      </c>
      <c r="G27" s="2"/>
      <c r="H27" s="6">
        <v>745.35</v>
      </c>
      <c r="I27" s="2"/>
      <c r="J27" s="7">
        <f t="shared" si="1"/>
        <v>0</v>
      </c>
      <c r="K27" s="2"/>
      <c r="L27" s="6">
        <f t="shared" si="2"/>
        <v>109.13</v>
      </c>
      <c r="M27" s="2"/>
      <c r="N27" s="7">
        <f t="shared" si="3"/>
        <v>0.14641443617092639</v>
      </c>
      <c r="O27" s="11"/>
      <c r="P27" s="6">
        <v>2285.6799999999998</v>
      </c>
      <c r="Q27" s="2"/>
      <c r="R27" s="7">
        <f t="shared" si="4"/>
        <v>0</v>
      </c>
      <c r="S27" s="2"/>
      <c r="T27" s="6">
        <v>2229.52</v>
      </c>
      <c r="U27" s="2"/>
      <c r="V27" s="7">
        <f t="shared" si="5"/>
        <v>0</v>
      </c>
      <c r="W27" s="2"/>
      <c r="X27" s="6">
        <f t="shared" si="6"/>
        <v>56.159999999999854</v>
      </c>
      <c r="Y27" s="2"/>
      <c r="Z27" s="7">
        <f t="shared" si="7"/>
        <v>2.5189278409702472E-2</v>
      </c>
    </row>
    <row r="28" spans="1:26" s="29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30166.480000000003</v>
      </c>
      <c r="E28" s="1"/>
      <c r="F28" s="5">
        <f t="shared" ref="F28:F32" si="8">IF(D$12=0,0,D28/D$12)</f>
        <v>0</v>
      </c>
      <c r="G28" s="1"/>
      <c r="H28" s="1">
        <f>SUM(OSRRefH22_1x_0)</f>
        <v>28386.9</v>
      </c>
      <c r="I28" s="1"/>
      <c r="J28" s="5">
        <f t="shared" ref="J28:J32" si="9">IF(H$12=0,0,H28/H$12)</f>
        <v>0</v>
      </c>
      <c r="K28" s="1"/>
      <c r="L28" s="1">
        <f t="shared" ref="L28:L32" si="10">+D28-H28</f>
        <v>1779.5800000000017</v>
      </c>
      <c r="M28" s="1"/>
      <c r="N28" s="5">
        <f t="shared" ref="N28:N32" si="11">IF(H28=0,0,L28/H28)</f>
        <v>6.2690184556961195E-2</v>
      </c>
      <c r="O28" s="14"/>
      <c r="P28" s="1">
        <f>SUM(OSRRefP22_1x_0)</f>
        <v>91142.31</v>
      </c>
      <c r="Q28" s="1"/>
      <c r="R28" s="5">
        <f t="shared" ref="R28:R32" si="12">IF(P$12=0,0,P28/P$12)</f>
        <v>0</v>
      </c>
      <c r="S28" s="1"/>
      <c r="T28" s="1">
        <f>SUM(OSRRefT22_1x_0)</f>
        <v>84435.81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6706.5</v>
      </c>
      <c r="Y28" s="1"/>
      <c r="Z28" s="5">
        <f t="shared" ref="Z28:Z32" si="15">IF(T28=0,0,X28/T28)</f>
        <v>7.9427200378607135E-2</v>
      </c>
    </row>
    <row r="29" spans="1:26" s="24" customFormat="1" hidden="1" outlineLevel="2" x14ac:dyDescent="0.25">
      <c r="A29" s="28"/>
      <c r="B29" s="11" t="str">
        <f>CONCATENATE("          ", "6002", " - ", "STAFF SALARIES")</f>
        <v xml:space="preserve">          6002 - STAFF SALARIES</v>
      </c>
      <c r="C29" s="11"/>
      <c r="D29" s="6">
        <v>24195.360000000001</v>
      </c>
      <c r="E29" s="2"/>
      <c r="F29" s="7">
        <f t="shared" si="8"/>
        <v>0</v>
      </c>
      <c r="G29" s="2"/>
      <c r="H29" s="6">
        <v>21777.040000000001</v>
      </c>
      <c r="I29" s="2"/>
      <c r="J29" s="7">
        <f t="shared" si="9"/>
        <v>0</v>
      </c>
      <c r="K29" s="2"/>
      <c r="L29" s="6">
        <f t="shared" si="10"/>
        <v>2418.3199999999997</v>
      </c>
      <c r="M29" s="2"/>
      <c r="N29" s="7">
        <f t="shared" si="11"/>
        <v>0.11104906819292244</v>
      </c>
      <c r="O29" s="11"/>
      <c r="P29" s="6">
        <v>75058.099999999991</v>
      </c>
      <c r="Q29" s="2"/>
      <c r="R29" s="7">
        <f t="shared" si="12"/>
        <v>0</v>
      </c>
      <c r="S29" s="2"/>
      <c r="T29" s="6">
        <v>68082.200000000012</v>
      </c>
      <c r="U29" s="2"/>
      <c r="V29" s="7">
        <f t="shared" si="13"/>
        <v>0</v>
      </c>
      <c r="W29" s="2"/>
      <c r="X29" s="6">
        <f t="shared" si="14"/>
        <v>6975.8999999999796</v>
      </c>
      <c r="Y29" s="2"/>
      <c r="Z29" s="7">
        <f t="shared" si="15"/>
        <v>0.10246290513526264</v>
      </c>
    </row>
    <row r="30" spans="1:26" s="24" customFormat="1" hidden="1" outlineLevel="2" x14ac:dyDescent="0.25">
      <c r="A30" s="28"/>
      <c r="B30" s="11" t="str">
        <f>CONCATENATE("          ", "6005", " - ", "TEMPORARY WAGES-HOURLY")</f>
        <v xml:space="preserve">          6005 - TEMPORARY WAGES-HOURLY</v>
      </c>
      <c r="C30" s="11"/>
      <c r="D30" s="6">
        <v>2488.06</v>
      </c>
      <c r="E30" s="2"/>
      <c r="F30" s="7">
        <f t="shared" si="8"/>
        <v>0</v>
      </c>
      <c r="G30" s="2"/>
      <c r="H30" s="6">
        <v>2229.9499999999998</v>
      </c>
      <c r="I30" s="2"/>
      <c r="J30" s="7">
        <f t="shared" si="9"/>
        <v>0</v>
      </c>
      <c r="K30" s="2"/>
      <c r="L30" s="6">
        <f t="shared" si="10"/>
        <v>258.11000000000013</v>
      </c>
      <c r="M30" s="2"/>
      <c r="N30" s="7">
        <f t="shared" si="11"/>
        <v>0.11574698984282165</v>
      </c>
      <c r="O30" s="11"/>
      <c r="P30" s="6">
        <v>6673.71</v>
      </c>
      <c r="Q30" s="2"/>
      <c r="R30" s="7">
        <f t="shared" si="12"/>
        <v>0</v>
      </c>
      <c r="S30" s="2"/>
      <c r="T30" s="6">
        <v>5747.4</v>
      </c>
      <c r="U30" s="2"/>
      <c r="V30" s="7">
        <f t="shared" si="13"/>
        <v>0</v>
      </c>
      <c r="W30" s="2"/>
      <c r="X30" s="6">
        <f t="shared" si="14"/>
        <v>926.3100000000004</v>
      </c>
      <c r="Y30" s="2"/>
      <c r="Z30" s="7">
        <f t="shared" si="15"/>
        <v>0.16117026829522924</v>
      </c>
    </row>
    <row r="31" spans="1:26" s="24" customFormat="1" hidden="1" outlineLevel="2" x14ac:dyDescent="0.25">
      <c r="A31" s="28"/>
      <c r="B31" s="11" t="str">
        <f>CONCATENATE("          ", "6007", " - ", "STUDENT HOURLY")</f>
        <v xml:space="preserve">          6007 - STUDENT HOURLY</v>
      </c>
      <c r="C31" s="11"/>
      <c r="D31" s="6">
        <v>2937.06</v>
      </c>
      <c r="E31" s="2"/>
      <c r="F31" s="7">
        <f t="shared" si="8"/>
        <v>0</v>
      </c>
      <c r="G31" s="2"/>
      <c r="H31" s="6">
        <v>4379.91</v>
      </c>
      <c r="I31" s="2"/>
      <c r="J31" s="7">
        <f t="shared" si="9"/>
        <v>0</v>
      </c>
      <c r="K31" s="2"/>
      <c r="L31" s="6">
        <f t="shared" si="10"/>
        <v>-1442.85</v>
      </c>
      <c r="M31" s="2"/>
      <c r="N31" s="7">
        <f t="shared" si="11"/>
        <v>-0.32942457721734009</v>
      </c>
      <c r="O31" s="11"/>
      <c r="P31" s="6">
        <v>8210.5</v>
      </c>
      <c r="Q31" s="2"/>
      <c r="R31" s="7">
        <f t="shared" si="12"/>
        <v>0</v>
      </c>
      <c r="S31" s="2"/>
      <c r="T31" s="6">
        <v>10606.21</v>
      </c>
      <c r="U31" s="2"/>
      <c r="V31" s="7">
        <f t="shared" si="13"/>
        <v>0</v>
      </c>
      <c r="W31" s="2"/>
      <c r="X31" s="6">
        <f t="shared" si="14"/>
        <v>-2395.7099999999991</v>
      </c>
      <c r="Y31" s="2"/>
      <c r="Z31" s="7">
        <f t="shared" si="15"/>
        <v>-0.2258780469177962</v>
      </c>
    </row>
    <row r="32" spans="1:26" s="24" customFormat="1" hidden="1" outlineLevel="2" x14ac:dyDescent="0.25">
      <c r="A32" s="28"/>
      <c r="B32" s="11" t="str">
        <f>CONCATENATE("          ", "6008", " - ", "STUDENT HOURLY-FICA EXEMPT")</f>
        <v xml:space="preserve">          6008 - STUDENT HOURLY-FICA EXEMPT</v>
      </c>
      <c r="C32" s="11"/>
      <c r="D32" s="6">
        <v>546</v>
      </c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546</v>
      </c>
      <c r="M32" s="2"/>
      <c r="N32" s="7">
        <f t="shared" si="11"/>
        <v>0</v>
      </c>
      <c r="O32" s="11"/>
      <c r="P32" s="6">
        <v>1200</v>
      </c>
      <c r="Q32" s="2"/>
      <c r="R32" s="7">
        <f t="shared" si="12"/>
        <v>0</v>
      </c>
      <c r="S32" s="2"/>
      <c r="T32" s="6"/>
      <c r="U32" s="2"/>
      <c r="V32" s="7">
        <f t="shared" si="13"/>
        <v>0</v>
      </c>
      <c r="W32" s="2"/>
      <c r="X32" s="6">
        <f t="shared" si="14"/>
        <v>1200</v>
      </c>
      <c r="Y32" s="2"/>
      <c r="Z32" s="7">
        <f t="shared" si="15"/>
        <v>0</v>
      </c>
    </row>
    <row r="33" spans="1:26" s="29" customFormat="1" outlineLevel="1" collapsed="1" x14ac:dyDescent="0.25">
      <c r="A33" s="27"/>
      <c r="B33" s="14" t="str">
        <f>CONCATENATE("     ","Advertising/Promo                                 ")</f>
        <v xml:space="preserve">     Advertising/Promo                                 </v>
      </c>
      <c r="C33" s="14"/>
      <c r="D33" s="1">
        <f>SUM(OSRRefD22_2x_0)</f>
        <v>0</v>
      </c>
      <c r="E33" s="1"/>
      <c r="F33" s="5">
        <f t="shared" ref="F33:F47" si="16">IF(D$12=0,0,D33/D$12)</f>
        <v>0</v>
      </c>
      <c r="G33" s="1"/>
      <c r="H33" s="1">
        <f>SUM(OSRRefH22_2x_0)</f>
        <v>389</v>
      </c>
      <c r="I33" s="1"/>
      <c r="J33" s="5">
        <f t="shared" ref="J33:J47" si="17">IF(H$12=0,0,H33/H$12)</f>
        <v>0</v>
      </c>
      <c r="K33" s="1"/>
      <c r="L33" s="1">
        <f t="shared" ref="L33:L47" si="18">+D33-H33</f>
        <v>-389</v>
      </c>
      <c r="M33" s="1"/>
      <c r="N33" s="5">
        <f t="shared" ref="N33:N47" si="19">IF(H33=0,0,L33/H33)</f>
        <v>-1</v>
      </c>
      <c r="O33" s="14"/>
      <c r="P33" s="1">
        <f>SUM(OSRRefP22_2x_0)</f>
        <v>0</v>
      </c>
      <c r="Q33" s="1"/>
      <c r="R33" s="5">
        <f t="shared" ref="R33:R47" si="20">IF(P$12=0,0,P33/P$12)</f>
        <v>0</v>
      </c>
      <c r="S33" s="1"/>
      <c r="T33" s="1">
        <f>SUM(OSRRefT22_2x_0)</f>
        <v>389</v>
      </c>
      <c r="U33" s="1"/>
      <c r="V33" s="5">
        <f t="shared" ref="V33:V47" si="21">IF(T$12=0,0,T33/T$12)</f>
        <v>0</v>
      </c>
      <c r="W33" s="1"/>
      <c r="X33" s="1">
        <f t="shared" ref="X33:X47" si="22">+P33-T33</f>
        <v>-389</v>
      </c>
      <c r="Y33" s="1"/>
      <c r="Z33" s="5">
        <f t="shared" ref="Z33:Z47" si="23">IF(T33=0,0,X33/T33)</f>
        <v>-1</v>
      </c>
    </row>
    <row r="34" spans="1:26" s="24" customFormat="1" hidden="1" outlineLevel="2" x14ac:dyDescent="0.25">
      <c r="A34" s="28"/>
      <c r="B34" s="11" t="str">
        <f>CONCATENATE("          ", "6362", " - ", "ADVERTISING EXPENSE")</f>
        <v xml:space="preserve">          6362 - ADVERTISING EXPENSE</v>
      </c>
      <c r="C34" s="11"/>
      <c r="D34" s="6"/>
      <c r="E34" s="2"/>
      <c r="F34" s="7">
        <f t="shared" si="16"/>
        <v>0</v>
      </c>
      <c r="G34" s="2"/>
      <c r="H34" s="6">
        <v>389</v>
      </c>
      <c r="I34" s="2"/>
      <c r="J34" s="7">
        <f t="shared" si="17"/>
        <v>0</v>
      </c>
      <c r="K34" s="2"/>
      <c r="L34" s="6">
        <f t="shared" si="18"/>
        <v>-389</v>
      </c>
      <c r="M34" s="2"/>
      <c r="N34" s="7">
        <f t="shared" si="19"/>
        <v>-1</v>
      </c>
      <c r="O34" s="11"/>
      <c r="P34" s="6"/>
      <c r="Q34" s="2"/>
      <c r="R34" s="7">
        <f t="shared" si="20"/>
        <v>0</v>
      </c>
      <c r="S34" s="2"/>
      <c r="T34" s="6">
        <v>389</v>
      </c>
      <c r="U34" s="2"/>
      <c r="V34" s="7">
        <f t="shared" si="21"/>
        <v>0</v>
      </c>
      <c r="W34" s="2"/>
      <c r="X34" s="6">
        <f t="shared" si="22"/>
        <v>-389</v>
      </c>
      <c r="Y34" s="2"/>
      <c r="Z34" s="7">
        <f t="shared" si="23"/>
        <v>-1</v>
      </c>
    </row>
    <row r="35" spans="1:26" s="29" customFormat="1" outlineLevel="1" collapsed="1" x14ac:dyDescent="0.25">
      <c r="A35" s="27"/>
      <c r="B35" s="14" t="str">
        <f>CONCATENATE("     ","Depreciation                                      ")</f>
        <v xml:space="preserve">     Depreciation                                      </v>
      </c>
      <c r="C35" s="14"/>
      <c r="D35" s="1">
        <f>SUM(OSRRefD22_3x_0)</f>
        <v>1558.88</v>
      </c>
      <c r="E35" s="1"/>
      <c r="F35" s="5">
        <f t="shared" si="16"/>
        <v>0</v>
      </c>
      <c r="G35" s="1"/>
      <c r="H35" s="1">
        <f>SUM(OSRRefH22_3x_0)</f>
        <v>1558.88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SUM(OSRRefP22_3x_0)</f>
        <v>4676.6400000000003</v>
      </c>
      <c r="Q35" s="1"/>
      <c r="R35" s="5">
        <f t="shared" si="20"/>
        <v>0</v>
      </c>
      <c r="S35" s="1"/>
      <c r="T35" s="1">
        <f>SUM(OSRRefT22_3x_0)</f>
        <v>4676.6400000000003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8"/>
      <c r="B36" s="11" t="str">
        <f>CONCATENATE("          ", "6322", " - ", "EQUIPMENT DEPRECIATION EXPENSE")</f>
        <v xml:space="preserve">          6322 - EQUIPMENT DEPRECIATION EXPENSE</v>
      </c>
      <c r="C36" s="11"/>
      <c r="D36" s="6">
        <v>1558.88</v>
      </c>
      <c r="E36" s="2"/>
      <c r="F36" s="7">
        <f t="shared" si="16"/>
        <v>0</v>
      </c>
      <c r="G36" s="2"/>
      <c r="H36" s="6">
        <v>1558.88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4676.6400000000003</v>
      </c>
      <c r="Q36" s="2"/>
      <c r="R36" s="7">
        <f t="shared" si="20"/>
        <v>0</v>
      </c>
      <c r="S36" s="2"/>
      <c r="T36" s="6">
        <v>4676.6400000000003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9" customFormat="1" outlineLevel="1" collapsed="1" x14ac:dyDescent="0.25">
      <c r="A37" s="27"/>
      <c r="B37" s="14" t="str">
        <f>CONCATENATE("     ","Equipment Rental                                  ")</f>
        <v xml:space="preserve">     Equipment Rental                                  </v>
      </c>
      <c r="C37" s="14"/>
      <c r="D37" s="1">
        <f>SUM(OSRRefD22_4x_0)</f>
        <v>91.26</v>
      </c>
      <c r="E37" s="1"/>
      <c r="F37" s="5">
        <f t="shared" si="16"/>
        <v>0</v>
      </c>
      <c r="G37" s="1"/>
      <c r="H37" s="1">
        <f>SUM(OSRRefH22_4x_0)</f>
        <v>91.26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4"/>
      <c r="P37" s="1">
        <f>SUM(OSRRefP22_4x_0)</f>
        <v>273.77999999999997</v>
      </c>
      <c r="Q37" s="1"/>
      <c r="R37" s="5">
        <f t="shared" si="20"/>
        <v>0</v>
      </c>
      <c r="S37" s="1"/>
      <c r="T37" s="1">
        <f>SUM(OSRRefT22_4x_0)</f>
        <v>273.77999999999997</v>
      </c>
      <c r="U37" s="1"/>
      <c r="V37" s="5">
        <f t="shared" si="21"/>
        <v>0</v>
      </c>
      <c r="W37" s="1"/>
      <c r="X37" s="1">
        <f t="shared" si="22"/>
        <v>0</v>
      </c>
      <c r="Y37" s="1"/>
      <c r="Z37" s="5">
        <f t="shared" si="23"/>
        <v>0</v>
      </c>
    </row>
    <row r="38" spans="1:26" s="24" customFormat="1" hidden="1" outlineLevel="2" x14ac:dyDescent="0.25">
      <c r="A38" s="28"/>
      <c r="B38" s="11" t="str">
        <f>CONCATENATE("          ", "6351", " - ", "EQUIPMENT RENTAL")</f>
        <v xml:space="preserve">          6351 - EQUIPMENT RENTAL</v>
      </c>
      <c r="C38" s="11"/>
      <c r="D38" s="6">
        <v>91.26</v>
      </c>
      <c r="E38" s="2"/>
      <c r="F38" s="7">
        <f t="shared" si="16"/>
        <v>0</v>
      </c>
      <c r="G38" s="2"/>
      <c r="H38" s="6">
        <v>91.26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>
        <v>273.77999999999997</v>
      </c>
      <c r="Q38" s="2"/>
      <c r="R38" s="7">
        <f t="shared" si="20"/>
        <v>0</v>
      </c>
      <c r="S38" s="2"/>
      <c r="T38" s="6">
        <v>273.77999999999997</v>
      </c>
      <c r="U38" s="2"/>
      <c r="V38" s="7">
        <f t="shared" si="21"/>
        <v>0</v>
      </c>
      <c r="W38" s="2"/>
      <c r="X38" s="6">
        <f t="shared" si="22"/>
        <v>0</v>
      </c>
      <c r="Y38" s="2"/>
      <c r="Z38" s="7">
        <f t="shared" si="23"/>
        <v>0</v>
      </c>
    </row>
    <row r="39" spans="1:26" s="29" customFormat="1" outlineLevel="1" collapsed="1" x14ac:dyDescent="0.25">
      <c r="A39" s="27"/>
      <c r="B39" s="14" t="str">
        <f>CONCATENATE("     ","Freight out/Postage                               ")</f>
        <v xml:space="preserve">     Freight out/Postage                               </v>
      </c>
      <c r="C39" s="14"/>
      <c r="D39" s="1">
        <f>SUM(OSRRefD22_5x_0)</f>
        <v>205.2</v>
      </c>
      <c r="E39" s="1"/>
      <c r="F39" s="5">
        <f t="shared" si="16"/>
        <v>0</v>
      </c>
      <c r="G39" s="1"/>
      <c r="H39" s="1">
        <f>SUM(OSRRefH22_5x_0)</f>
        <v>140.75</v>
      </c>
      <c r="I39" s="1"/>
      <c r="J39" s="5">
        <f t="shared" si="17"/>
        <v>0</v>
      </c>
      <c r="K39" s="1"/>
      <c r="L39" s="1">
        <f t="shared" si="18"/>
        <v>64.449999999999989</v>
      </c>
      <c r="M39" s="1"/>
      <c r="N39" s="5">
        <f t="shared" si="19"/>
        <v>0.45790408525754878</v>
      </c>
      <c r="O39" s="14"/>
      <c r="P39" s="1">
        <f>SUM(OSRRefP22_5x_0)</f>
        <v>398</v>
      </c>
      <c r="Q39" s="1"/>
      <c r="R39" s="5">
        <f t="shared" si="20"/>
        <v>0</v>
      </c>
      <c r="S39" s="1"/>
      <c r="T39" s="1">
        <f>SUM(OSRRefT22_5x_0)</f>
        <v>316.17</v>
      </c>
      <c r="U39" s="1"/>
      <c r="V39" s="5">
        <f t="shared" si="21"/>
        <v>0</v>
      </c>
      <c r="W39" s="1"/>
      <c r="X39" s="1">
        <f t="shared" si="22"/>
        <v>81.829999999999984</v>
      </c>
      <c r="Y39" s="1"/>
      <c r="Z39" s="5">
        <f t="shared" si="23"/>
        <v>0.25881645949963622</v>
      </c>
    </row>
    <row r="40" spans="1:26" s="24" customFormat="1" hidden="1" outlineLevel="2" x14ac:dyDescent="0.25">
      <c r="A40" s="28"/>
      <c r="B40" s="11" t="str">
        <f>CONCATENATE("          ", "6307", " - ", "POSTAGE")</f>
        <v xml:space="preserve">          6307 - POSTAGE</v>
      </c>
      <c r="C40" s="11"/>
      <c r="D40" s="6">
        <v>205.2</v>
      </c>
      <c r="E40" s="2"/>
      <c r="F40" s="7">
        <f t="shared" si="16"/>
        <v>0</v>
      </c>
      <c r="G40" s="2"/>
      <c r="H40" s="6">
        <v>140.75</v>
      </c>
      <c r="I40" s="2"/>
      <c r="J40" s="7">
        <f t="shared" si="17"/>
        <v>0</v>
      </c>
      <c r="K40" s="2"/>
      <c r="L40" s="6">
        <f t="shared" si="18"/>
        <v>64.449999999999989</v>
      </c>
      <c r="M40" s="2"/>
      <c r="N40" s="7">
        <f t="shared" si="19"/>
        <v>0.45790408525754878</v>
      </c>
      <c r="O40" s="11"/>
      <c r="P40" s="6">
        <v>398</v>
      </c>
      <c r="Q40" s="2"/>
      <c r="R40" s="7">
        <f t="shared" si="20"/>
        <v>0</v>
      </c>
      <c r="S40" s="2"/>
      <c r="T40" s="6">
        <v>316.17</v>
      </c>
      <c r="U40" s="2"/>
      <c r="V40" s="7">
        <f t="shared" si="21"/>
        <v>0</v>
      </c>
      <c r="W40" s="2"/>
      <c r="X40" s="6">
        <f t="shared" si="22"/>
        <v>81.829999999999984</v>
      </c>
      <c r="Y40" s="2"/>
      <c r="Z40" s="7">
        <f t="shared" si="23"/>
        <v>0.25881645949963622</v>
      </c>
    </row>
    <row r="41" spans="1:26" s="29" customFormat="1" outlineLevel="1" collapsed="1" x14ac:dyDescent="0.25">
      <c r="A41" s="27"/>
      <c r="B41" s="14" t="str">
        <f>CONCATENATE("     ","Insurance                                         ")</f>
        <v xml:space="preserve">     Insurance                                         </v>
      </c>
      <c r="C41" s="14"/>
      <c r="D41" s="1">
        <f>SUM(OSRRefD22_6x_0)</f>
        <v>132.16999999999999</v>
      </c>
      <c r="E41" s="1"/>
      <c r="F41" s="5">
        <f t="shared" si="16"/>
        <v>0</v>
      </c>
      <c r="G41" s="1"/>
      <c r="H41" s="1">
        <f>SUM(OSRRefH22_6x_0)</f>
        <v>124.52</v>
      </c>
      <c r="I41" s="1"/>
      <c r="J41" s="5">
        <f t="shared" si="17"/>
        <v>0</v>
      </c>
      <c r="K41" s="1"/>
      <c r="L41" s="1">
        <f t="shared" si="18"/>
        <v>7.6499999999999915</v>
      </c>
      <c r="M41" s="1"/>
      <c r="N41" s="5">
        <f t="shared" si="19"/>
        <v>6.1435913909412075E-2</v>
      </c>
      <c r="O41" s="14"/>
      <c r="P41" s="1">
        <f>SUM(OSRRefP22_6x_0)</f>
        <v>396.51</v>
      </c>
      <c r="Q41" s="1"/>
      <c r="R41" s="5">
        <f t="shared" si="20"/>
        <v>0</v>
      </c>
      <c r="S41" s="1"/>
      <c r="T41" s="1">
        <f>SUM(OSRRefT22_6x_0)</f>
        <v>373.56</v>
      </c>
      <c r="U41" s="1"/>
      <c r="V41" s="5">
        <f t="shared" si="21"/>
        <v>0</v>
      </c>
      <c r="W41" s="1"/>
      <c r="X41" s="1">
        <f t="shared" si="22"/>
        <v>22.949999999999989</v>
      </c>
      <c r="Y41" s="1"/>
      <c r="Z41" s="5">
        <f t="shared" si="23"/>
        <v>6.143591390941211E-2</v>
      </c>
    </row>
    <row r="42" spans="1:26" s="24" customFormat="1" hidden="1" outlineLevel="2" x14ac:dyDescent="0.25">
      <c r="A42" s="28"/>
      <c r="B42" s="11" t="str">
        <f>CONCATENATE("          ", "6314", " - ", "LIABILITY INSURANCE")</f>
        <v xml:space="preserve">          6314 - LIABILITY INSURANCE</v>
      </c>
      <c r="C42" s="11"/>
      <c r="D42" s="6">
        <v>132.16999999999999</v>
      </c>
      <c r="E42" s="2"/>
      <c r="F42" s="7">
        <f t="shared" si="16"/>
        <v>0</v>
      </c>
      <c r="G42" s="2"/>
      <c r="H42" s="6">
        <v>124.52</v>
      </c>
      <c r="I42" s="2"/>
      <c r="J42" s="7">
        <f t="shared" si="17"/>
        <v>0</v>
      </c>
      <c r="K42" s="2"/>
      <c r="L42" s="6">
        <f t="shared" si="18"/>
        <v>7.6499999999999915</v>
      </c>
      <c r="M42" s="2"/>
      <c r="N42" s="7">
        <f t="shared" si="19"/>
        <v>6.1435913909412075E-2</v>
      </c>
      <c r="O42" s="11"/>
      <c r="P42" s="6">
        <v>396.51</v>
      </c>
      <c r="Q42" s="2"/>
      <c r="R42" s="7">
        <f t="shared" si="20"/>
        <v>0</v>
      </c>
      <c r="S42" s="2"/>
      <c r="T42" s="6">
        <v>373.56</v>
      </c>
      <c r="U42" s="2"/>
      <c r="V42" s="7">
        <f t="shared" si="21"/>
        <v>0</v>
      </c>
      <c r="W42" s="2"/>
      <c r="X42" s="6">
        <f t="shared" si="22"/>
        <v>22.949999999999989</v>
      </c>
      <c r="Y42" s="2"/>
      <c r="Z42" s="7">
        <f t="shared" si="23"/>
        <v>6.143591390941211E-2</v>
      </c>
    </row>
    <row r="43" spans="1:26" s="29" customFormat="1" outlineLevel="1" collapsed="1" x14ac:dyDescent="0.25">
      <c r="A43" s="27"/>
      <c r="B43" s="14" t="str">
        <f>CONCATENATE("     ","Professional Services                             ")</f>
        <v xml:space="preserve">     Professional Services                             </v>
      </c>
      <c r="C43" s="14"/>
      <c r="D43" s="1">
        <f>SUM(OSRRefD22_7x_0)</f>
        <v>0</v>
      </c>
      <c r="E43" s="1"/>
      <c r="F43" s="5">
        <f t="shared" si="16"/>
        <v>0</v>
      </c>
      <c r="G43" s="1"/>
      <c r="H43" s="1">
        <f>SUM(OSRRefH22_7x_0)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4"/>
      <c r="P43" s="1">
        <f>SUM(OSRRefP22_7x_0)</f>
        <v>82.5</v>
      </c>
      <c r="Q43" s="1"/>
      <c r="R43" s="5">
        <f t="shared" si="20"/>
        <v>0</v>
      </c>
      <c r="S43" s="1"/>
      <c r="T43" s="1">
        <f>SUM(OSRRefT22_7x_0)</f>
        <v>0</v>
      </c>
      <c r="U43" s="1"/>
      <c r="V43" s="5">
        <f t="shared" si="21"/>
        <v>0</v>
      </c>
      <c r="W43" s="1"/>
      <c r="X43" s="1">
        <f t="shared" si="22"/>
        <v>82.5</v>
      </c>
      <c r="Y43" s="1"/>
      <c r="Z43" s="5">
        <f t="shared" si="23"/>
        <v>0</v>
      </c>
    </row>
    <row r="44" spans="1:26" s="24" customFormat="1" hidden="1" outlineLevel="2" x14ac:dyDescent="0.25">
      <c r="A44" s="28"/>
      <c r="B44" s="11" t="str">
        <f>CONCATENATE("          ", "6332", " - ", "CONSULTANT FEES")</f>
        <v xml:space="preserve">          6332 - CONSULTANT FEES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82.5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82.5</v>
      </c>
      <c r="Y44" s="2"/>
      <c r="Z44" s="7">
        <f t="shared" si="23"/>
        <v>0</v>
      </c>
    </row>
    <row r="45" spans="1:26" s="29" customFormat="1" outlineLevel="1" collapsed="1" x14ac:dyDescent="0.25">
      <c r="A45" s="27"/>
      <c r="B45" s="14" t="str">
        <f>CONCATENATE("     ","Repair and Maintenance                            ")</f>
        <v xml:space="preserve">     Repair and Maintenance                            </v>
      </c>
      <c r="C45" s="14"/>
      <c r="D45" s="1">
        <f>SUM(OSRRefD22_8x_0)</f>
        <v>26.36</v>
      </c>
      <c r="E45" s="1"/>
      <c r="F45" s="5">
        <f t="shared" si="16"/>
        <v>0</v>
      </c>
      <c r="G45" s="1"/>
      <c r="H45" s="1">
        <f>SUM(OSRRefH22_8x_0)</f>
        <v>95.22</v>
      </c>
      <c r="I45" s="1"/>
      <c r="J45" s="5">
        <f t="shared" si="17"/>
        <v>0</v>
      </c>
      <c r="K45" s="1"/>
      <c r="L45" s="1">
        <f t="shared" si="18"/>
        <v>-68.86</v>
      </c>
      <c r="M45" s="1"/>
      <c r="N45" s="5">
        <f t="shared" si="19"/>
        <v>-0.7231674018063432</v>
      </c>
      <c r="O45" s="14"/>
      <c r="P45" s="1">
        <f>SUM(OSRRefP22_8x_0)</f>
        <v>69.05</v>
      </c>
      <c r="Q45" s="1"/>
      <c r="R45" s="5">
        <f t="shared" si="20"/>
        <v>0</v>
      </c>
      <c r="S45" s="1"/>
      <c r="T45" s="1">
        <f>SUM(OSRRefT22_8x_0)</f>
        <v>149.38</v>
      </c>
      <c r="U45" s="1"/>
      <c r="V45" s="5">
        <f t="shared" si="21"/>
        <v>0</v>
      </c>
      <c r="W45" s="1"/>
      <c r="X45" s="1">
        <f t="shared" si="22"/>
        <v>-80.33</v>
      </c>
      <c r="Y45" s="1"/>
      <c r="Z45" s="5">
        <f t="shared" si="23"/>
        <v>-0.53775605837461504</v>
      </c>
    </row>
    <row r="46" spans="1:26" s="24" customFormat="1" hidden="1" outlineLevel="2" x14ac:dyDescent="0.25">
      <c r="A46" s="28"/>
      <c r="B46" s="11" t="str">
        <f>CONCATENATE("          ", "6371", " - ", "COMPUTER SOFTWARE MAINTENANCE")</f>
        <v xml:space="preserve">          6371 - COMPUTER SOFTWARE MAINTENANCE</v>
      </c>
      <c r="C46" s="11"/>
      <c r="D46" s="6"/>
      <c r="E46" s="2"/>
      <c r="F46" s="7">
        <f t="shared" si="16"/>
        <v>0</v>
      </c>
      <c r="G46" s="2"/>
      <c r="H46" s="6">
        <v>75</v>
      </c>
      <c r="I46" s="2"/>
      <c r="J46" s="7">
        <f t="shared" si="17"/>
        <v>0</v>
      </c>
      <c r="K46" s="2"/>
      <c r="L46" s="6">
        <f t="shared" si="18"/>
        <v>-75</v>
      </c>
      <c r="M46" s="2"/>
      <c r="N46" s="7">
        <f t="shared" si="19"/>
        <v>-1</v>
      </c>
      <c r="O46" s="11"/>
      <c r="P46" s="6"/>
      <c r="Q46" s="2"/>
      <c r="R46" s="7">
        <f t="shared" si="20"/>
        <v>0</v>
      </c>
      <c r="S46" s="2"/>
      <c r="T46" s="6">
        <v>75</v>
      </c>
      <c r="U46" s="2"/>
      <c r="V46" s="7">
        <f t="shared" si="21"/>
        <v>0</v>
      </c>
      <c r="W46" s="2"/>
      <c r="X46" s="6">
        <f t="shared" si="22"/>
        <v>-75</v>
      </c>
      <c r="Y46" s="2"/>
      <c r="Z46" s="7">
        <f t="shared" si="23"/>
        <v>-1</v>
      </c>
    </row>
    <row r="47" spans="1:26" s="24" customFormat="1" hidden="1" outlineLevel="2" x14ac:dyDescent="0.25">
      <c r="A47" s="28"/>
      <c r="B47" s="11" t="str">
        <f>CONCATENATE("          ", "6373", " - ", "MAINTENANCE CONTRACTS")</f>
        <v xml:space="preserve">          6373 - MAINTENANCE CONTRACTS</v>
      </c>
      <c r="C47" s="11"/>
      <c r="D47" s="6">
        <v>26.36</v>
      </c>
      <c r="E47" s="2"/>
      <c r="F47" s="7">
        <f t="shared" si="16"/>
        <v>0</v>
      </c>
      <c r="G47" s="2"/>
      <c r="H47" s="6">
        <v>20.22</v>
      </c>
      <c r="I47" s="2"/>
      <c r="J47" s="7">
        <f t="shared" si="17"/>
        <v>0</v>
      </c>
      <c r="K47" s="2"/>
      <c r="L47" s="6">
        <f t="shared" si="18"/>
        <v>6.1400000000000006</v>
      </c>
      <c r="M47" s="2"/>
      <c r="N47" s="7">
        <f t="shared" si="19"/>
        <v>0.30365974282888236</v>
      </c>
      <c r="O47" s="11"/>
      <c r="P47" s="6">
        <v>69.05</v>
      </c>
      <c r="Q47" s="2"/>
      <c r="R47" s="7">
        <f t="shared" si="20"/>
        <v>0</v>
      </c>
      <c r="S47" s="2"/>
      <c r="T47" s="6">
        <v>74.38</v>
      </c>
      <c r="U47" s="2"/>
      <c r="V47" s="7">
        <f t="shared" si="21"/>
        <v>0</v>
      </c>
      <c r="W47" s="2"/>
      <c r="X47" s="6">
        <f t="shared" si="22"/>
        <v>-5.3299999999999983</v>
      </c>
      <c r="Y47" s="2"/>
      <c r="Z47" s="7">
        <f t="shared" si="23"/>
        <v>-7.1659048131218053E-2</v>
      </c>
    </row>
    <row r="48" spans="1:26" s="29" customFormat="1" outlineLevel="1" collapsed="1" x14ac:dyDescent="0.25">
      <c r="A48" s="27"/>
      <c r="B48" s="14" t="str">
        <f>CONCATENATE("     ","Services                                          ")</f>
        <v xml:space="preserve">     Services                                          </v>
      </c>
      <c r="C48" s="14"/>
      <c r="D48" s="1">
        <f>SUM(OSRRefD22_9x_0)</f>
        <v>856.83</v>
      </c>
      <c r="E48" s="1"/>
      <c r="F48" s="5">
        <f t="shared" ref="F48:F54" si="24">IF(D$12=0,0,D48/D$12)</f>
        <v>0</v>
      </c>
      <c r="G48" s="1"/>
      <c r="H48" s="1">
        <f>SUM(OSRRefH22_9x_0)</f>
        <v>624.03</v>
      </c>
      <c r="I48" s="1"/>
      <c r="J48" s="5">
        <f t="shared" ref="J48:J54" si="25">IF(H$12=0,0,H48/H$12)</f>
        <v>0</v>
      </c>
      <c r="K48" s="1"/>
      <c r="L48" s="1">
        <f t="shared" ref="L48:L54" si="26">+D48-H48</f>
        <v>232.80000000000007</v>
      </c>
      <c r="M48" s="1"/>
      <c r="N48" s="5">
        <f t="shared" ref="N48:N54" si="27">IF(H48=0,0,L48/H48)</f>
        <v>0.37305898754867567</v>
      </c>
      <c r="O48" s="14"/>
      <c r="P48" s="1">
        <f>SUM(OSRRefP22_9x_0)</f>
        <v>3713.31</v>
      </c>
      <c r="Q48" s="1"/>
      <c r="R48" s="5">
        <f t="shared" ref="R48:R54" si="28">IF(P$12=0,0,P48/P$12)</f>
        <v>0</v>
      </c>
      <c r="S48" s="1"/>
      <c r="T48" s="1">
        <f>SUM(OSRRefT22_9x_0)</f>
        <v>1982.45</v>
      </c>
      <c r="U48" s="1"/>
      <c r="V48" s="5">
        <f t="shared" ref="V48:V54" si="29">IF(T$12=0,0,T48/T$12)</f>
        <v>0</v>
      </c>
      <c r="W48" s="1"/>
      <c r="X48" s="1">
        <f t="shared" ref="X48:X54" si="30">+P48-T48</f>
        <v>1730.86</v>
      </c>
      <c r="Y48" s="1"/>
      <c r="Z48" s="5">
        <f t="shared" ref="Z48:Z54" si="31">IF(T48=0,0,X48/T48)</f>
        <v>0.87309137683169813</v>
      </c>
    </row>
    <row r="49" spans="1:26" s="24" customFormat="1" hidden="1" outlineLevel="2" x14ac:dyDescent="0.25">
      <c r="A49" s="28"/>
      <c r="B49" s="11" t="str">
        <f>CONCATENATE("          ", "6281", " - ", "STORAGE FEE")</f>
        <v xml:space="preserve">          6281 - STORAGE FEE</v>
      </c>
      <c r="C49" s="11"/>
      <c r="D49" s="6">
        <v>856.83</v>
      </c>
      <c r="E49" s="2"/>
      <c r="F49" s="7">
        <f t="shared" si="24"/>
        <v>0</v>
      </c>
      <c r="G49" s="2"/>
      <c r="H49" s="6">
        <v>624.03</v>
      </c>
      <c r="I49" s="2"/>
      <c r="J49" s="7">
        <f t="shared" si="25"/>
        <v>0</v>
      </c>
      <c r="K49" s="2"/>
      <c r="L49" s="6">
        <f t="shared" si="26"/>
        <v>232.80000000000007</v>
      </c>
      <c r="M49" s="2"/>
      <c r="N49" s="7">
        <f t="shared" si="27"/>
        <v>0.37305898754867567</v>
      </c>
      <c r="O49" s="11"/>
      <c r="P49" s="6">
        <v>3713.31</v>
      </c>
      <c r="Q49" s="2"/>
      <c r="R49" s="7">
        <f t="shared" si="28"/>
        <v>0</v>
      </c>
      <c r="S49" s="2"/>
      <c r="T49" s="6">
        <v>1982.45</v>
      </c>
      <c r="U49" s="2"/>
      <c r="V49" s="7">
        <f t="shared" si="29"/>
        <v>0</v>
      </c>
      <c r="W49" s="2"/>
      <c r="X49" s="6">
        <f t="shared" si="30"/>
        <v>1730.86</v>
      </c>
      <c r="Y49" s="2"/>
      <c r="Z49" s="7">
        <f t="shared" si="31"/>
        <v>0.87309137683169813</v>
      </c>
    </row>
    <row r="50" spans="1:26" s="29" customFormat="1" outlineLevel="1" collapsed="1" x14ac:dyDescent="0.25">
      <c r="A50" s="27"/>
      <c r="B50" s="14" t="str">
        <f>CONCATENATE("     ","Subscriptions &amp; Dues                              ")</f>
        <v xml:space="preserve">     Subscriptions &amp; Dues                              </v>
      </c>
      <c r="C50" s="14"/>
      <c r="D50" s="1">
        <f>SUM(OSRRefD22_10x_0)</f>
        <v>39</v>
      </c>
      <c r="E50" s="1"/>
      <c r="F50" s="5">
        <f t="shared" si="24"/>
        <v>0</v>
      </c>
      <c r="G50" s="1"/>
      <c r="H50" s="1">
        <f>SUM(OSRRefH22_10x_0)</f>
        <v>0</v>
      </c>
      <c r="I50" s="1"/>
      <c r="J50" s="5">
        <f t="shared" si="25"/>
        <v>0</v>
      </c>
      <c r="K50" s="1"/>
      <c r="L50" s="1">
        <f t="shared" si="26"/>
        <v>39</v>
      </c>
      <c r="M50" s="1"/>
      <c r="N50" s="5">
        <f t="shared" si="27"/>
        <v>0</v>
      </c>
      <c r="O50" s="14"/>
      <c r="P50" s="1">
        <f>SUM(OSRRefP22_10x_0)</f>
        <v>39</v>
      </c>
      <c r="Q50" s="1"/>
      <c r="R50" s="5">
        <f t="shared" si="28"/>
        <v>0</v>
      </c>
      <c r="S50" s="1"/>
      <c r="T50" s="1">
        <f>SUM(OSRRefT22_10x_0)</f>
        <v>0</v>
      </c>
      <c r="U50" s="1"/>
      <c r="V50" s="5">
        <f t="shared" si="29"/>
        <v>0</v>
      </c>
      <c r="W50" s="1"/>
      <c r="X50" s="1">
        <f t="shared" si="30"/>
        <v>39</v>
      </c>
      <c r="Y50" s="1"/>
      <c r="Z50" s="5">
        <f t="shared" si="31"/>
        <v>0</v>
      </c>
    </row>
    <row r="51" spans="1:26" s="24" customFormat="1" hidden="1" outlineLevel="2" x14ac:dyDescent="0.25">
      <c r="A51" s="28"/>
      <c r="B51" s="11" t="str">
        <f>CONCATENATE("          ", "6258", " - ", "MEMBERSHIP DUES")</f>
        <v xml:space="preserve">          6258 - MEMBERSHIP DUES</v>
      </c>
      <c r="C51" s="11"/>
      <c r="D51" s="6">
        <v>39</v>
      </c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39</v>
      </c>
      <c r="M51" s="2"/>
      <c r="N51" s="7">
        <f t="shared" si="27"/>
        <v>0</v>
      </c>
      <c r="O51" s="11"/>
      <c r="P51" s="6">
        <v>39</v>
      </c>
      <c r="Q51" s="2"/>
      <c r="R51" s="7">
        <f t="shared" si="28"/>
        <v>0</v>
      </c>
      <c r="S51" s="2"/>
      <c r="T51" s="6"/>
      <c r="U51" s="2"/>
      <c r="V51" s="7">
        <f t="shared" si="29"/>
        <v>0</v>
      </c>
      <c r="W51" s="2"/>
      <c r="X51" s="6">
        <f t="shared" si="30"/>
        <v>39</v>
      </c>
      <c r="Y51" s="2"/>
      <c r="Z51" s="7">
        <f t="shared" si="31"/>
        <v>0</v>
      </c>
    </row>
    <row r="52" spans="1:26" s="29" customFormat="1" outlineLevel="1" collapsed="1" x14ac:dyDescent="0.25">
      <c r="A52" s="27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SUM(OSRRefD22_11x_0)</f>
        <v>1107.1199999999999</v>
      </c>
      <c r="E52" s="1"/>
      <c r="F52" s="5">
        <f t="shared" si="24"/>
        <v>0</v>
      </c>
      <c r="G52" s="1"/>
      <c r="H52" s="1">
        <f>SUM(OSRRefH22_11x_0)</f>
        <v>345.85</v>
      </c>
      <c r="I52" s="1"/>
      <c r="J52" s="5">
        <f t="shared" si="25"/>
        <v>0</v>
      </c>
      <c r="K52" s="1"/>
      <c r="L52" s="1">
        <f t="shared" si="26"/>
        <v>761.26999999999987</v>
      </c>
      <c r="M52" s="1"/>
      <c r="N52" s="5">
        <f t="shared" si="27"/>
        <v>2.2011565707676732</v>
      </c>
      <c r="O52" s="14"/>
      <c r="P52" s="1">
        <f>SUM(OSRRefP22_11x_0)</f>
        <v>2219.23</v>
      </c>
      <c r="Q52" s="1"/>
      <c r="R52" s="5">
        <f t="shared" si="28"/>
        <v>0</v>
      </c>
      <c r="S52" s="1"/>
      <c r="T52" s="1">
        <f>SUM(OSRRefT22_11x_0)</f>
        <v>527.22</v>
      </c>
      <c r="U52" s="1"/>
      <c r="V52" s="5">
        <f t="shared" si="29"/>
        <v>0</v>
      </c>
      <c r="W52" s="1"/>
      <c r="X52" s="1">
        <f t="shared" si="30"/>
        <v>1692.01</v>
      </c>
      <c r="Y52" s="1"/>
      <c r="Z52" s="5">
        <f t="shared" si="31"/>
        <v>3.2093054132999503</v>
      </c>
    </row>
    <row r="53" spans="1:26" s="24" customFormat="1" hidden="1" outlineLevel="2" x14ac:dyDescent="0.25">
      <c r="A53" s="28"/>
      <c r="B53" s="11" t="str">
        <f>CONCATENATE("          ", "6241", " - ", "OFFICE EXPENSE")</f>
        <v xml:space="preserve">          6241 - OFFICE EXPENSE</v>
      </c>
      <c r="C53" s="11"/>
      <c r="D53" s="6">
        <v>1107.1199999999999</v>
      </c>
      <c r="E53" s="2"/>
      <c r="F53" s="7">
        <f t="shared" si="24"/>
        <v>0</v>
      </c>
      <c r="G53" s="2"/>
      <c r="H53" s="6">
        <v>345.85</v>
      </c>
      <c r="I53" s="2"/>
      <c r="J53" s="7">
        <f t="shared" si="25"/>
        <v>0</v>
      </c>
      <c r="K53" s="2"/>
      <c r="L53" s="6">
        <f t="shared" si="26"/>
        <v>761.26999999999987</v>
      </c>
      <c r="M53" s="2"/>
      <c r="N53" s="7">
        <f t="shared" si="27"/>
        <v>2.2011565707676732</v>
      </c>
      <c r="O53" s="11"/>
      <c r="P53" s="6">
        <v>1557.73</v>
      </c>
      <c r="Q53" s="2"/>
      <c r="R53" s="7">
        <f t="shared" si="28"/>
        <v>0</v>
      </c>
      <c r="S53" s="2"/>
      <c r="T53" s="6">
        <v>527.22</v>
      </c>
      <c r="U53" s="2"/>
      <c r="V53" s="7">
        <f t="shared" si="29"/>
        <v>0</v>
      </c>
      <c r="W53" s="2"/>
      <c r="X53" s="6">
        <f t="shared" si="30"/>
        <v>1030.51</v>
      </c>
      <c r="Y53" s="2"/>
      <c r="Z53" s="7">
        <f t="shared" si="31"/>
        <v>1.9546109783392132</v>
      </c>
    </row>
    <row r="54" spans="1:26" s="24" customFormat="1" hidden="1" outlineLevel="2" x14ac:dyDescent="0.25">
      <c r="A54" s="28"/>
      <c r="B54" s="11" t="str">
        <f>CONCATENATE("          ", "6245", " - ", "PRINTING")</f>
        <v xml:space="preserve">          6245 - PRINTING</v>
      </c>
      <c r="C54" s="11"/>
      <c r="D54" s="6"/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>
        <v>661.5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661.5</v>
      </c>
      <c r="Y54" s="2"/>
      <c r="Z54" s="7">
        <f t="shared" si="31"/>
        <v>0</v>
      </c>
    </row>
    <row r="55" spans="1:26" s="29" customFormat="1" outlineLevel="1" collapsed="1" x14ac:dyDescent="0.25">
      <c r="A55" s="27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SUM(OSRRefD22_12x_0)</f>
        <v>375</v>
      </c>
      <c r="E55" s="1"/>
      <c r="F55" s="5">
        <f t="shared" ref="F55:F58" si="32">IF(D$12=0,0,D55/D$12)</f>
        <v>0</v>
      </c>
      <c r="G55" s="1"/>
      <c r="H55" s="1">
        <f>SUM(OSRRefH22_12x_0)</f>
        <v>375</v>
      </c>
      <c r="I55" s="1"/>
      <c r="J55" s="5">
        <f t="shared" ref="J55:J58" si="33">IF(H$12=0,0,H55/H$12)</f>
        <v>0</v>
      </c>
      <c r="K55" s="1"/>
      <c r="L55" s="1">
        <f t="shared" ref="L55:L58" si="34">+D55-H55</f>
        <v>0</v>
      </c>
      <c r="M55" s="1"/>
      <c r="N55" s="5">
        <f t="shared" ref="N55:N58" si="35">IF(H55=0,0,L55/H55)</f>
        <v>0</v>
      </c>
      <c r="O55" s="14"/>
      <c r="P55" s="1">
        <f>SUM(OSRRefP22_12x_0)</f>
        <v>1117.1500000000001</v>
      </c>
      <c r="Q55" s="1"/>
      <c r="R55" s="5">
        <f t="shared" ref="R55:R58" si="36">IF(P$12=0,0,P55/P$12)</f>
        <v>0</v>
      </c>
      <c r="S55" s="1"/>
      <c r="T55" s="1">
        <f>SUM(OSRRefT22_12x_0)</f>
        <v>1099.3</v>
      </c>
      <c r="U55" s="1"/>
      <c r="V55" s="5">
        <f t="shared" ref="V55:V58" si="37">IF(T$12=0,0,T55/T$12)</f>
        <v>0</v>
      </c>
      <c r="W55" s="1"/>
      <c r="X55" s="1">
        <f t="shared" ref="X55:X58" si="38">+P55-T55</f>
        <v>17.850000000000136</v>
      </c>
      <c r="Y55" s="1"/>
      <c r="Z55" s="5">
        <f t="shared" ref="Z55:Z58" si="39">IF(T55=0,0,X55/T55)</f>
        <v>1.6237605749113197E-2</v>
      </c>
    </row>
    <row r="56" spans="1:26" s="24" customFormat="1" hidden="1" outlineLevel="2" x14ac:dyDescent="0.25">
      <c r="A56" s="28"/>
      <c r="B56" s="11" t="str">
        <f>CONCATENATE("          ", "6309", " - ", "TELEPHONE")</f>
        <v xml:space="preserve">          6309 - TELEPHONE</v>
      </c>
      <c r="C56" s="11"/>
      <c r="D56" s="6">
        <v>375</v>
      </c>
      <c r="E56" s="2"/>
      <c r="F56" s="7">
        <f t="shared" si="32"/>
        <v>0</v>
      </c>
      <c r="G56" s="2"/>
      <c r="H56" s="6">
        <v>375</v>
      </c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1"/>
      <c r="P56" s="6">
        <v>1117.1500000000001</v>
      </c>
      <c r="Q56" s="2"/>
      <c r="R56" s="7">
        <f t="shared" si="36"/>
        <v>0</v>
      </c>
      <c r="S56" s="2"/>
      <c r="T56" s="6">
        <v>1099.3</v>
      </c>
      <c r="U56" s="2"/>
      <c r="V56" s="7">
        <f t="shared" si="37"/>
        <v>0</v>
      </c>
      <c r="W56" s="2"/>
      <c r="X56" s="6">
        <f t="shared" si="38"/>
        <v>17.850000000000136</v>
      </c>
      <c r="Y56" s="2"/>
      <c r="Z56" s="7">
        <f t="shared" si="39"/>
        <v>1.6237605749113197E-2</v>
      </c>
    </row>
    <row r="57" spans="1:26" s="29" customFormat="1" outlineLevel="1" collapsed="1" x14ac:dyDescent="0.25">
      <c r="A57" s="27"/>
      <c r="B57" s="14" t="str">
        <f>CONCATENATE("     ","Training                                          ")</f>
        <v xml:space="preserve">     Training                                          </v>
      </c>
      <c r="C57" s="14"/>
      <c r="D57" s="1">
        <f>SUM(OSRRefD22_13x_0)</f>
        <v>0</v>
      </c>
      <c r="E57" s="1"/>
      <c r="F57" s="5">
        <f t="shared" si="32"/>
        <v>0</v>
      </c>
      <c r="G57" s="1"/>
      <c r="H57" s="1">
        <f>SUM(OSRRefH22_13x_0)</f>
        <v>40</v>
      </c>
      <c r="I57" s="1"/>
      <c r="J57" s="5">
        <f t="shared" si="33"/>
        <v>0</v>
      </c>
      <c r="K57" s="1"/>
      <c r="L57" s="1">
        <f t="shared" si="34"/>
        <v>-40</v>
      </c>
      <c r="M57" s="1"/>
      <c r="N57" s="5">
        <f t="shared" si="35"/>
        <v>-1</v>
      </c>
      <c r="O57" s="14"/>
      <c r="P57" s="1">
        <f>SUM(OSRRefP22_13x_0)</f>
        <v>0</v>
      </c>
      <c r="Q57" s="1"/>
      <c r="R57" s="5">
        <f t="shared" si="36"/>
        <v>0</v>
      </c>
      <c r="S57" s="1"/>
      <c r="T57" s="1">
        <f>SUM(OSRRefT22_13x_0)</f>
        <v>2657.25</v>
      </c>
      <c r="U57" s="1"/>
      <c r="V57" s="5">
        <f t="shared" si="37"/>
        <v>0</v>
      </c>
      <c r="W57" s="1"/>
      <c r="X57" s="1">
        <f t="shared" si="38"/>
        <v>-2657.25</v>
      </c>
      <c r="Y57" s="1"/>
      <c r="Z57" s="5">
        <f t="shared" si="39"/>
        <v>-1</v>
      </c>
    </row>
    <row r="58" spans="1:26" s="24" customFormat="1" hidden="1" outlineLevel="2" x14ac:dyDescent="0.25">
      <c r="A58" s="28"/>
      <c r="B58" s="11" t="str">
        <f>CONCATENATE("          ", "6376", " - ", "TRAINING")</f>
        <v xml:space="preserve">          6376 - TRAINING</v>
      </c>
      <c r="C58" s="11"/>
      <c r="D58" s="6"/>
      <c r="E58" s="2"/>
      <c r="F58" s="7">
        <f t="shared" si="32"/>
        <v>0</v>
      </c>
      <c r="G58" s="2"/>
      <c r="H58" s="6">
        <v>40</v>
      </c>
      <c r="I58" s="2"/>
      <c r="J58" s="7">
        <f t="shared" si="33"/>
        <v>0</v>
      </c>
      <c r="K58" s="2"/>
      <c r="L58" s="6">
        <f t="shared" si="34"/>
        <v>-40</v>
      </c>
      <c r="M58" s="2"/>
      <c r="N58" s="7">
        <f t="shared" si="35"/>
        <v>-1</v>
      </c>
      <c r="O58" s="11"/>
      <c r="P58" s="6"/>
      <c r="Q58" s="2"/>
      <c r="R58" s="7">
        <f t="shared" si="36"/>
        <v>0</v>
      </c>
      <c r="S58" s="2"/>
      <c r="T58" s="6">
        <v>2657.25</v>
      </c>
      <c r="U58" s="2"/>
      <c r="V58" s="7">
        <f t="shared" si="37"/>
        <v>0</v>
      </c>
      <c r="W58" s="2"/>
      <c r="X58" s="6">
        <f t="shared" si="38"/>
        <v>-2657.25</v>
      </c>
      <c r="Y58" s="2"/>
      <c r="Z58" s="7">
        <f t="shared" si="39"/>
        <v>-1</v>
      </c>
    </row>
    <row r="59" spans="1:26" s="53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5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6" t="s">
        <v>3</v>
      </c>
      <c r="C62" s="26"/>
      <c r="D62" s="21">
        <f>+D16-D18+D60</f>
        <v>-48851.63</v>
      </c>
      <c r="E62" s="13"/>
      <c r="F62" s="20">
        <f>IF(D$12=0,0,D62/D$12)</f>
        <v>0</v>
      </c>
      <c r="G62" s="13"/>
      <c r="H62" s="21">
        <f>+H16-H18+H60</f>
        <v>-46401.919999999998</v>
      </c>
      <c r="I62" s="13"/>
      <c r="J62" s="20">
        <f>IF(H$12=0,0,H62/H$12)</f>
        <v>0</v>
      </c>
      <c r="K62" s="15"/>
      <c r="L62" s="21">
        <f>+D62-H62</f>
        <v>-2449.7099999999991</v>
      </c>
      <c r="M62" s="15"/>
      <c r="N62" s="20">
        <f>IF(H62=0,0,L62/H62)</f>
        <v>5.2793289588017031E-2</v>
      </c>
      <c r="O62" s="25"/>
      <c r="P62" s="21">
        <f>+P16-P18+P60</f>
        <v>-150268.91</v>
      </c>
      <c r="Q62" s="13"/>
      <c r="R62" s="20">
        <f>IF(P$12=0,0,P62/P$12)</f>
        <v>0</v>
      </c>
      <c r="S62" s="13"/>
      <c r="T62" s="21">
        <f>+T16-T18+T60</f>
        <v>-139791.45000000004</v>
      </c>
      <c r="U62" s="13"/>
      <c r="V62" s="20">
        <f>IF(T$12=0,0,T62/T$12)</f>
        <v>0</v>
      </c>
      <c r="W62" s="15"/>
      <c r="X62" s="21">
        <f>+P62-T62</f>
        <v>-10477.459999999963</v>
      </c>
      <c r="Y62" s="15"/>
      <c r="Z62" s="20">
        <f>IF(T62=0,0,X62/T62)</f>
        <v>7.4950649699963484E-2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1"/>
      <c r="B64" s="10" t="s">
        <v>13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/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6" t="s">
        <v>4</v>
      </c>
      <c r="C66" s="26"/>
      <c r="D66" s="35">
        <f>+D62-D64</f>
        <v>-48851.63</v>
      </c>
      <c r="E66" s="13"/>
      <c r="F66" s="30">
        <f>IF(D$12=0,0,D66/D$12)</f>
        <v>0</v>
      </c>
      <c r="G66" s="13"/>
      <c r="H66" s="35">
        <f>+H62-H64</f>
        <v>-46401.919999999998</v>
      </c>
      <c r="I66" s="13"/>
      <c r="J66" s="30">
        <f>IF(H$12=0,0,H66/H$12)</f>
        <v>0</v>
      </c>
      <c r="K66" s="15"/>
      <c r="L66" s="35">
        <f>D66-H66</f>
        <v>-2449.7099999999991</v>
      </c>
      <c r="M66" s="15"/>
      <c r="N66" s="30">
        <f>IF(H66=0,0,L66/H66)</f>
        <v>5.2793289588017031E-2</v>
      </c>
      <c r="O66" s="25"/>
      <c r="P66" s="35">
        <f>+P62-P64</f>
        <v>-150268.91</v>
      </c>
      <c r="Q66" s="13"/>
      <c r="R66" s="30">
        <f>IF(P$12=0,0,P66/P$12)</f>
        <v>0</v>
      </c>
      <c r="S66" s="13"/>
      <c r="T66" s="35">
        <f>+T62-T64</f>
        <v>-139791.45000000004</v>
      </c>
      <c r="U66" s="13"/>
      <c r="V66" s="30">
        <f>IF(T$12=0,0,T66/T$12)</f>
        <v>0</v>
      </c>
      <c r="W66" s="15"/>
      <c r="X66" s="35">
        <f>P66-T66</f>
        <v>-10477.459999999963</v>
      </c>
      <c r="Y66" s="15"/>
      <c r="Z66" s="30">
        <f>IF(T66=0,0,X66/T66)</f>
        <v>7.4950649699963484E-2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6" t="s">
        <v>5</v>
      </c>
      <c r="C69" s="26"/>
      <c r="D69" s="36">
        <f>SUM(D66:D68)</f>
        <v>-48851.63</v>
      </c>
      <c r="E69" s="13"/>
      <c r="F69" s="31">
        <f>IF(D$12=0,0,D69/D$12)</f>
        <v>0</v>
      </c>
      <c r="G69" s="13"/>
      <c r="H69" s="36">
        <f>SUM(H66:H68)</f>
        <v>-46401.919999999998</v>
      </c>
      <c r="I69" s="13"/>
      <c r="J69" s="31">
        <f>IF(H$12=0,0,H69/H$12)</f>
        <v>0</v>
      </c>
      <c r="K69" s="15"/>
      <c r="L69" s="36">
        <f>+D69-H69</f>
        <v>-2449.7099999999991</v>
      </c>
      <c r="M69" s="15"/>
      <c r="N69" s="31">
        <f>IF(H69=0,0,L69/H69)</f>
        <v>5.2793289588017031E-2</v>
      </c>
      <c r="O69" s="25"/>
      <c r="P69" s="36">
        <f>SUM(P66:P68)</f>
        <v>-150268.91</v>
      </c>
      <c r="Q69" s="13"/>
      <c r="R69" s="31">
        <f>IF(P$12=0,0,P69/P$12)</f>
        <v>0</v>
      </c>
      <c r="S69" s="13"/>
      <c r="T69" s="36">
        <f>SUM(T66:T68)</f>
        <v>-139791.45000000004</v>
      </c>
      <c r="U69" s="13"/>
      <c r="V69" s="31">
        <f>IF(T$12=0,0,T69/T$12)</f>
        <v>0</v>
      </c>
      <c r="W69" s="15"/>
      <c r="X69" s="36">
        <f>+P69-T69</f>
        <v>-10477.459999999963</v>
      </c>
      <c r="Y69" s="15"/>
      <c r="Z69" s="31">
        <f>IF(T69=0,0,X69/T69)</f>
        <v>7.4950649699963484E-2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5">
        <v>43756.462763344905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6" t="s">
        <v>313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7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","203", " - ", "Human Resources")</f>
        <v>Department 203 - Human Resources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67587.980000000025</v>
      </c>
      <c r="E18" s="22"/>
      <c r="F18" s="34">
        <f t="shared" ref="F18:F29" si="0">IF(D$12=0,0,D18/D$12)</f>
        <v>0</v>
      </c>
      <c r="G18" s="22"/>
      <c r="H18" s="22">
        <f>SUM(OSRRefH22x_0)</f>
        <v>51158.010000000009</v>
      </c>
      <c r="I18" s="22"/>
      <c r="J18" s="34">
        <f t="shared" ref="J18:J29" si="1">IF(H$12=0,0,H18/H$12)</f>
        <v>0</v>
      </c>
      <c r="K18" s="4"/>
      <c r="L18" s="22">
        <f t="shared" ref="L18:L29" si="2">+D18-H18</f>
        <v>16429.970000000016</v>
      </c>
      <c r="M18" s="4"/>
      <c r="N18" s="34">
        <f t="shared" ref="N18:N29" si="3">IF(H18=0,0,L18/H18)</f>
        <v>0.32116124141654478</v>
      </c>
      <c r="O18" s="10"/>
      <c r="P18" s="22">
        <f>SUM(OSRRefP22x_0)</f>
        <v>201594.34999999998</v>
      </c>
      <c r="Q18" s="22"/>
      <c r="R18" s="34">
        <f t="shared" ref="R18:R29" si="4">IF(P$12=0,0,P18/P$12)</f>
        <v>0</v>
      </c>
      <c r="S18" s="22"/>
      <c r="T18" s="22">
        <f>SUM(OSRRefT22x_0)</f>
        <v>164859.44</v>
      </c>
      <c r="U18" s="22"/>
      <c r="V18" s="34">
        <f t="shared" ref="V18:V29" si="5">IF(T$12=0,0,T18/T$12)</f>
        <v>0</v>
      </c>
      <c r="W18" s="4"/>
      <c r="X18" s="22">
        <f t="shared" ref="X18:X29" si="6">+P18-T18</f>
        <v>36734.909999999974</v>
      </c>
      <c r="Y18" s="4"/>
      <c r="Z18" s="34">
        <f t="shared" ref="Z18:Z29" si="7">IF(T18=0,0,X18/T18)</f>
        <v>0.22282563861675117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13511.04</v>
      </c>
      <c r="E19" s="1"/>
      <c r="F19" s="5">
        <f t="shared" si="0"/>
        <v>0</v>
      </c>
      <c r="G19" s="1"/>
      <c r="H19" s="1">
        <f>SUM(OSRRefH22_0x_0)</f>
        <v>10864.76</v>
      </c>
      <c r="I19" s="1"/>
      <c r="J19" s="5">
        <f t="shared" si="1"/>
        <v>0</v>
      </c>
      <c r="K19" s="1"/>
      <c r="L19" s="1">
        <f t="shared" si="2"/>
        <v>2646.2800000000007</v>
      </c>
      <c r="M19" s="1"/>
      <c r="N19" s="5">
        <f t="shared" si="3"/>
        <v>0.24356543540768508</v>
      </c>
      <c r="O19" s="14"/>
      <c r="P19" s="1">
        <f>SUM(OSRRefP22_0x_0)</f>
        <v>41126.340000000004</v>
      </c>
      <c r="Q19" s="1"/>
      <c r="R19" s="5">
        <f t="shared" si="4"/>
        <v>0</v>
      </c>
      <c r="S19" s="1"/>
      <c r="T19" s="1">
        <f>SUM(OSRRefT22_0x_0)</f>
        <v>29383.610000000004</v>
      </c>
      <c r="U19" s="1"/>
      <c r="V19" s="5">
        <f t="shared" si="5"/>
        <v>0</v>
      </c>
      <c r="W19" s="1"/>
      <c r="X19" s="1">
        <f t="shared" si="6"/>
        <v>11742.73</v>
      </c>
      <c r="Y19" s="1"/>
      <c r="Z19" s="5">
        <f t="shared" si="7"/>
        <v>0.39963537495903323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1673.37</v>
      </c>
      <c r="E20" s="2"/>
      <c r="F20" s="7">
        <f t="shared" si="0"/>
        <v>0</v>
      </c>
      <c r="G20" s="2"/>
      <c r="H20" s="6">
        <v>1405.99</v>
      </c>
      <c r="I20" s="2"/>
      <c r="J20" s="7">
        <f t="shared" si="1"/>
        <v>0</v>
      </c>
      <c r="K20" s="2"/>
      <c r="L20" s="6">
        <f t="shared" si="2"/>
        <v>267.37999999999988</v>
      </c>
      <c r="M20" s="2"/>
      <c r="N20" s="7">
        <f t="shared" si="3"/>
        <v>0.19017204958783482</v>
      </c>
      <c r="O20" s="11"/>
      <c r="P20" s="6">
        <v>5220.49</v>
      </c>
      <c r="Q20" s="2"/>
      <c r="R20" s="7">
        <f t="shared" si="4"/>
        <v>0</v>
      </c>
      <c r="S20" s="2"/>
      <c r="T20" s="6">
        <v>4771.76</v>
      </c>
      <c r="U20" s="2"/>
      <c r="V20" s="7">
        <f t="shared" si="5"/>
        <v>0</v>
      </c>
      <c r="W20" s="2"/>
      <c r="X20" s="6">
        <f t="shared" si="6"/>
        <v>448.72999999999956</v>
      </c>
      <c r="Y20" s="2"/>
      <c r="Z20" s="7">
        <f t="shared" si="7"/>
        <v>9.4038677552936351E-2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74.180000000000007</v>
      </c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74.180000000000007</v>
      </c>
      <c r="M21" s="2"/>
      <c r="N21" s="7">
        <f t="shared" si="3"/>
        <v>0</v>
      </c>
      <c r="O21" s="11"/>
      <c r="P21" s="6">
        <v>231.37</v>
      </c>
      <c r="Q21" s="2"/>
      <c r="R21" s="7">
        <f t="shared" si="4"/>
        <v>0</v>
      </c>
      <c r="S21" s="2"/>
      <c r="T21" s="6">
        <v>167.25</v>
      </c>
      <c r="U21" s="2"/>
      <c r="V21" s="7">
        <f t="shared" si="5"/>
        <v>0</v>
      </c>
      <c r="W21" s="2"/>
      <c r="X21" s="6">
        <f t="shared" si="6"/>
        <v>64.12</v>
      </c>
      <c r="Y21" s="2"/>
      <c r="Z21" s="7">
        <f t="shared" si="7"/>
        <v>0.3833781763826607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5862.42</v>
      </c>
      <c r="E22" s="2"/>
      <c r="F22" s="7">
        <f t="shared" si="0"/>
        <v>0</v>
      </c>
      <c r="G22" s="2"/>
      <c r="H22" s="6">
        <v>6224.8</v>
      </c>
      <c r="I22" s="2"/>
      <c r="J22" s="7">
        <f t="shared" si="1"/>
        <v>0</v>
      </c>
      <c r="K22" s="2"/>
      <c r="L22" s="6">
        <f t="shared" si="2"/>
        <v>-362.38000000000011</v>
      </c>
      <c r="M22" s="2"/>
      <c r="N22" s="7">
        <f t="shared" si="3"/>
        <v>-5.821552499678706E-2</v>
      </c>
      <c r="O22" s="11"/>
      <c r="P22" s="6">
        <v>17585.64</v>
      </c>
      <c r="Q22" s="2"/>
      <c r="R22" s="7">
        <f t="shared" si="4"/>
        <v>0</v>
      </c>
      <c r="S22" s="2"/>
      <c r="T22" s="6">
        <v>14058.81</v>
      </c>
      <c r="U22" s="2"/>
      <c r="V22" s="7">
        <f t="shared" si="5"/>
        <v>0</v>
      </c>
      <c r="W22" s="2"/>
      <c r="X22" s="6">
        <f t="shared" si="6"/>
        <v>3526.83</v>
      </c>
      <c r="Y22" s="2"/>
      <c r="Z22" s="7">
        <f t="shared" si="7"/>
        <v>0.25086262635315509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56.72</v>
      </c>
      <c r="E23" s="2"/>
      <c r="F23" s="7">
        <f t="shared" si="0"/>
        <v>0</v>
      </c>
      <c r="G23" s="2"/>
      <c r="H23" s="6">
        <v>50.03</v>
      </c>
      <c r="I23" s="2"/>
      <c r="J23" s="7">
        <f t="shared" si="1"/>
        <v>0</v>
      </c>
      <c r="K23" s="2"/>
      <c r="L23" s="6">
        <f t="shared" si="2"/>
        <v>6.6899999999999977</v>
      </c>
      <c r="M23" s="2"/>
      <c r="N23" s="7">
        <f t="shared" si="3"/>
        <v>0.13371976813911648</v>
      </c>
      <c r="O23" s="11"/>
      <c r="P23" s="6">
        <v>176.93</v>
      </c>
      <c r="Q23" s="2"/>
      <c r="R23" s="7">
        <f t="shared" si="4"/>
        <v>0</v>
      </c>
      <c r="S23" s="2"/>
      <c r="T23" s="6">
        <v>190.31</v>
      </c>
      <c r="U23" s="2"/>
      <c r="V23" s="7">
        <f t="shared" si="5"/>
        <v>0</v>
      </c>
      <c r="W23" s="2"/>
      <c r="X23" s="6">
        <f t="shared" si="6"/>
        <v>-13.379999999999995</v>
      </c>
      <c r="Y23" s="2"/>
      <c r="Z23" s="7">
        <f t="shared" si="7"/>
        <v>-7.0306342283642451E-2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919.4</v>
      </c>
      <c r="E24" s="2"/>
      <c r="F24" s="7">
        <f t="shared" si="0"/>
        <v>0</v>
      </c>
      <c r="G24" s="2"/>
      <c r="H24" s="6">
        <v>727.17</v>
      </c>
      <c r="I24" s="2"/>
      <c r="J24" s="7">
        <f t="shared" si="1"/>
        <v>0</v>
      </c>
      <c r="K24" s="2"/>
      <c r="L24" s="6">
        <f t="shared" si="2"/>
        <v>192.23000000000002</v>
      </c>
      <c r="M24" s="2"/>
      <c r="N24" s="7">
        <f t="shared" si="3"/>
        <v>0.26435358994457969</v>
      </c>
      <c r="O24" s="11"/>
      <c r="P24" s="6">
        <v>2758.2</v>
      </c>
      <c r="Q24" s="2"/>
      <c r="R24" s="7">
        <f t="shared" si="4"/>
        <v>0</v>
      </c>
      <c r="S24" s="2"/>
      <c r="T24" s="6">
        <v>2534.5100000000002</v>
      </c>
      <c r="U24" s="2"/>
      <c r="V24" s="7">
        <f t="shared" si="5"/>
        <v>0</v>
      </c>
      <c r="W24" s="2"/>
      <c r="X24" s="6">
        <f t="shared" si="6"/>
        <v>223.6899999999996</v>
      </c>
      <c r="Y24" s="2"/>
      <c r="Z24" s="7">
        <f t="shared" si="7"/>
        <v>8.8257690835703784E-2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6">
        <v>1971.94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1971.94</v>
      </c>
      <c r="M25" s="2"/>
      <c r="N25" s="7">
        <f t="shared" si="3"/>
        <v>0</v>
      </c>
      <c r="O25" s="11"/>
      <c r="P25" s="6">
        <v>1971.94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1971.94</v>
      </c>
      <c r="Y25" s="2"/>
      <c r="Z25" s="7">
        <f t="shared" si="7"/>
        <v>0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6">
        <v>617.82000000000005</v>
      </c>
      <c r="E26" s="2"/>
      <c r="F26" s="7">
        <f t="shared" si="0"/>
        <v>0</v>
      </c>
      <c r="G26" s="2"/>
      <c r="H26" s="6">
        <v>331.01</v>
      </c>
      <c r="I26" s="2"/>
      <c r="J26" s="7">
        <f t="shared" si="1"/>
        <v>0</v>
      </c>
      <c r="K26" s="2"/>
      <c r="L26" s="6">
        <f t="shared" si="2"/>
        <v>286.81000000000006</v>
      </c>
      <c r="M26" s="2"/>
      <c r="N26" s="7">
        <f t="shared" si="3"/>
        <v>0.86646929095797731</v>
      </c>
      <c r="O26" s="11"/>
      <c r="P26" s="6">
        <v>1498.93</v>
      </c>
      <c r="Q26" s="2"/>
      <c r="R26" s="7">
        <f t="shared" si="4"/>
        <v>0</v>
      </c>
      <c r="S26" s="2"/>
      <c r="T26" s="6">
        <v>763.56</v>
      </c>
      <c r="U26" s="2"/>
      <c r="V26" s="7">
        <f t="shared" si="5"/>
        <v>0</v>
      </c>
      <c r="W26" s="2"/>
      <c r="X26" s="6">
        <f t="shared" si="6"/>
        <v>735.37000000000012</v>
      </c>
      <c r="Y26" s="2"/>
      <c r="Z26" s="7">
        <f t="shared" si="7"/>
        <v>0.96308083189271332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6">
        <v>1171.02</v>
      </c>
      <c r="E27" s="2"/>
      <c r="F27" s="7">
        <f t="shared" si="0"/>
        <v>0</v>
      </c>
      <c r="G27" s="2"/>
      <c r="H27" s="6">
        <v>1023.76</v>
      </c>
      <c r="I27" s="2"/>
      <c r="J27" s="7">
        <f t="shared" si="1"/>
        <v>0</v>
      </c>
      <c r="K27" s="2"/>
      <c r="L27" s="6">
        <f t="shared" si="2"/>
        <v>147.26</v>
      </c>
      <c r="M27" s="2"/>
      <c r="N27" s="7">
        <f t="shared" si="3"/>
        <v>0.14384230679065405</v>
      </c>
      <c r="O27" s="11"/>
      <c r="P27" s="6">
        <v>6803.47</v>
      </c>
      <c r="Q27" s="2"/>
      <c r="R27" s="7">
        <f t="shared" si="4"/>
        <v>0</v>
      </c>
      <c r="S27" s="2"/>
      <c r="T27" s="6">
        <v>3500.17</v>
      </c>
      <c r="U27" s="2"/>
      <c r="V27" s="7">
        <f t="shared" si="5"/>
        <v>0</v>
      </c>
      <c r="W27" s="2"/>
      <c r="X27" s="6">
        <f t="shared" si="6"/>
        <v>3303.3</v>
      </c>
      <c r="Y27" s="2"/>
      <c r="Z27" s="7">
        <f t="shared" si="7"/>
        <v>0.94375416051220373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6">
        <v>822.34</v>
      </c>
      <c r="E28" s="2"/>
      <c r="F28" s="7">
        <f t="shared" si="0"/>
        <v>0</v>
      </c>
      <c r="G28" s="2"/>
      <c r="H28" s="6">
        <v>727.7</v>
      </c>
      <c r="I28" s="2"/>
      <c r="J28" s="7">
        <f t="shared" si="1"/>
        <v>0</v>
      </c>
      <c r="K28" s="2"/>
      <c r="L28" s="6">
        <f t="shared" si="2"/>
        <v>94.639999999999986</v>
      </c>
      <c r="M28" s="2"/>
      <c r="N28" s="7">
        <f t="shared" si="3"/>
        <v>0.1300535935138106</v>
      </c>
      <c r="O28" s="11"/>
      <c r="P28" s="6">
        <v>3747.37</v>
      </c>
      <c r="Q28" s="2"/>
      <c r="R28" s="7">
        <f t="shared" si="4"/>
        <v>0</v>
      </c>
      <c r="S28" s="2"/>
      <c r="T28" s="6">
        <v>2328.36</v>
      </c>
      <c r="U28" s="2"/>
      <c r="V28" s="7">
        <f t="shared" si="5"/>
        <v>0</v>
      </c>
      <c r="W28" s="2"/>
      <c r="X28" s="6">
        <f t="shared" si="6"/>
        <v>1419.0099999999998</v>
      </c>
      <c r="Y28" s="2"/>
      <c r="Z28" s="7">
        <f t="shared" si="7"/>
        <v>0.60944613375938417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6">
        <v>341.83</v>
      </c>
      <c r="E29" s="2"/>
      <c r="F29" s="7">
        <f t="shared" si="0"/>
        <v>0</v>
      </c>
      <c r="G29" s="2"/>
      <c r="H29" s="6">
        <v>374.3</v>
      </c>
      <c r="I29" s="2"/>
      <c r="J29" s="7">
        <f t="shared" si="1"/>
        <v>0</v>
      </c>
      <c r="K29" s="2"/>
      <c r="L29" s="6">
        <f t="shared" si="2"/>
        <v>-32.470000000000027</v>
      </c>
      <c r="M29" s="2"/>
      <c r="N29" s="7">
        <f t="shared" si="3"/>
        <v>-8.6748597381779396E-2</v>
      </c>
      <c r="O29" s="11"/>
      <c r="P29" s="6">
        <v>1132</v>
      </c>
      <c r="Q29" s="2"/>
      <c r="R29" s="7">
        <f t="shared" si="4"/>
        <v>0</v>
      </c>
      <c r="S29" s="2"/>
      <c r="T29" s="6">
        <v>1068.8800000000001</v>
      </c>
      <c r="U29" s="2"/>
      <c r="V29" s="7">
        <f t="shared" si="5"/>
        <v>0</v>
      </c>
      <c r="W29" s="2"/>
      <c r="X29" s="6">
        <f t="shared" si="6"/>
        <v>63.119999999999891</v>
      </c>
      <c r="Y29" s="2"/>
      <c r="Z29" s="7">
        <f t="shared" si="7"/>
        <v>5.9052466132774387E-2</v>
      </c>
    </row>
    <row r="30" spans="1:26" s="29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20391.53</v>
      </c>
      <c r="E30" s="1"/>
      <c r="F30" s="5">
        <f t="shared" ref="F30:F34" si="8">IF(D$12=0,0,D30/D$12)</f>
        <v>0</v>
      </c>
      <c r="G30" s="1"/>
      <c r="H30" s="1">
        <f>SUM(OSRRefH22_1x_0)</f>
        <v>17947.39</v>
      </c>
      <c r="I30" s="1"/>
      <c r="J30" s="5">
        <f t="shared" ref="J30:J34" si="9">IF(H$12=0,0,H30/H$12)</f>
        <v>0</v>
      </c>
      <c r="K30" s="1"/>
      <c r="L30" s="1">
        <f t="shared" ref="L30:L34" si="10">+D30-H30</f>
        <v>2444.1399999999994</v>
      </c>
      <c r="M30" s="1"/>
      <c r="N30" s="5">
        <f t="shared" ref="N30:N34" si="11">IF(H30=0,0,L30/H30)</f>
        <v>0.13618358992588891</v>
      </c>
      <c r="O30" s="14"/>
      <c r="P30" s="1">
        <f>SUM(OSRRefP22_1x_0)</f>
        <v>69961.319999999992</v>
      </c>
      <c r="Q30" s="1"/>
      <c r="R30" s="5">
        <f t="shared" ref="R30:R34" si="12">IF(P$12=0,0,P30/P$12)</f>
        <v>0</v>
      </c>
      <c r="S30" s="1"/>
      <c r="T30" s="1">
        <f>SUM(OSRRefT22_1x_0)</f>
        <v>66826.78</v>
      </c>
      <c r="U30" s="1"/>
      <c r="V30" s="5">
        <f t="shared" ref="V30:V34" si="13">IF(T$12=0,0,T30/T$12)</f>
        <v>0</v>
      </c>
      <c r="W30" s="1"/>
      <c r="X30" s="1">
        <f t="shared" ref="X30:X34" si="14">+P30-T30</f>
        <v>3134.5399999999936</v>
      </c>
      <c r="Y30" s="1"/>
      <c r="Z30" s="5">
        <f t="shared" ref="Z30:Z34" si="15">IF(T30=0,0,X30/T30)</f>
        <v>4.6905447187489714E-2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6">
        <v>7196.13</v>
      </c>
      <c r="E31" s="2"/>
      <c r="F31" s="7">
        <f t="shared" si="8"/>
        <v>0</v>
      </c>
      <c r="G31" s="2"/>
      <c r="H31" s="6">
        <v>6955.61</v>
      </c>
      <c r="I31" s="2"/>
      <c r="J31" s="7">
        <f t="shared" si="9"/>
        <v>0</v>
      </c>
      <c r="K31" s="2"/>
      <c r="L31" s="6">
        <f t="shared" si="10"/>
        <v>240.52000000000044</v>
      </c>
      <c r="M31" s="2"/>
      <c r="N31" s="7">
        <f t="shared" si="11"/>
        <v>3.4579282047153367E-2</v>
      </c>
      <c r="O31" s="11"/>
      <c r="P31" s="6">
        <v>26086.18</v>
      </c>
      <c r="Q31" s="2"/>
      <c r="R31" s="7">
        <f t="shared" si="12"/>
        <v>0</v>
      </c>
      <c r="S31" s="2"/>
      <c r="T31" s="6">
        <v>24344.53</v>
      </c>
      <c r="U31" s="2"/>
      <c r="V31" s="7">
        <f t="shared" si="13"/>
        <v>0</v>
      </c>
      <c r="W31" s="2"/>
      <c r="X31" s="6">
        <f t="shared" si="14"/>
        <v>1741.6500000000015</v>
      </c>
      <c r="Y31" s="2"/>
      <c r="Z31" s="7">
        <f t="shared" si="15"/>
        <v>7.1541738534282709E-2</v>
      </c>
    </row>
    <row r="32" spans="1:26" s="24" customFormat="1" hidden="1" outlineLevel="2" x14ac:dyDescent="0.25">
      <c r="A32" s="28"/>
      <c r="B32" s="11" t="str">
        <f>CONCATENATE("          ", "6004", " - ", "STAFF HOURLY")</f>
        <v xml:space="preserve">          6004 - STAFF HOURLY</v>
      </c>
      <c r="C32" s="11"/>
      <c r="D32" s="6">
        <v>8357.7099999999991</v>
      </c>
      <c r="E32" s="2"/>
      <c r="F32" s="7">
        <f t="shared" si="8"/>
        <v>0</v>
      </c>
      <c r="G32" s="2"/>
      <c r="H32" s="6">
        <v>7562.73</v>
      </c>
      <c r="I32" s="2"/>
      <c r="J32" s="7">
        <f t="shared" si="9"/>
        <v>0</v>
      </c>
      <c r="K32" s="2"/>
      <c r="L32" s="6">
        <f t="shared" si="10"/>
        <v>794.97999999999956</v>
      </c>
      <c r="M32" s="2"/>
      <c r="N32" s="7">
        <f t="shared" si="11"/>
        <v>0.10511812533304767</v>
      </c>
      <c r="O32" s="11"/>
      <c r="P32" s="6">
        <v>25518.92</v>
      </c>
      <c r="Q32" s="2"/>
      <c r="R32" s="7">
        <f t="shared" si="12"/>
        <v>0</v>
      </c>
      <c r="S32" s="2"/>
      <c r="T32" s="6">
        <v>23932.95</v>
      </c>
      <c r="U32" s="2"/>
      <c r="V32" s="7">
        <f t="shared" si="13"/>
        <v>0</v>
      </c>
      <c r="W32" s="2"/>
      <c r="X32" s="6">
        <f t="shared" si="14"/>
        <v>1585.9699999999975</v>
      </c>
      <c r="Y32" s="2"/>
      <c r="Z32" s="7">
        <f t="shared" si="15"/>
        <v>6.6267217371865875E-2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6">
        <v>3999.69</v>
      </c>
      <c r="E33" s="2"/>
      <c r="F33" s="7">
        <f t="shared" si="8"/>
        <v>0</v>
      </c>
      <c r="G33" s="2"/>
      <c r="H33" s="6">
        <v>2625.48</v>
      </c>
      <c r="I33" s="2"/>
      <c r="J33" s="7">
        <f t="shared" si="9"/>
        <v>0</v>
      </c>
      <c r="K33" s="2"/>
      <c r="L33" s="6">
        <f t="shared" si="10"/>
        <v>1374.21</v>
      </c>
      <c r="M33" s="2"/>
      <c r="N33" s="7">
        <f t="shared" si="11"/>
        <v>0.52341286164815581</v>
      </c>
      <c r="O33" s="11"/>
      <c r="P33" s="6">
        <v>14514.22</v>
      </c>
      <c r="Q33" s="2"/>
      <c r="R33" s="7">
        <f t="shared" si="12"/>
        <v>0</v>
      </c>
      <c r="S33" s="2"/>
      <c r="T33" s="6">
        <v>10127.39</v>
      </c>
      <c r="U33" s="2"/>
      <c r="V33" s="7">
        <f t="shared" si="13"/>
        <v>0</v>
      </c>
      <c r="W33" s="2"/>
      <c r="X33" s="6">
        <f t="shared" si="14"/>
        <v>4386.83</v>
      </c>
      <c r="Y33" s="2"/>
      <c r="Z33" s="7">
        <f t="shared" si="15"/>
        <v>0.43316491218369196</v>
      </c>
    </row>
    <row r="34" spans="1:26" s="24" customFormat="1" hidden="1" outlineLevel="2" x14ac:dyDescent="0.25">
      <c r="A34" s="28"/>
      <c r="B34" s="11" t="str">
        <f>CONCATENATE("          ", "6007", " - ", "STUDENT HOURLY")</f>
        <v xml:space="preserve">          6007 - STUDENT HOURLY</v>
      </c>
      <c r="C34" s="11"/>
      <c r="D34" s="6">
        <v>838</v>
      </c>
      <c r="E34" s="2"/>
      <c r="F34" s="7">
        <f t="shared" si="8"/>
        <v>0</v>
      </c>
      <c r="G34" s="2"/>
      <c r="H34" s="6">
        <v>803.57</v>
      </c>
      <c r="I34" s="2"/>
      <c r="J34" s="7">
        <f t="shared" si="9"/>
        <v>0</v>
      </c>
      <c r="K34" s="2"/>
      <c r="L34" s="6">
        <f t="shared" si="10"/>
        <v>34.42999999999995</v>
      </c>
      <c r="M34" s="2"/>
      <c r="N34" s="7">
        <f t="shared" si="11"/>
        <v>4.2846298393419302E-2</v>
      </c>
      <c r="O34" s="11"/>
      <c r="P34" s="6">
        <v>3842</v>
      </c>
      <c r="Q34" s="2"/>
      <c r="R34" s="7">
        <f t="shared" si="12"/>
        <v>0</v>
      </c>
      <c r="S34" s="2"/>
      <c r="T34" s="6">
        <v>8421.91</v>
      </c>
      <c r="U34" s="2"/>
      <c r="V34" s="7">
        <f t="shared" si="13"/>
        <v>0</v>
      </c>
      <c r="W34" s="2"/>
      <c r="X34" s="6">
        <f t="shared" si="14"/>
        <v>-4579.91</v>
      </c>
      <c r="Y34" s="2"/>
      <c r="Z34" s="7">
        <f t="shared" si="15"/>
        <v>-0.54380894595169027</v>
      </c>
    </row>
    <row r="35" spans="1:26" s="29" customFormat="1" outlineLevel="1" collapsed="1" x14ac:dyDescent="0.25">
      <c r="A35" s="27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0</v>
      </c>
      <c r="E35" s="1"/>
      <c r="F35" s="5">
        <f t="shared" ref="F35:F52" si="16">IF(D$12=0,0,D35/D$12)</f>
        <v>0</v>
      </c>
      <c r="G35" s="1"/>
      <c r="H35" s="1">
        <f>SUM(OSRRefH22_2x_0)</f>
        <v>808.86</v>
      </c>
      <c r="I35" s="1"/>
      <c r="J35" s="5">
        <f t="shared" ref="J35:J52" si="17">IF(H$12=0,0,H35/H$12)</f>
        <v>0</v>
      </c>
      <c r="K35" s="1"/>
      <c r="L35" s="1">
        <f t="shared" ref="L35:L52" si="18">+D35-H35</f>
        <v>-808.86</v>
      </c>
      <c r="M35" s="1"/>
      <c r="N35" s="5">
        <f t="shared" ref="N35:N52" si="19">IF(H35=0,0,L35/H35)</f>
        <v>-1</v>
      </c>
      <c r="O35" s="14"/>
      <c r="P35" s="1">
        <f>SUM(OSRRefP22_2x_0)</f>
        <v>588.74</v>
      </c>
      <c r="Q35" s="1"/>
      <c r="R35" s="5">
        <f t="shared" ref="R35:R52" si="20">IF(P$12=0,0,P35/P$12)</f>
        <v>0</v>
      </c>
      <c r="S35" s="1"/>
      <c r="T35" s="1">
        <f>SUM(OSRRefT22_2x_0)</f>
        <v>1755.89</v>
      </c>
      <c r="U35" s="1"/>
      <c r="V35" s="5">
        <f t="shared" ref="V35:V52" si="21">IF(T$12=0,0,T35/T$12)</f>
        <v>0</v>
      </c>
      <c r="W35" s="1"/>
      <c r="X35" s="1">
        <f t="shared" ref="X35:X52" si="22">+P35-T35</f>
        <v>-1167.1500000000001</v>
      </c>
      <c r="Y35" s="1"/>
      <c r="Z35" s="5">
        <f t="shared" ref="Z35:Z52" si="23">IF(T35=0,0,X35/T35)</f>
        <v>-0.66470564784809982</v>
      </c>
    </row>
    <row r="36" spans="1:26" s="24" customFormat="1" hidden="1" outlineLevel="2" x14ac:dyDescent="0.25">
      <c r="A36" s="28"/>
      <c r="B36" s="11" t="str">
        <f>CONCATENATE("          ", "6362", " - ", "ADVERTISING EXPENSE")</f>
        <v xml:space="preserve">          6362 - ADVERTISING EXPENSE</v>
      </c>
      <c r="C36" s="11"/>
      <c r="D36" s="6"/>
      <c r="E36" s="2"/>
      <c r="F36" s="7">
        <f t="shared" si="16"/>
        <v>0</v>
      </c>
      <c r="G36" s="2"/>
      <c r="H36" s="6">
        <v>808.86</v>
      </c>
      <c r="I36" s="2"/>
      <c r="J36" s="7">
        <f t="shared" si="17"/>
        <v>0</v>
      </c>
      <c r="K36" s="2"/>
      <c r="L36" s="6">
        <f t="shared" si="18"/>
        <v>-808.86</v>
      </c>
      <c r="M36" s="2"/>
      <c r="N36" s="7">
        <f t="shared" si="19"/>
        <v>-1</v>
      </c>
      <c r="O36" s="11"/>
      <c r="P36" s="6">
        <v>588.74</v>
      </c>
      <c r="Q36" s="2"/>
      <c r="R36" s="7">
        <f t="shared" si="20"/>
        <v>0</v>
      </c>
      <c r="S36" s="2"/>
      <c r="T36" s="6">
        <v>1755.89</v>
      </c>
      <c r="U36" s="2"/>
      <c r="V36" s="7">
        <f t="shared" si="21"/>
        <v>0</v>
      </c>
      <c r="W36" s="2"/>
      <c r="X36" s="6">
        <f t="shared" si="22"/>
        <v>-1167.1500000000001</v>
      </c>
      <c r="Y36" s="2"/>
      <c r="Z36" s="7">
        <f t="shared" si="23"/>
        <v>-0.66470564784809982</v>
      </c>
    </row>
    <row r="37" spans="1:26" s="29" customFormat="1" outlineLevel="1" collapsed="1" x14ac:dyDescent="0.25">
      <c r="A37" s="27"/>
      <c r="B37" s="14" t="str">
        <f>CONCATENATE("     ","Depreciation                                      ")</f>
        <v xml:space="preserve">     Depreciation                                      </v>
      </c>
      <c r="C37" s="14"/>
      <c r="D37" s="1">
        <f>SUM(OSRRefD22_3x_0)</f>
        <v>224.18</v>
      </c>
      <c r="E37" s="1"/>
      <c r="F37" s="5">
        <f t="shared" si="16"/>
        <v>0</v>
      </c>
      <c r="G37" s="1"/>
      <c r="H37" s="1">
        <f>SUM(OSRRefH22_3x_0)</f>
        <v>224.17</v>
      </c>
      <c r="I37" s="1"/>
      <c r="J37" s="5">
        <f t="shared" si="17"/>
        <v>0</v>
      </c>
      <c r="K37" s="1"/>
      <c r="L37" s="1">
        <f t="shared" si="18"/>
        <v>1.0000000000019327E-2</v>
      </c>
      <c r="M37" s="1"/>
      <c r="N37" s="5">
        <f t="shared" si="19"/>
        <v>4.4609002096709314E-5</v>
      </c>
      <c r="O37" s="14"/>
      <c r="P37" s="1">
        <f>SUM(OSRRefP22_3x_0)</f>
        <v>672.54</v>
      </c>
      <c r="Q37" s="1"/>
      <c r="R37" s="5">
        <f t="shared" si="20"/>
        <v>0</v>
      </c>
      <c r="S37" s="1"/>
      <c r="T37" s="1">
        <f>SUM(OSRRefT22_3x_0)</f>
        <v>672.51</v>
      </c>
      <c r="U37" s="1"/>
      <c r="V37" s="5">
        <f t="shared" si="21"/>
        <v>0</v>
      </c>
      <c r="W37" s="1"/>
      <c r="X37" s="1">
        <f t="shared" si="22"/>
        <v>2.9999999999972715E-2</v>
      </c>
      <c r="Y37" s="1"/>
      <c r="Z37" s="5">
        <f t="shared" si="23"/>
        <v>4.460900209658253E-5</v>
      </c>
    </row>
    <row r="38" spans="1:26" s="24" customFormat="1" hidden="1" outlineLevel="2" x14ac:dyDescent="0.25">
      <c r="A38" s="28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224.18</v>
      </c>
      <c r="E38" s="2"/>
      <c r="F38" s="7">
        <f t="shared" si="16"/>
        <v>0</v>
      </c>
      <c r="G38" s="2"/>
      <c r="H38" s="6">
        <v>224.17</v>
      </c>
      <c r="I38" s="2"/>
      <c r="J38" s="7">
        <f t="shared" si="17"/>
        <v>0</v>
      </c>
      <c r="K38" s="2"/>
      <c r="L38" s="6">
        <f t="shared" si="18"/>
        <v>1.0000000000019327E-2</v>
      </c>
      <c r="M38" s="2"/>
      <c r="N38" s="7">
        <f t="shared" si="19"/>
        <v>4.4609002096709314E-5</v>
      </c>
      <c r="O38" s="11"/>
      <c r="P38" s="6">
        <v>672.54</v>
      </c>
      <c r="Q38" s="2"/>
      <c r="R38" s="7">
        <f t="shared" si="20"/>
        <v>0</v>
      </c>
      <c r="S38" s="2"/>
      <c r="T38" s="6">
        <v>672.51</v>
      </c>
      <c r="U38" s="2"/>
      <c r="V38" s="7">
        <f t="shared" si="21"/>
        <v>0</v>
      </c>
      <c r="W38" s="2"/>
      <c r="X38" s="6">
        <f t="shared" si="22"/>
        <v>2.9999999999972715E-2</v>
      </c>
      <c r="Y38" s="2"/>
      <c r="Z38" s="7">
        <f t="shared" si="23"/>
        <v>4.460900209658253E-5</v>
      </c>
    </row>
    <row r="39" spans="1:26" s="29" customFormat="1" outlineLevel="1" collapsed="1" x14ac:dyDescent="0.25">
      <c r="A39" s="27"/>
      <c r="B39" s="14" t="str">
        <f>CONCATENATE("     ","Employees' Appreciation                           ")</f>
        <v xml:space="preserve">     Employees' Appreciation                           </v>
      </c>
      <c r="C39" s="14"/>
      <c r="D39" s="1">
        <f>SUM(OSRRefD22_4x_0)</f>
        <v>438</v>
      </c>
      <c r="E39" s="1"/>
      <c r="F39" s="5">
        <f t="shared" si="16"/>
        <v>0</v>
      </c>
      <c r="G39" s="1"/>
      <c r="H39" s="1">
        <f>SUM(OSRRefH22_4x_0)</f>
        <v>-971.98</v>
      </c>
      <c r="I39" s="1"/>
      <c r="J39" s="5">
        <f t="shared" si="17"/>
        <v>0</v>
      </c>
      <c r="K39" s="1"/>
      <c r="L39" s="1">
        <f t="shared" si="18"/>
        <v>1409.98</v>
      </c>
      <c r="M39" s="1"/>
      <c r="N39" s="5">
        <f t="shared" si="19"/>
        <v>-1.4506265561019773</v>
      </c>
      <c r="O39" s="14"/>
      <c r="P39" s="1">
        <f>SUM(OSRRefP22_4x_0)</f>
        <v>11565.12</v>
      </c>
      <c r="Q39" s="1"/>
      <c r="R39" s="5">
        <f t="shared" si="20"/>
        <v>0</v>
      </c>
      <c r="S39" s="1"/>
      <c r="T39" s="1">
        <f>SUM(OSRRefT22_4x_0)</f>
        <v>7655.07</v>
      </c>
      <c r="U39" s="1"/>
      <c r="V39" s="5">
        <f t="shared" si="21"/>
        <v>0</v>
      </c>
      <c r="W39" s="1"/>
      <c r="X39" s="1">
        <f t="shared" si="22"/>
        <v>3910.0500000000011</v>
      </c>
      <c r="Y39" s="1"/>
      <c r="Z39" s="5">
        <f t="shared" si="23"/>
        <v>0.51077913069377567</v>
      </c>
    </row>
    <row r="40" spans="1:26" s="24" customFormat="1" hidden="1" outlineLevel="2" x14ac:dyDescent="0.25">
      <c r="A40" s="28"/>
      <c r="B40" s="11" t="str">
        <f>CONCATENATE("          ", "6277", " - ", "EMPLOYEE APPRECIATION")</f>
        <v xml:space="preserve">          6277 - EMPLOYEE APPRECIATION</v>
      </c>
      <c r="C40" s="11"/>
      <c r="D40" s="6">
        <v>438</v>
      </c>
      <c r="E40" s="2"/>
      <c r="F40" s="7">
        <f t="shared" si="16"/>
        <v>0</v>
      </c>
      <c r="G40" s="2"/>
      <c r="H40" s="6">
        <v>-971.98</v>
      </c>
      <c r="I40" s="2"/>
      <c r="J40" s="7">
        <f t="shared" si="17"/>
        <v>0</v>
      </c>
      <c r="K40" s="2"/>
      <c r="L40" s="6">
        <f t="shared" si="18"/>
        <v>1409.98</v>
      </c>
      <c r="M40" s="2"/>
      <c r="N40" s="7">
        <f t="shared" si="19"/>
        <v>-1.4506265561019773</v>
      </c>
      <c r="O40" s="11"/>
      <c r="P40" s="6">
        <v>11565.12</v>
      </c>
      <c r="Q40" s="2"/>
      <c r="R40" s="7">
        <f t="shared" si="20"/>
        <v>0</v>
      </c>
      <c r="S40" s="2"/>
      <c r="T40" s="6">
        <v>7655.07</v>
      </c>
      <c r="U40" s="2"/>
      <c r="V40" s="7">
        <f t="shared" si="21"/>
        <v>0</v>
      </c>
      <c r="W40" s="2"/>
      <c r="X40" s="6">
        <f t="shared" si="22"/>
        <v>3910.0500000000011</v>
      </c>
      <c r="Y40" s="2"/>
      <c r="Z40" s="7">
        <f t="shared" si="23"/>
        <v>0.51077913069377567</v>
      </c>
    </row>
    <row r="41" spans="1:26" s="29" customFormat="1" outlineLevel="1" collapsed="1" x14ac:dyDescent="0.25">
      <c r="A41" s="27"/>
      <c r="B41" s="14" t="str">
        <f>CONCATENATE("     ","Equipment Rental                                  ")</f>
        <v xml:space="preserve">     Equipment Rental                                  </v>
      </c>
      <c r="C41" s="14"/>
      <c r="D41" s="1">
        <f>SUM(OSRRefD22_5x_0)</f>
        <v>91.26</v>
      </c>
      <c r="E41" s="1"/>
      <c r="F41" s="5">
        <f t="shared" si="16"/>
        <v>0</v>
      </c>
      <c r="G41" s="1"/>
      <c r="H41" s="1">
        <f>SUM(OSRRefH22_5x_0)</f>
        <v>91.26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SUM(OSRRefP22_5x_0)</f>
        <v>273.77999999999997</v>
      </c>
      <c r="Q41" s="1"/>
      <c r="R41" s="5">
        <f t="shared" si="20"/>
        <v>0</v>
      </c>
      <c r="S41" s="1"/>
      <c r="T41" s="1">
        <f>SUM(OSRRefT22_5x_0)</f>
        <v>273.77999999999997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8"/>
      <c r="B42" s="11" t="str">
        <f>CONCATENATE("          ", "6351", " - ", "EQUIPMENT RENTAL")</f>
        <v xml:space="preserve">          6351 - EQUIPMENT RENTAL</v>
      </c>
      <c r="C42" s="11"/>
      <c r="D42" s="6">
        <v>91.26</v>
      </c>
      <c r="E42" s="2"/>
      <c r="F42" s="7">
        <f t="shared" si="16"/>
        <v>0</v>
      </c>
      <c r="G42" s="2"/>
      <c r="H42" s="6">
        <v>91.26</v>
      </c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273.77999999999997</v>
      </c>
      <c r="Q42" s="2"/>
      <c r="R42" s="7">
        <f t="shared" si="20"/>
        <v>0</v>
      </c>
      <c r="S42" s="2"/>
      <c r="T42" s="6">
        <v>273.77999999999997</v>
      </c>
      <c r="U42" s="2"/>
      <c r="V42" s="7">
        <f t="shared" si="21"/>
        <v>0</v>
      </c>
      <c r="W42" s="2"/>
      <c r="X42" s="6">
        <f t="shared" si="22"/>
        <v>0</v>
      </c>
      <c r="Y42" s="2"/>
      <c r="Z42" s="7">
        <f t="shared" si="23"/>
        <v>0</v>
      </c>
    </row>
    <row r="43" spans="1:26" s="29" customFormat="1" outlineLevel="1" collapsed="1" x14ac:dyDescent="0.25">
      <c r="A43" s="27"/>
      <c r="B43" s="14" t="str">
        <f>CONCATENATE("     ","Freight out/Postage                               ")</f>
        <v xml:space="preserve">     Freight out/Postage                               </v>
      </c>
      <c r="C43" s="14"/>
      <c r="D43" s="1">
        <f>SUM(OSRRefD22_6x_0)</f>
        <v>57.75</v>
      </c>
      <c r="E43" s="1"/>
      <c r="F43" s="5">
        <f t="shared" si="16"/>
        <v>0</v>
      </c>
      <c r="G43" s="1"/>
      <c r="H43" s="1">
        <f>SUM(OSRRefH22_6x_0)</f>
        <v>131.91999999999999</v>
      </c>
      <c r="I43" s="1"/>
      <c r="J43" s="5">
        <f t="shared" si="17"/>
        <v>0</v>
      </c>
      <c r="K43" s="1"/>
      <c r="L43" s="1">
        <f t="shared" si="18"/>
        <v>-74.169999999999987</v>
      </c>
      <c r="M43" s="1"/>
      <c r="N43" s="5">
        <f t="shared" si="19"/>
        <v>-0.56223468768950879</v>
      </c>
      <c r="O43" s="14"/>
      <c r="P43" s="1">
        <f>SUM(OSRRefP22_6x_0)</f>
        <v>212.45</v>
      </c>
      <c r="Q43" s="1"/>
      <c r="R43" s="5">
        <f t="shared" si="20"/>
        <v>0</v>
      </c>
      <c r="S43" s="1"/>
      <c r="T43" s="1">
        <f>SUM(OSRRefT22_6x_0)</f>
        <v>260.81</v>
      </c>
      <c r="U43" s="1"/>
      <c r="V43" s="5">
        <f t="shared" si="21"/>
        <v>0</v>
      </c>
      <c r="W43" s="1"/>
      <c r="X43" s="1">
        <f t="shared" si="22"/>
        <v>-48.360000000000014</v>
      </c>
      <c r="Y43" s="1"/>
      <c r="Z43" s="5">
        <f t="shared" si="23"/>
        <v>-0.18542233810053302</v>
      </c>
    </row>
    <row r="44" spans="1:26" s="24" customFormat="1" hidden="1" outlineLevel="2" x14ac:dyDescent="0.25">
      <c r="A44" s="28"/>
      <c r="B44" s="11" t="str">
        <f>CONCATENATE("          ", "6307", " - ", "POSTAGE")</f>
        <v xml:space="preserve">          6307 - POSTAGE</v>
      </c>
      <c r="C44" s="11"/>
      <c r="D44" s="6">
        <v>57.75</v>
      </c>
      <c r="E44" s="2"/>
      <c r="F44" s="7">
        <f t="shared" si="16"/>
        <v>0</v>
      </c>
      <c r="G44" s="2"/>
      <c r="H44" s="6">
        <v>131.91999999999999</v>
      </c>
      <c r="I44" s="2"/>
      <c r="J44" s="7">
        <f t="shared" si="17"/>
        <v>0</v>
      </c>
      <c r="K44" s="2"/>
      <c r="L44" s="6">
        <f t="shared" si="18"/>
        <v>-74.169999999999987</v>
      </c>
      <c r="M44" s="2"/>
      <c r="N44" s="7">
        <f t="shared" si="19"/>
        <v>-0.56223468768950879</v>
      </c>
      <c r="O44" s="11"/>
      <c r="P44" s="6">
        <v>212.45</v>
      </c>
      <c r="Q44" s="2"/>
      <c r="R44" s="7">
        <f t="shared" si="20"/>
        <v>0</v>
      </c>
      <c r="S44" s="2"/>
      <c r="T44" s="6">
        <v>260.81</v>
      </c>
      <c r="U44" s="2"/>
      <c r="V44" s="7">
        <f t="shared" si="21"/>
        <v>0</v>
      </c>
      <c r="W44" s="2"/>
      <c r="X44" s="6">
        <f t="shared" si="22"/>
        <v>-48.360000000000014</v>
      </c>
      <c r="Y44" s="2"/>
      <c r="Z44" s="7">
        <f t="shared" si="23"/>
        <v>-0.18542233810053302</v>
      </c>
    </row>
    <row r="45" spans="1:26" s="29" customFormat="1" outlineLevel="1" collapsed="1" x14ac:dyDescent="0.25">
      <c r="A45" s="27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SUM(OSRRefD22_7x_0)</f>
        <v>700</v>
      </c>
      <c r="E45" s="1"/>
      <c r="F45" s="5">
        <f t="shared" si="16"/>
        <v>0</v>
      </c>
      <c r="G45" s="1"/>
      <c r="H45" s="1">
        <f>SUM(OSRRefH22_7x_0)</f>
        <v>0</v>
      </c>
      <c r="I45" s="1"/>
      <c r="J45" s="5">
        <f t="shared" si="17"/>
        <v>0</v>
      </c>
      <c r="K45" s="1"/>
      <c r="L45" s="1">
        <f t="shared" si="18"/>
        <v>700</v>
      </c>
      <c r="M45" s="1"/>
      <c r="N45" s="5">
        <f t="shared" si="19"/>
        <v>0</v>
      </c>
      <c r="O45" s="14"/>
      <c r="P45" s="1">
        <f>SUM(OSRRefP22_7x_0)</f>
        <v>700</v>
      </c>
      <c r="Q45" s="1"/>
      <c r="R45" s="5">
        <f t="shared" si="20"/>
        <v>0</v>
      </c>
      <c r="S45" s="1"/>
      <c r="T45" s="1">
        <f>SUM(OSRRefT22_7x_0)</f>
        <v>0</v>
      </c>
      <c r="U45" s="1"/>
      <c r="V45" s="5">
        <f t="shared" si="21"/>
        <v>0</v>
      </c>
      <c r="W45" s="1"/>
      <c r="X45" s="1">
        <f t="shared" si="22"/>
        <v>700</v>
      </c>
      <c r="Y45" s="1"/>
      <c r="Z45" s="5">
        <f t="shared" si="23"/>
        <v>0</v>
      </c>
    </row>
    <row r="46" spans="1:26" s="24" customFormat="1" hidden="1" outlineLevel="2" x14ac:dyDescent="0.25">
      <c r="A46" s="28"/>
      <c r="B46" s="11" t="str">
        <f>CONCATENATE("          ", "6279", " - ", "GENERAL EXPENSE")</f>
        <v xml:space="preserve">          6279 - GENERAL EXPENSE</v>
      </c>
      <c r="C46" s="11"/>
      <c r="D46" s="6">
        <v>700</v>
      </c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700</v>
      </c>
      <c r="M46" s="2"/>
      <c r="N46" s="7">
        <f t="shared" si="19"/>
        <v>0</v>
      </c>
      <c r="O46" s="11"/>
      <c r="P46" s="6">
        <v>700</v>
      </c>
      <c r="Q46" s="2"/>
      <c r="R46" s="7">
        <f t="shared" si="20"/>
        <v>0</v>
      </c>
      <c r="S46" s="2"/>
      <c r="T46" s="6"/>
      <c r="U46" s="2"/>
      <c r="V46" s="7">
        <f t="shared" si="21"/>
        <v>0</v>
      </c>
      <c r="W46" s="2"/>
      <c r="X46" s="6">
        <f t="shared" si="22"/>
        <v>700</v>
      </c>
      <c r="Y46" s="2"/>
      <c r="Z46" s="7">
        <f t="shared" si="23"/>
        <v>0</v>
      </c>
    </row>
    <row r="47" spans="1:26" s="29" customFormat="1" outlineLevel="1" collapsed="1" x14ac:dyDescent="0.25">
      <c r="A47" s="27"/>
      <c r="B47" s="14" t="str">
        <f>CONCATENATE("     ","Insurance                                         ")</f>
        <v xml:space="preserve">     Insurance                                         </v>
      </c>
      <c r="C47" s="14"/>
      <c r="D47" s="1">
        <f>SUM(OSRRefD22_8x_0)</f>
        <v>65.47</v>
      </c>
      <c r="E47" s="1"/>
      <c r="F47" s="5">
        <f t="shared" si="16"/>
        <v>0</v>
      </c>
      <c r="G47" s="1"/>
      <c r="H47" s="1">
        <f>SUM(OSRRefH22_8x_0)</f>
        <v>61.68</v>
      </c>
      <c r="I47" s="1"/>
      <c r="J47" s="5">
        <f t="shared" si="17"/>
        <v>0</v>
      </c>
      <c r="K47" s="1"/>
      <c r="L47" s="1">
        <f t="shared" si="18"/>
        <v>3.7899999999999991</v>
      </c>
      <c r="M47" s="1"/>
      <c r="N47" s="5">
        <f t="shared" si="19"/>
        <v>6.1446173800259393E-2</v>
      </c>
      <c r="O47" s="14"/>
      <c r="P47" s="1">
        <f>SUM(OSRRefP22_8x_0)</f>
        <v>196.41</v>
      </c>
      <c r="Q47" s="1"/>
      <c r="R47" s="5">
        <f t="shared" si="20"/>
        <v>0</v>
      </c>
      <c r="S47" s="1"/>
      <c r="T47" s="1">
        <f>SUM(OSRRefT22_8x_0)</f>
        <v>185.04</v>
      </c>
      <c r="U47" s="1"/>
      <c r="V47" s="5">
        <f t="shared" si="21"/>
        <v>0</v>
      </c>
      <c r="W47" s="1"/>
      <c r="X47" s="1">
        <f t="shared" si="22"/>
        <v>11.370000000000005</v>
      </c>
      <c r="Y47" s="1"/>
      <c r="Z47" s="5">
        <f t="shared" si="23"/>
        <v>6.1446173800259428E-2</v>
      </c>
    </row>
    <row r="48" spans="1:26" s="24" customFormat="1" hidden="1" outlineLevel="2" x14ac:dyDescent="0.25">
      <c r="A48" s="28"/>
      <c r="B48" s="11" t="str">
        <f>CONCATENATE("          ", "6314", " - ", "LIABILITY INSURANCE")</f>
        <v xml:space="preserve">          6314 - LIABILITY INSURANCE</v>
      </c>
      <c r="C48" s="11"/>
      <c r="D48" s="6">
        <v>65.47</v>
      </c>
      <c r="E48" s="2"/>
      <c r="F48" s="7">
        <f t="shared" si="16"/>
        <v>0</v>
      </c>
      <c r="G48" s="2"/>
      <c r="H48" s="6">
        <v>61.68</v>
      </c>
      <c r="I48" s="2"/>
      <c r="J48" s="7">
        <f t="shared" si="17"/>
        <v>0</v>
      </c>
      <c r="K48" s="2"/>
      <c r="L48" s="6">
        <f t="shared" si="18"/>
        <v>3.7899999999999991</v>
      </c>
      <c r="M48" s="2"/>
      <c r="N48" s="7">
        <f t="shared" si="19"/>
        <v>6.1446173800259393E-2</v>
      </c>
      <c r="O48" s="11"/>
      <c r="P48" s="6">
        <v>196.41</v>
      </c>
      <c r="Q48" s="2"/>
      <c r="R48" s="7">
        <f t="shared" si="20"/>
        <v>0</v>
      </c>
      <c r="S48" s="2"/>
      <c r="T48" s="6">
        <v>185.04</v>
      </c>
      <c r="U48" s="2"/>
      <c r="V48" s="7">
        <f t="shared" si="21"/>
        <v>0</v>
      </c>
      <c r="W48" s="2"/>
      <c r="X48" s="6">
        <f t="shared" si="22"/>
        <v>11.370000000000005</v>
      </c>
      <c r="Y48" s="2"/>
      <c r="Z48" s="7">
        <f t="shared" si="23"/>
        <v>6.1446173800259428E-2</v>
      </c>
    </row>
    <row r="49" spans="1:26" s="29" customFormat="1" outlineLevel="1" collapsed="1" x14ac:dyDescent="0.25">
      <c r="A49" s="27"/>
      <c r="B49" s="14" t="str">
        <f>CONCATENATE("     ","Professional Services                             ")</f>
        <v xml:space="preserve">     Professional Services                             </v>
      </c>
      <c r="C49" s="14"/>
      <c r="D49" s="1">
        <f>SUM(OSRRefD22_9x_0)</f>
        <v>18408.439999999999</v>
      </c>
      <c r="E49" s="1"/>
      <c r="F49" s="5">
        <f t="shared" si="16"/>
        <v>0</v>
      </c>
      <c r="G49" s="1"/>
      <c r="H49" s="1">
        <f>SUM(OSRRefH22_9x_0)</f>
        <v>5600</v>
      </c>
      <c r="I49" s="1"/>
      <c r="J49" s="5">
        <f t="shared" si="17"/>
        <v>0</v>
      </c>
      <c r="K49" s="1"/>
      <c r="L49" s="1">
        <f t="shared" si="18"/>
        <v>12808.439999999999</v>
      </c>
      <c r="M49" s="1"/>
      <c r="N49" s="5">
        <f t="shared" si="19"/>
        <v>2.2872214285714283</v>
      </c>
      <c r="O49" s="14"/>
      <c r="P49" s="1">
        <f>SUM(OSRRefP22_9x_0)</f>
        <v>27414.18</v>
      </c>
      <c r="Q49" s="1"/>
      <c r="R49" s="5">
        <f t="shared" si="20"/>
        <v>0</v>
      </c>
      <c r="S49" s="1"/>
      <c r="T49" s="1">
        <f>SUM(OSRRefT22_9x_0)</f>
        <v>5912.75</v>
      </c>
      <c r="U49" s="1"/>
      <c r="V49" s="5">
        <f t="shared" si="21"/>
        <v>0</v>
      </c>
      <c r="W49" s="1"/>
      <c r="X49" s="1">
        <f t="shared" si="22"/>
        <v>21501.43</v>
      </c>
      <c r="Y49" s="1"/>
      <c r="Z49" s="5">
        <f t="shared" si="23"/>
        <v>3.6364517356559976</v>
      </c>
    </row>
    <row r="50" spans="1:26" s="24" customFormat="1" hidden="1" outlineLevel="2" x14ac:dyDescent="0.25">
      <c r="A50" s="28"/>
      <c r="B50" s="11" t="str">
        <f>CONCATENATE("          ", "6332", " - ", "CONSULTANT FEES")</f>
        <v xml:space="preserve">          6332 - CONSULTANT FEES</v>
      </c>
      <c r="C50" s="11"/>
      <c r="D50" s="6"/>
      <c r="E50" s="2"/>
      <c r="F50" s="7">
        <f t="shared" si="16"/>
        <v>0</v>
      </c>
      <c r="G50" s="2"/>
      <c r="H50" s="6">
        <v>5600</v>
      </c>
      <c r="I50" s="2"/>
      <c r="J50" s="7">
        <f t="shared" si="17"/>
        <v>0</v>
      </c>
      <c r="K50" s="2"/>
      <c r="L50" s="6">
        <f t="shared" si="18"/>
        <v>-5600</v>
      </c>
      <c r="M50" s="2"/>
      <c r="N50" s="7">
        <f t="shared" si="19"/>
        <v>-1</v>
      </c>
      <c r="O50" s="11"/>
      <c r="P50" s="6"/>
      <c r="Q50" s="2"/>
      <c r="R50" s="7">
        <f t="shared" si="20"/>
        <v>0</v>
      </c>
      <c r="S50" s="2"/>
      <c r="T50" s="6">
        <v>5600</v>
      </c>
      <c r="U50" s="2"/>
      <c r="V50" s="7">
        <f t="shared" si="21"/>
        <v>0</v>
      </c>
      <c r="W50" s="2"/>
      <c r="X50" s="6">
        <f t="shared" si="22"/>
        <v>-5600</v>
      </c>
      <c r="Y50" s="2"/>
      <c r="Z50" s="7">
        <f t="shared" si="23"/>
        <v>-1</v>
      </c>
    </row>
    <row r="51" spans="1:26" s="24" customFormat="1" hidden="1" outlineLevel="2" x14ac:dyDescent="0.25">
      <c r="A51" s="28"/>
      <c r="B51" s="11" t="str">
        <f>CONCATENATE("          ", "6334", " - ", "LEGAL COUNCIL EXPENSE")</f>
        <v xml:space="preserve">          6334 - LEGAL COUNCIL EXPENSE</v>
      </c>
      <c r="C51" s="11"/>
      <c r="D51" s="6">
        <v>11970</v>
      </c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11970</v>
      </c>
      <c r="M51" s="2"/>
      <c r="N51" s="7">
        <f t="shared" si="19"/>
        <v>0</v>
      </c>
      <c r="O51" s="11"/>
      <c r="P51" s="6">
        <v>18585</v>
      </c>
      <c r="Q51" s="2"/>
      <c r="R51" s="7">
        <f t="shared" si="20"/>
        <v>0</v>
      </c>
      <c r="S51" s="2"/>
      <c r="T51" s="6"/>
      <c r="U51" s="2"/>
      <c r="V51" s="7">
        <f t="shared" si="21"/>
        <v>0</v>
      </c>
      <c r="W51" s="2"/>
      <c r="X51" s="6">
        <f t="shared" si="22"/>
        <v>18585</v>
      </c>
      <c r="Y51" s="2"/>
      <c r="Z51" s="7">
        <f t="shared" si="23"/>
        <v>0</v>
      </c>
    </row>
    <row r="52" spans="1:26" s="24" customFormat="1" hidden="1" outlineLevel="2" x14ac:dyDescent="0.25">
      <c r="A52" s="28"/>
      <c r="B52" s="11" t="str">
        <f>CONCATENATE("          ", "6336", " - ", "PROFESSIONAL SERVICES")</f>
        <v xml:space="preserve">          6336 - PROFESSIONAL SERVICES</v>
      </c>
      <c r="C52" s="11"/>
      <c r="D52" s="6">
        <v>6438.44</v>
      </c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6438.44</v>
      </c>
      <c r="M52" s="2"/>
      <c r="N52" s="7">
        <f t="shared" si="19"/>
        <v>0</v>
      </c>
      <c r="O52" s="11"/>
      <c r="P52" s="6">
        <v>8829.18</v>
      </c>
      <c r="Q52" s="2"/>
      <c r="R52" s="7">
        <f t="shared" si="20"/>
        <v>0</v>
      </c>
      <c r="S52" s="2"/>
      <c r="T52" s="6">
        <v>312.75</v>
      </c>
      <c r="U52" s="2"/>
      <c r="V52" s="7">
        <f t="shared" si="21"/>
        <v>0</v>
      </c>
      <c r="W52" s="2"/>
      <c r="X52" s="6">
        <f t="shared" si="22"/>
        <v>8516.43</v>
      </c>
      <c r="Y52" s="2"/>
      <c r="Z52" s="7">
        <f t="shared" si="23"/>
        <v>27.230791366906477</v>
      </c>
    </row>
    <row r="53" spans="1:26" s="29" customFormat="1" outlineLevel="1" collapsed="1" x14ac:dyDescent="0.25">
      <c r="A53" s="27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SUM(OSRRefD22_10x_0)</f>
        <v>11005.12</v>
      </c>
      <c r="E53" s="1"/>
      <c r="F53" s="5">
        <f t="shared" ref="F53:F55" si="24">IF(D$12=0,0,D53/D$12)</f>
        <v>0</v>
      </c>
      <c r="G53" s="1"/>
      <c r="H53" s="1">
        <f>SUM(OSRRefH22_10x_0)</f>
        <v>11062</v>
      </c>
      <c r="I53" s="1"/>
      <c r="J53" s="5">
        <f t="shared" ref="J53:J55" si="25">IF(H$12=0,0,H53/H$12)</f>
        <v>0</v>
      </c>
      <c r="K53" s="1"/>
      <c r="L53" s="1">
        <f t="shared" ref="L53:L55" si="26">+D53-H53</f>
        <v>-56.8799999999992</v>
      </c>
      <c r="M53" s="1"/>
      <c r="N53" s="5">
        <f t="shared" ref="N53:N55" si="27">IF(H53=0,0,L53/H53)</f>
        <v>-5.1419273187487975E-3</v>
      </c>
      <c r="O53" s="14"/>
      <c r="P53" s="1">
        <f>SUM(OSRRefP22_10x_0)</f>
        <v>31254.14</v>
      </c>
      <c r="Q53" s="1"/>
      <c r="R53" s="5">
        <f t="shared" ref="R53:R55" si="28">IF(P$12=0,0,P53/P$12)</f>
        <v>0</v>
      </c>
      <c r="S53" s="1"/>
      <c r="T53" s="1">
        <f>SUM(OSRRefT22_10x_0)</f>
        <v>32207.02</v>
      </c>
      <c r="U53" s="1"/>
      <c r="V53" s="5">
        <f t="shared" ref="V53:V55" si="29">IF(T$12=0,0,T53/T$12)</f>
        <v>0</v>
      </c>
      <c r="W53" s="1"/>
      <c r="X53" s="1">
        <f t="shared" ref="X53:X55" si="30">+P53-T53</f>
        <v>-952.88000000000102</v>
      </c>
      <c r="Y53" s="1"/>
      <c r="Z53" s="5">
        <f t="shared" ref="Z53:Z55" si="31">IF(T53=0,0,X53/T53)</f>
        <v>-2.9586096447296303E-2</v>
      </c>
    </row>
    <row r="54" spans="1:26" s="24" customFormat="1" hidden="1" outlineLevel="2" x14ac:dyDescent="0.25">
      <c r="A54" s="28"/>
      <c r="B54" s="11" t="str">
        <f>CONCATENATE("          ", "6371", " - ", "COMPUTER SOFTWARE MAINTENANCE")</f>
        <v xml:space="preserve">          6371 - COMPUTER SOFTWARE MAINTENANCE</v>
      </c>
      <c r="C54" s="11"/>
      <c r="D54" s="6">
        <v>11005.12</v>
      </c>
      <c r="E54" s="2"/>
      <c r="F54" s="7">
        <f t="shared" si="24"/>
        <v>0</v>
      </c>
      <c r="G54" s="2"/>
      <c r="H54" s="6">
        <v>11032.54</v>
      </c>
      <c r="I54" s="2"/>
      <c r="J54" s="7">
        <f t="shared" si="25"/>
        <v>0</v>
      </c>
      <c r="K54" s="2"/>
      <c r="L54" s="6">
        <f t="shared" si="26"/>
        <v>-27.420000000000073</v>
      </c>
      <c r="M54" s="2"/>
      <c r="N54" s="7">
        <f t="shared" si="27"/>
        <v>-2.4853750813502665E-3</v>
      </c>
      <c r="O54" s="11"/>
      <c r="P54" s="6">
        <v>31200.68</v>
      </c>
      <c r="Q54" s="2"/>
      <c r="R54" s="7">
        <f t="shared" si="28"/>
        <v>0</v>
      </c>
      <c r="S54" s="2"/>
      <c r="T54" s="6">
        <v>32102.15</v>
      </c>
      <c r="U54" s="2"/>
      <c r="V54" s="7">
        <f t="shared" si="29"/>
        <v>0</v>
      </c>
      <c r="W54" s="2"/>
      <c r="X54" s="6">
        <f t="shared" si="30"/>
        <v>-901.47000000000116</v>
      </c>
      <c r="Y54" s="2"/>
      <c r="Z54" s="7">
        <f t="shared" si="31"/>
        <v>-2.8081296735576935E-2</v>
      </c>
    </row>
    <row r="55" spans="1:26" s="24" customFormat="1" hidden="1" outlineLevel="2" x14ac:dyDescent="0.25">
      <c r="A55" s="28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24"/>
        <v>0</v>
      </c>
      <c r="G55" s="2"/>
      <c r="H55" s="6">
        <v>29.46</v>
      </c>
      <c r="I55" s="2"/>
      <c r="J55" s="7">
        <f t="shared" si="25"/>
        <v>0</v>
      </c>
      <c r="K55" s="2"/>
      <c r="L55" s="6">
        <f t="shared" si="26"/>
        <v>-29.46</v>
      </c>
      <c r="M55" s="2"/>
      <c r="N55" s="7">
        <f t="shared" si="27"/>
        <v>-1</v>
      </c>
      <c r="O55" s="11"/>
      <c r="P55" s="6">
        <v>53.46</v>
      </c>
      <c r="Q55" s="2"/>
      <c r="R55" s="7">
        <f t="shared" si="28"/>
        <v>0</v>
      </c>
      <c r="S55" s="2"/>
      <c r="T55" s="6">
        <v>104.87</v>
      </c>
      <c r="U55" s="2"/>
      <c r="V55" s="7">
        <f t="shared" si="29"/>
        <v>0</v>
      </c>
      <c r="W55" s="2"/>
      <c r="X55" s="6">
        <f t="shared" si="30"/>
        <v>-51.410000000000004</v>
      </c>
      <c r="Y55" s="2"/>
      <c r="Z55" s="7">
        <f t="shared" si="31"/>
        <v>-0.49022599408791839</v>
      </c>
    </row>
    <row r="56" spans="1:26" s="29" customFormat="1" outlineLevel="1" collapsed="1" x14ac:dyDescent="0.25">
      <c r="A56" s="27"/>
      <c r="B56" s="14" t="str">
        <f>CONCATENATE("     ","Subscriptions &amp; Dues                              ")</f>
        <v xml:space="preserve">     Subscriptions &amp; Dues                              </v>
      </c>
      <c r="C56" s="14"/>
      <c r="D56" s="1">
        <f>SUM(OSRRefD22_11x_0)</f>
        <v>0</v>
      </c>
      <c r="E56" s="1"/>
      <c r="F56" s="5">
        <f t="shared" ref="F56:F61" si="32">IF(D$12=0,0,D56/D$12)</f>
        <v>0</v>
      </c>
      <c r="G56" s="1"/>
      <c r="H56" s="1">
        <f>SUM(OSRRefH22_11x_0)</f>
        <v>378</v>
      </c>
      <c r="I56" s="1"/>
      <c r="J56" s="5">
        <f t="shared" ref="J56:J61" si="33">IF(H$12=0,0,H56/H$12)</f>
        <v>0</v>
      </c>
      <c r="K56" s="1"/>
      <c r="L56" s="1">
        <f t="shared" ref="L56:L61" si="34">+D56-H56</f>
        <v>-378</v>
      </c>
      <c r="M56" s="1"/>
      <c r="N56" s="5">
        <f t="shared" ref="N56:N61" si="35">IF(H56=0,0,L56/H56)</f>
        <v>-1</v>
      </c>
      <c r="O56" s="14"/>
      <c r="P56" s="1">
        <f>SUM(OSRRefP22_11x_0)</f>
        <v>587</v>
      </c>
      <c r="Q56" s="1"/>
      <c r="R56" s="5">
        <f t="shared" ref="R56:R61" si="36">IF(P$12=0,0,P56/P$12)</f>
        <v>0</v>
      </c>
      <c r="S56" s="1"/>
      <c r="T56" s="1">
        <f>SUM(OSRRefT22_11x_0)</f>
        <v>587</v>
      </c>
      <c r="U56" s="1"/>
      <c r="V56" s="5">
        <f t="shared" ref="V56:V61" si="37">IF(T$12=0,0,T56/T$12)</f>
        <v>0</v>
      </c>
      <c r="W56" s="1"/>
      <c r="X56" s="1">
        <f t="shared" ref="X56:X61" si="38">+P56-T56</f>
        <v>0</v>
      </c>
      <c r="Y56" s="1"/>
      <c r="Z56" s="5">
        <f t="shared" ref="Z56:Z61" si="39">IF(T56=0,0,X56/T56)</f>
        <v>0</v>
      </c>
    </row>
    <row r="57" spans="1:26" s="24" customFormat="1" hidden="1" outlineLevel="2" x14ac:dyDescent="0.25">
      <c r="A57" s="28"/>
      <c r="B57" s="11" t="str">
        <f>CONCATENATE("          ", "6258", " - ", "MEMBERSHIP DUES")</f>
        <v xml:space="preserve">          6258 - MEMBERSHIP DUES</v>
      </c>
      <c r="C57" s="11"/>
      <c r="D57" s="6"/>
      <c r="E57" s="2"/>
      <c r="F57" s="7">
        <f t="shared" si="32"/>
        <v>0</v>
      </c>
      <c r="G57" s="2"/>
      <c r="H57" s="6">
        <v>378</v>
      </c>
      <c r="I57" s="2"/>
      <c r="J57" s="7">
        <f t="shared" si="33"/>
        <v>0</v>
      </c>
      <c r="K57" s="2"/>
      <c r="L57" s="6">
        <f t="shared" si="34"/>
        <v>-378</v>
      </c>
      <c r="M57" s="2"/>
      <c r="N57" s="7">
        <f t="shared" si="35"/>
        <v>-1</v>
      </c>
      <c r="O57" s="11"/>
      <c r="P57" s="6">
        <v>587</v>
      </c>
      <c r="Q57" s="2"/>
      <c r="R57" s="7">
        <f t="shared" si="36"/>
        <v>0</v>
      </c>
      <c r="S57" s="2"/>
      <c r="T57" s="6">
        <v>587</v>
      </c>
      <c r="U57" s="2"/>
      <c r="V57" s="7">
        <f t="shared" si="37"/>
        <v>0</v>
      </c>
      <c r="W57" s="2"/>
      <c r="X57" s="6">
        <f t="shared" si="38"/>
        <v>0</v>
      </c>
      <c r="Y57" s="2"/>
      <c r="Z57" s="7">
        <f t="shared" si="39"/>
        <v>0</v>
      </c>
    </row>
    <row r="58" spans="1:26" s="29" customFormat="1" outlineLevel="1" collapsed="1" x14ac:dyDescent="0.25">
      <c r="A58" s="27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SUM(OSRRefD22_12x_0)</f>
        <v>1869.25</v>
      </c>
      <c r="E58" s="1"/>
      <c r="F58" s="5">
        <f t="shared" si="32"/>
        <v>0</v>
      </c>
      <c r="G58" s="1"/>
      <c r="H58" s="1">
        <f>SUM(OSRRefH22_12x_0)</f>
        <v>4389.72</v>
      </c>
      <c r="I58" s="1"/>
      <c r="J58" s="5">
        <f t="shared" si="33"/>
        <v>0</v>
      </c>
      <c r="K58" s="1"/>
      <c r="L58" s="1">
        <f t="shared" si="34"/>
        <v>-2520.4700000000003</v>
      </c>
      <c r="M58" s="1"/>
      <c r="N58" s="5">
        <f t="shared" si="35"/>
        <v>-0.57417557384070061</v>
      </c>
      <c r="O58" s="14"/>
      <c r="P58" s="1">
        <f>SUM(OSRRefP22_12x_0)</f>
        <v>9263.82</v>
      </c>
      <c r="Q58" s="1"/>
      <c r="R58" s="5">
        <f t="shared" si="36"/>
        <v>0</v>
      </c>
      <c r="S58" s="1"/>
      <c r="T58" s="1">
        <f>SUM(OSRRefT22_12x_0)</f>
        <v>8422.56</v>
      </c>
      <c r="U58" s="1"/>
      <c r="V58" s="5">
        <f t="shared" si="37"/>
        <v>0</v>
      </c>
      <c r="W58" s="1"/>
      <c r="X58" s="1">
        <f t="shared" si="38"/>
        <v>841.26000000000022</v>
      </c>
      <c r="Y58" s="1"/>
      <c r="Z58" s="5">
        <f t="shared" si="39"/>
        <v>9.9881746167436058E-2</v>
      </c>
    </row>
    <row r="59" spans="1:26" s="24" customFormat="1" hidden="1" outlineLevel="2" x14ac:dyDescent="0.25">
      <c r="A59" s="28"/>
      <c r="B59" s="11" t="str">
        <f>CONCATENATE("          ", "6241", " - ", "OFFICE EXPENSE")</f>
        <v xml:space="preserve">          6241 - OFFICE EXPENSE</v>
      </c>
      <c r="C59" s="11"/>
      <c r="D59" s="6">
        <v>1395.77</v>
      </c>
      <c r="E59" s="2"/>
      <c r="F59" s="7">
        <f t="shared" si="32"/>
        <v>0</v>
      </c>
      <c r="G59" s="2"/>
      <c r="H59" s="6">
        <v>3765.91</v>
      </c>
      <c r="I59" s="2"/>
      <c r="J59" s="7">
        <f t="shared" si="33"/>
        <v>0</v>
      </c>
      <c r="K59" s="2"/>
      <c r="L59" s="6">
        <f t="shared" si="34"/>
        <v>-2370.14</v>
      </c>
      <c r="M59" s="2"/>
      <c r="N59" s="7">
        <f t="shared" si="35"/>
        <v>-0.62936713835434199</v>
      </c>
      <c r="O59" s="11"/>
      <c r="P59" s="6">
        <v>6292.08</v>
      </c>
      <c r="Q59" s="2"/>
      <c r="R59" s="7">
        <f t="shared" si="36"/>
        <v>0</v>
      </c>
      <c r="S59" s="2"/>
      <c r="T59" s="6">
        <v>6009.29</v>
      </c>
      <c r="U59" s="2"/>
      <c r="V59" s="7">
        <f t="shared" si="37"/>
        <v>0</v>
      </c>
      <c r="W59" s="2"/>
      <c r="X59" s="6">
        <f t="shared" si="38"/>
        <v>282.78999999999996</v>
      </c>
      <c r="Y59" s="2"/>
      <c r="Z59" s="7">
        <f t="shared" si="39"/>
        <v>4.7058803951881167E-2</v>
      </c>
    </row>
    <row r="60" spans="1:26" s="24" customFormat="1" hidden="1" outlineLevel="2" x14ac:dyDescent="0.25">
      <c r="A60" s="28"/>
      <c r="B60" s="11" t="str">
        <f>CONCATENATE("          ", "6244", " - ", "SAFETY SUPPLY EXPENSE")</f>
        <v xml:space="preserve">          6244 - SAFETY SUPPLY EXPENSE</v>
      </c>
      <c r="C60" s="11"/>
      <c r="D60" s="6">
        <v>354.41</v>
      </c>
      <c r="E60" s="2"/>
      <c r="F60" s="7">
        <f t="shared" si="32"/>
        <v>0</v>
      </c>
      <c r="G60" s="2"/>
      <c r="H60" s="6">
        <v>323.23</v>
      </c>
      <c r="I60" s="2"/>
      <c r="J60" s="7">
        <f t="shared" si="33"/>
        <v>0</v>
      </c>
      <c r="K60" s="2"/>
      <c r="L60" s="6">
        <f t="shared" si="34"/>
        <v>31.180000000000007</v>
      </c>
      <c r="M60" s="2"/>
      <c r="N60" s="7">
        <f t="shared" si="35"/>
        <v>9.6463818333694287E-2</v>
      </c>
      <c r="O60" s="11"/>
      <c r="P60" s="6">
        <v>1232.33</v>
      </c>
      <c r="Q60" s="2"/>
      <c r="R60" s="7">
        <f t="shared" si="36"/>
        <v>0</v>
      </c>
      <c r="S60" s="2"/>
      <c r="T60" s="6">
        <v>1728.21</v>
      </c>
      <c r="U60" s="2"/>
      <c r="V60" s="7">
        <f t="shared" si="37"/>
        <v>0</v>
      </c>
      <c r="W60" s="2"/>
      <c r="X60" s="6">
        <f t="shared" si="38"/>
        <v>-495.88000000000011</v>
      </c>
      <c r="Y60" s="2"/>
      <c r="Z60" s="7">
        <f t="shared" si="39"/>
        <v>-0.2869327222964802</v>
      </c>
    </row>
    <row r="61" spans="1:26" s="24" customFormat="1" hidden="1" outlineLevel="2" x14ac:dyDescent="0.25">
      <c r="A61" s="28"/>
      <c r="B61" s="11" t="str">
        <f>CONCATENATE("          ", "6245", " - ", "PRINTING")</f>
        <v xml:space="preserve">          6245 - PRINTING</v>
      </c>
      <c r="C61" s="11"/>
      <c r="D61" s="6">
        <v>119.07</v>
      </c>
      <c r="E61" s="2"/>
      <c r="F61" s="7">
        <f t="shared" si="32"/>
        <v>0</v>
      </c>
      <c r="G61" s="2"/>
      <c r="H61" s="6">
        <v>300.58</v>
      </c>
      <c r="I61" s="2"/>
      <c r="J61" s="7">
        <f t="shared" si="33"/>
        <v>0</v>
      </c>
      <c r="K61" s="2"/>
      <c r="L61" s="6">
        <f t="shared" si="34"/>
        <v>-181.51</v>
      </c>
      <c r="M61" s="2"/>
      <c r="N61" s="7">
        <f t="shared" si="35"/>
        <v>-0.60386585933861203</v>
      </c>
      <c r="O61" s="11"/>
      <c r="P61" s="6">
        <v>1739.41</v>
      </c>
      <c r="Q61" s="2"/>
      <c r="R61" s="7">
        <f t="shared" si="36"/>
        <v>0</v>
      </c>
      <c r="S61" s="2"/>
      <c r="T61" s="6">
        <v>685.06</v>
      </c>
      <c r="U61" s="2"/>
      <c r="V61" s="7">
        <f t="shared" si="37"/>
        <v>0</v>
      </c>
      <c r="W61" s="2"/>
      <c r="X61" s="6">
        <f t="shared" si="38"/>
        <v>1054.3500000000001</v>
      </c>
      <c r="Y61" s="2"/>
      <c r="Z61" s="7">
        <f t="shared" si="39"/>
        <v>1.5390622719177884</v>
      </c>
    </row>
    <row r="62" spans="1:26" s="29" customFormat="1" outlineLevel="1" collapsed="1" x14ac:dyDescent="0.25">
      <c r="A62" s="27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SUM(OSRRefD22_13x_0)</f>
        <v>340</v>
      </c>
      <c r="E62" s="1"/>
      <c r="F62" s="5">
        <f t="shared" ref="F62:F67" si="40">IF(D$12=0,0,D62/D$12)</f>
        <v>0</v>
      </c>
      <c r="G62" s="1"/>
      <c r="H62" s="1">
        <f>SUM(OSRRefH22_13x_0)</f>
        <v>399</v>
      </c>
      <c r="I62" s="1"/>
      <c r="J62" s="5">
        <f t="shared" ref="J62:J67" si="41">IF(H$12=0,0,H62/H$12)</f>
        <v>0</v>
      </c>
      <c r="K62" s="1"/>
      <c r="L62" s="1">
        <f t="shared" ref="L62:L67" si="42">+D62-H62</f>
        <v>-59</v>
      </c>
      <c r="M62" s="1"/>
      <c r="N62" s="5">
        <f t="shared" ref="N62:N67" si="43">IF(H62=0,0,L62/H62)</f>
        <v>-0.14786967418546365</v>
      </c>
      <c r="O62" s="14"/>
      <c r="P62" s="1">
        <f>SUM(OSRRefP22_13x_0)</f>
        <v>1027.6500000000001</v>
      </c>
      <c r="Q62" s="1"/>
      <c r="R62" s="5">
        <f t="shared" ref="R62:R67" si="44">IF(P$12=0,0,P62/P$12)</f>
        <v>0</v>
      </c>
      <c r="S62" s="1"/>
      <c r="T62" s="1">
        <f>SUM(OSRRefT22_13x_0)</f>
        <v>1123.2</v>
      </c>
      <c r="U62" s="1"/>
      <c r="V62" s="5">
        <f t="shared" ref="V62:V67" si="45">IF(T$12=0,0,T62/T$12)</f>
        <v>0</v>
      </c>
      <c r="W62" s="1"/>
      <c r="X62" s="1">
        <f t="shared" ref="X62:X67" si="46">+P62-T62</f>
        <v>-95.549999999999955</v>
      </c>
      <c r="Y62" s="1"/>
      <c r="Z62" s="5">
        <f t="shared" ref="Z62:Z67" si="47">IF(T62=0,0,X62/T62)</f>
        <v>-8.5069444444444406E-2</v>
      </c>
    </row>
    <row r="63" spans="1:26" s="24" customFormat="1" hidden="1" outlineLevel="2" x14ac:dyDescent="0.25">
      <c r="A63" s="28"/>
      <c r="B63" s="11" t="str">
        <f>CONCATENATE("          ", "6309", " - ", "TELEPHONE")</f>
        <v xml:space="preserve">          6309 - TELEPHONE</v>
      </c>
      <c r="C63" s="11"/>
      <c r="D63" s="6">
        <v>340</v>
      </c>
      <c r="E63" s="2"/>
      <c r="F63" s="7">
        <f t="shared" si="40"/>
        <v>0</v>
      </c>
      <c r="G63" s="2"/>
      <c r="H63" s="6">
        <v>399</v>
      </c>
      <c r="I63" s="2"/>
      <c r="J63" s="7">
        <f t="shared" si="41"/>
        <v>0</v>
      </c>
      <c r="K63" s="2"/>
      <c r="L63" s="6">
        <f t="shared" si="42"/>
        <v>-59</v>
      </c>
      <c r="M63" s="2"/>
      <c r="N63" s="7">
        <f t="shared" si="43"/>
        <v>-0.14786967418546365</v>
      </c>
      <c r="O63" s="11"/>
      <c r="P63" s="6">
        <v>1027.6500000000001</v>
      </c>
      <c r="Q63" s="2"/>
      <c r="R63" s="7">
        <f t="shared" si="44"/>
        <v>0</v>
      </c>
      <c r="S63" s="2"/>
      <c r="T63" s="6">
        <v>1123.2</v>
      </c>
      <c r="U63" s="2"/>
      <c r="V63" s="7">
        <f t="shared" si="45"/>
        <v>0</v>
      </c>
      <c r="W63" s="2"/>
      <c r="X63" s="6">
        <f t="shared" si="46"/>
        <v>-95.549999999999955</v>
      </c>
      <c r="Y63" s="2"/>
      <c r="Z63" s="7">
        <f t="shared" si="47"/>
        <v>-8.5069444444444406E-2</v>
      </c>
    </row>
    <row r="64" spans="1:26" s="29" customFormat="1" outlineLevel="1" collapsed="1" x14ac:dyDescent="0.25">
      <c r="A64" s="27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SUM(OSRRefD22_14x_0)</f>
        <v>414</v>
      </c>
      <c r="E64" s="1"/>
      <c r="F64" s="5">
        <f t="shared" si="40"/>
        <v>0</v>
      </c>
      <c r="G64" s="1"/>
      <c r="H64" s="1">
        <f>SUM(OSRRefH22_14x_0)</f>
        <v>171.23</v>
      </c>
      <c r="I64" s="1"/>
      <c r="J64" s="5">
        <f t="shared" si="41"/>
        <v>0</v>
      </c>
      <c r="K64" s="1"/>
      <c r="L64" s="1">
        <f t="shared" si="42"/>
        <v>242.77</v>
      </c>
      <c r="M64" s="1"/>
      <c r="N64" s="5">
        <f t="shared" si="43"/>
        <v>1.4178006190504002</v>
      </c>
      <c r="O64" s="14"/>
      <c r="P64" s="1">
        <f>SUM(OSRRefP22_14x_0)</f>
        <v>5314.98</v>
      </c>
      <c r="Q64" s="1"/>
      <c r="R64" s="5">
        <f t="shared" si="44"/>
        <v>0</v>
      </c>
      <c r="S64" s="1"/>
      <c r="T64" s="1">
        <f>SUM(OSRRefT22_14x_0)</f>
        <v>7632.98</v>
      </c>
      <c r="U64" s="1"/>
      <c r="V64" s="5">
        <f t="shared" si="45"/>
        <v>0</v>
      </c>
      <c r="W64" s="1"/>
      <c r="X64" s="1">
        <f t="shared" si="46"/>
        <v>-2318</v>
      </c>
      <c r="Y64" s="1"/>
      <c r="Z64" s="5">
        <f t="shared" si="47"/>
        <v>-0.30368217917510593</v>
      </c>
    </row>
    <row r="65" spans="1:26" s="24" customFormat="1" hidden="1" outlineLevel="2" x14ac:dyDescent="0.25">
      <c r="A65" s="28"/>
      <c r="B65" s="11" t="str">
        <f>CONCATENATE("          ", "6376", " - ", "TRAINING")</f>
        <v xml:space="preserve">          6376 - TRAINING</v>
      </c>
      <c r="C65" s="11"/>
      <c r="D65" s="6">
        <v>414</v>
      </c>
      <c r="E65" s="2"/>
      <c r="F65" s="7">
        <f t="shared" si="40"/>
        <v>0</v>
      </c>
      <c r="G65" s="2"/>
      <c r="H65" s="6">
        <v>171.23</v>
      </c>
      <c r="I65" s="2"/>
      <c r="J65" s="7">
        <f t="shared" si="41"/>
        <v>0</v>
      </c>
      <c r="K65" s="2"/>
      <c r="L65" s="6">
        <f t="shared" si="42"/>
        <v>242.77</v>
      </c>
      <c r="M65" s="2"/>
      <c r="N65" s="7">
        <f t="shared" si="43"/>
        <v>1.4178006190504002</v>
      </c>
      <c r="O65" s="11"/>
      <c r="P65" s="6">
        <v>5314.98</v>
      </c>
      <c r="Q65" s="2"/>
      <c r="R65" s="7">
        <f t="shared" si="44"/>
        <v>0</v>
      </c>
      <c r="S65" s="2"/>
      <c r="T65" s="6">
        <v>7632.98</v>
      </c>
      <c r="U65" s="2"/>
      <c r="V65" s="7">
        <f t="shared" si="45"/>
        <v>0</v>
      </c>
      <c r="W65" s="2"/>
      <c r="X65" s="6">
        <f t="shared" si="46"/>
        <v>-2318</v>
      </c>
      <c r="Y65" s="2"/>
      <c r="Z65" s="7">
        <f t="shared" si="47"/>
        <v>-0.30368217917510593</v>
      </c>
    </row>
    <row r="66" spans="1:26" s="29" customFormat="1" outlineLevel="1" collapsed="1" x14ac:dyDescent="0.25">
      <c r="A66" s="27"/>
      <c r="B66" s="14" t="str">
        <f>CONCATENATE("     ","Travel                                            ")</f>
        <v xml:space="preserve">     Travel                                            </v>
      </c>
      <c r="C66" s="14"/>
      <c r="D66" s="1">
        <f>SUM(OSRRefD22_15x_0)</f>
        <v>71.94</v>
      </c>
      <c r="E66" s="1"/>
      <c r="F66" s="5">
        <f t="shared" si="40"/>
        <v>0</v>
      </c>
      <c r="G66" s="1"/>
      <c r="H66" s="1">
        <f>SUM(OSRRefH22_15x_0)</f>
        <v>0</v>
      </c>
      <c r="I66" s="1"/>
      <c r="J66" s="5">
        <f t="shared" si="41"/>
        <v>0</v>
      </c>
      <c r="K66" s="1"/>
      <c r="L66" s="1">
        <f t="shared" si="42"/>
        <v>71.94</v>
      </c>
      <c r="M66" s="1"/>
      <c r="N66" s="5">
        <f t="shared" si="43"/>
        <v>0</v>
      </c>
      <c r="O66" s="14"/>
      <c r="P66" s="1">
        <f>SUM(OSRRefP22_15x_0)</f>
        <v>1435.88</v>
      </c>
      <c r="Q66" s="1"/>
      <c r="R66" s="5">
        <f t="shared" si="44"/>
        <v>0</v>
      </c>
      <c r="S66" s="1"/>
      <c r="T66" s="1">
        <f>SUM(OSRRefT22_15x_0)</f>
        <v>1960.44</v>
      </c>
      <c r="U66" s="1"/>
      <c r="V66" s="5">
        <f t="shared" si="45"/>
        <v>0</v>
      </c>
      <c r="W66" s="1"/>
      <c r="X66" s="1">
        <f t="shared" si="46"/>
        <v>-524.55999999999995</v>
      </c>
      <c r="Y66" s="1"/>
      <c r="Z66" s="5">
        <f t="shared" si="47"/>
        <v>-0.26757258574605697</v>
      </c>
    </row>
    <row r="67" spans="1:26" s="24" customFormat="1" hidden="1" outlineLevel="2" x14ac:dyDescent="0.25">
      <c r="A67" s="28"/>
      <c r="B67" s="11" t="str">
        <f>CONCATENATE("          ", "6292", " - ", "TRAVEL/CONFERENCE")</f>
        <v xml:space="preserve">          6292 - TRAVEL/CONFERENCE</v>
      </c>
      <c r="C67" s="11"/>
      <c r="D67" s="6">
        <v>71.94</v>
      </c>
      <c r="E67" s="2"/>
      <c r="F67" s="7">
        <f t="shared" si="40"/>
        <v>0</v>
      </c>
      <c r="G67" s="2"/>
      <c r="H67" s="6"/>
      <c r="I67" s="2"/>
      <c r="J67" s="7">
        <f t="shared" si="41"/>
        <v>0</v>
      </c>
      <c r="K67" s="2"/>
      <c r="L67" s="6">
        <f t="shared" si="42"/>
        <v>71.94</v>
      </c>
      <c r="M67" s="2"/>
      <c r="N67" s="7">
        <f t="shared" si="43"/>
        <v>0</v>
      </c>
      <c r="O67" s="11"/>
      <c r="P67" s="6">
        <v>1435.88</v>
      </c>
      <c r="Q67" s="2"/>
      <c r="R67" s="7">
        <f t="shared" si="44"/>
        <v>0</v>
      </c>
      <c r="S67" s="2"/>
      <c r="T67" s="6">
        <v>1960.44</v>
      </c>
      <c r="U67" s="2"/>
      <c r="V67" s="7">
        <f t="shared" si="45"/>
        <v>0</v>
      </c>
      <c r="W67" s="2"/>
      <c r="X67" s="6">
        <f t="shared" si="46"/>
        <v>-524.55999999999995</v>
      </c>
      <c r="Y67" s="2"/>
      <c r="Z67" s="7">
        <f t="shared" si="47"/>
        <v>-0.26757258574605697</v>
      </c>
    </row>
    <row r="68" spans="1:26" s="53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5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6" t="s">
        <v>3</v>
      </c>
      <c r="C71" s="26"/>
      <c r="D71" s="21">
        <f>+D16-D18+D69</f>
        <v>-67587.980000000025</v>
      </c>
      <c r="E71" s="13"/>
      <c r="F71" s="20">
        <f>IF(D$12=0,0,D71/D$12)</f>
        <v>0</v>
      </c>
      <c r="G71" s="13"/>
      <c r="H71" s="21">
        <f>+H16-H18+H69</f>
        <v>-51158.010000000009</v>
      </c>
      <c r="I71" s="13"/>
      <c r="J71" s="20">
        <f>IF(H$12=0,0,H71/H$12)</f>
        <v>0</v>
      </c>
      <c r="K71" s="15"/>
      <c r="L71" s="21">
        <f>+D71-H71</f>
        <v>-16429.970000000016</v>
      </c>
      <c r="M71" s="15"/>
      <c r="N71" s="20">
        <f>IF(H71=0,0,L71/H71)</f>
        <v>0.32116124141654478</v>
      </c>
      <c r="O71" s="25"/>
      <c r="P71" s="21">
        <f>+P16-P18+P69</f>
        <v>-201594.34999999998</v>
      </c>
      <c r="Q71" s="13"/>
      <c r="R71" s="20">
        <f>IF(P$12=0,0,P71/P$12)</f>
        <v>0</v>
      </c>
      <c r="S71" s="13"/>
      <c r="T71" s="21">
        <f>+T16-T18+T69</f>
        <v>-164859.44</v>
      </c>
      <c r="U71" s="13"/>
      <c r="V71" s="20">
        <f>IF(T$12=0,0,T71/T$12)</f>
        <v>0</v>
      </c>
      <c r="W71" s="15"/>
      <c r="X71" s="21">
        <f>+P71-T71</f>
        <v>-36734.909999999974</v>
      </c>
      <c r="Y71" s="15"/>
      <c r="Z71" s="20">
        <f>IF(T71=0,0,X71/T71)</f>
        <v>0.22282563861675117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4</v>
      </c>
      <c r="C75" s="26"/>
      <c r="D75" s="35">
        <f>+D71-D73</f>
        <v>-67587.980000000025</v>
      </c>
      <c r="E75" s="13"/>
      <c r="F75" s="30">
        <f>IF(D$12=0,0,D75/D$12)</f>
        <v>0</v>
      </c>
      <c r="G75" s="13"/>
      <c r="H75" s="35">
        <f>+H71-H73</f>
        <v>-51158.010000000009</v>
      </c>
      <c r="I75" s="13"/>
      <c r="J75" s="30">
        <f>IF(H$12=0,0,H75/H$12)</f>
        <v>0</v>
      </c>
      <c r="K75" s="15"/>
      <c r="L75" s="35">
        <f>D75-H75</f>
        <v>-16429.970000000016</v>
      </c>
      <c r="M75" s="15"/>
      <c r="N75" s="30">
        <f>IF(H75=0,0,L75/H75)</f>
        <v>0.32116124141654478</v>
      </c>
      <c r="O75" s="25"/>
      <c r="P75" s="35">
        <f>+P71-P73</f>
        <v>-201594.34999999998</v>
      </c>
      <c r="Q75" s="13"/>
      <c r="R75" s="30">
        <f>IF(P$12=0,0,P75/P$12)</f>
        <v>0</v>
      </c>
      <c r="S75" s="13"/>
      <c r="T75" s="35">
        <f>+T71-T73</f>
        <v>-164859.44</v>
      </c>
      <c r="U75" s="13"/>
      <c r="V75" s="30">
        <f>IF(T$12=0,0,T75/T$12)</f>
        <v>0</v>
      </c>
      <c r="W75" s="15"/>
      <c r="X75" s="35">
        <f>P75-T75</f>
        <v>-36734.909999999974</v>
      </c>
      <c r="Y75" s="15"/>
      <c r="Z75" s="30">
        <f>IF(T75=0,0,X75/T75)</f>
        <v>0.22282563861675117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5</v>
      </c>
      <c r="C78" s="26"/>
      <c r="D78" s="36">
        <f>SUM(D75:D77)</f>
        <v>-67587.980000000025</v>
      </c>
      <c r="E78" s="13"/>
      <c r="F78" s="31">
        <f>IF(D$12=0,0,D78/D$12)</f>
        <v>0</v>
      </c>
      <c r="G78" s="13"/>
      <c r="H78" s="36">
        <f>SUM(H75:H77)</f>
        <v>-51158.010000000009</v>
      </c>
      <c r="I78" s="13"/>
      <c r="J78" s="31">
        <f>IF(H$12=0,0,H78/H$12)</f>
        <v>0</v>
      </c>
      <c r="K78" s="15"/>
      <c r="L78" s="36">
        <f>+D78-H78</f>
        <v>-16429.970000000016</v>
      </c>
      <c r="M78" s="15"/>
      <c r="N78" s="31">
        <f>IF(H78=0,0,L78/H78)</f>
        <v>0.32116124141654478</v>
      </c>
      <c r="O78" s="25"/>
      <c r="P78" s="36">
        <f>SUM(P75:P77)</f>
        <v>-201594.34999999998</v>
      </c>
      <c r="Q78" s="13"/>
      <c r="R78" s="31">
        <f>IF(P$12=0,0,P78/P$12)</f>
        <v>0</v>
      </c>
      <c r="S78" s="13"/>
      <c r="T78" s="36">
        <f>SUM(T75:T77)</f>
        <v>-164859.44</v>
      </c>
      <c r="U78" s="13"/>
      <c r="V78" s="31">
        <f>IF(T$12=0,0,T78/T$12)</f>
        <v>0</v>
      </c>
      <c r="W78" s="15"/>
      <c r="X78" s="36">
        <f>+P78-T78</f>
        <v>-36734.909999999974</v>
      </c>
      <c r="Y78" s="15"/>
      <c r="Z78" s="31">
        <f>IF(T78=0,0,X78/T78)</f>
        <v>0.22282563861675117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5">
        <v>43756.46277943287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6" t="s">
        <v>313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7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","204", " - ", "Information Technology")</f>
        <v>Department 204 - Information Technology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58210.09</v>
      </c>
      <c r="E18" s="22"/>
      <c r="F18" s="34">
        <f t="shared" ref="F18:F28" si="0">IF(D$12=0,0,D18/D$12)</f>
        <v>0</v>
      </c>
      <c r="G18" s="22"/>
      <c r="H18" s="22">
        <f>SUM(OSRRefH22x_0)</f>
        <v>57817.32</v>
      </c>
      <c r="I18" s="22"/>
      <c r="J18" s="34">
        <f t="shared" ref="J18:J28" si="1">IF(H$12=0,0,H18/H$12)</f>
        <v>0</v>
      </c>
      <c r="K18" s="4"/>
      <c r="L18" s="22">
        <f t="shared" ref="L18:L28" si="2">+D18-H18</f>
        <v>392.7699999999968</v>
      </c>
      <c r="M18" s="4"/>
      <c r="N18" s="34">
        <f t="shared" ref="N18:N28" si="3">IF(H18=0,0,L18/H18)</f>
        <v>6.7932930824188458E-3</v>
      </c>
      <c r="O18" s="10"/>
      <c r="P18" s="22">
        <f>SUM(OSRRefP22x_0)</f>
        <v>182666.01999999996</v>
      </c>
      <c r="Q18" s="22"/>
      <c r="R18" s="34">
        <f t="shared" ref="R18:R28" si="4">IF(P$12=0,0,P18/P$12)</f>
        <v>0</v>
      </c>
      <c r="S18" s="22"/>
      <c r="T18" s="22">
        <f>SUM(OSRRefT22x_0)</f>
        <v>171233.93</v>
      </c>
      <c r="U18" s="22"/>
      <c r="V18" s="34">
        <f t="shared" ref="V18:V28" si="5">IF(T$12=0,0,T18/T$12)</f>
        <v>0</v>
      </c>
      <c r="W18" s="4"/>
      <c r="X18" s="22">
        <f t="shared" ref="X18:X28" si="6">+P18-T18</f>
        <v>11432.089999999967</v>
      </c>
      <c r="Y18" s="4"/>
      <c r="Z18" s="34">
        <f t="shared" ref="Z18:Z28" si="7">IF(T18=0,0,X18/T18)</f>
        <v>6.6762994927465416E-2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12204.130000000001</v>
      </c>
      <c r="E19" s="1"/>
      <c r="F19" s="5">
        <f t="shared" si="0"/>
        <v>0</v>
      </c>
      <c r="G19" s="1"/>
      <c r="H19" s="1">
        <f>SUM(OSRRefH22_0x_0)</f>
        <v>11223.79</v>
      </c>
      <c r="I19" s="1"/>
      <c r="J19" s="5">
        <f t="shared" si="1"/>
        <v>0</v>
      </c>
      <c r="K19" s="1"/>
      <c r="L19" s="1">
        <f t="shared" si="2"/>
        <v>980.34000000000015</v>
      </c>
      <c r="M19" s="1"/>
      <c r="N19" s="5">
        <f t="shared" si="3"/>
        <v>8.7344827371146475E-2</v>
      </c>
      <c r="O19" s="14"/>
      <c r="P19" s="1">
        <f>SUM(OSRRefP22_0x_0)</f>
        <v>36909.32</v>
      </c>
      <c r="Q19" s="1"/>
      <c r="R19" s="5">
        <f t="shared" si="4"/>
        <v>0</v>
      </c>
      <c r="S19" s="1"/>
      <c r="T19" s="1">
        <f>SUM(OSRRefT22_0x_0)</f>
        <v>38810.630000000005</v>
      </c>
      <c r="U19" s="1"/>
      <c r="V19" s="5">
        <f t="shared" si="5"/>
        <v>0</v>
      </c>
      <c r="W19" s="1"/>
      <c r="X19" s="1">
        <f t="shared" si="6"/>
        <v>-1901.3100000000049</v>
      </c>
      <c r="Y19" s="1"/>
      <c r="Z19" s="5">
        <f t="shared" si="7"/>
        <v>-4.8989413467392946E-2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1823.88</v>
      </c>
      <c r="E20" s="2"/>
      <c r="F20" s="7">
        <f t="shared" si="0"/>
        <v>0</v>
      </c>
      <c r="G20" s="2"/>
      <c r="H20" s="6">
        <v>1518.78</v>
      </c>
      <c r="I20" s="2"/>
      <c r="J20" s="7">
        <f t="shared" si="1"/>
        <v>0</v>
      </c>
      <c r="K20" s="2"/>
      <c r="L20" s="6">
        <f t="shared" si="2"/>
        <v>305.10000000000014</v>
      </c>
      <c r="M20" s="2"/>
      <c r="N20" s="7">
        <f t="shared" si="3"/>
        <v>0.20088492079168815</v>
      </c>
      <c r="O20" s="11"/>
      <c r="P20" s="6">
        <v>5554.85</v>
      </c>
      <c r="Q20" s="2"/>
      <c r="R20" s="7">
        <f t="shared" si="4"/>
        <v>0</v>
      </c>
      <c r="S20" s="2"/>
      <c r="T20" s="6">
        <v>5700</v>
      </c>
      <c r="U20" s="2"/>
      <c r="V20" s="7">
        <f t="shared" si="5"/>
        <v>0</v>
      </c>
      <c r="W20" s="2"/>
      <c r="X20" s="6">
        <f t="shared" si="6"/>
        <v>-145.14999999999964</v>
      </c>
      <c r="Y20" s="2"/>
      <c r="Z20" s="7">
        <f t="shared" si="7"/>
        <v>-2.546491228070169E-2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89.42</v>
      </c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89.42</v>
      </c>
      <c r="M21" s="2"/>
      <c r="N21" s="7">
        <f t="shared" si="3"/>
        <v>0</v>
      </c>
      <c r="O21" s="11"/>
      <c r="P21" s="6">
        <v>262.58999999999997</v>
      </c>
      <c r="Q21" s="2"/>
      <c r="R21" s="7">
        <f t="shared" si="4"/>
        <v>0</v>
      </c>
      <c r="S21" s="2"/>
      <c r="T21" s="6">
        <v>200.54</v>
      </c>
      <c r="U21" s="2"/>
      <c r="V21" s="7">
        <f t="shared" si="5"/>
        <v>0</v>
      </c>
      <c r="W21" s="2"/>
      <c r="X21" s="6">
        <f t="shared" si="6"/>
        <v>62.049999999999983</v>
      </c>
      <c r="Y21" s="2"/>
      <c r="Z21" s="7">
        <f t="shared" si="7"/>
        <v>0.30941458063229271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5268.48</v>
      </c>
      <c r="E22" s="2"/>
      <c r="F22" s="7">
        <f t="shared" si="0"/>
        <v>0</v>
      </c>
      <c r="G22" s="2"/>
      <c r="H22" s="6">
        <v>6181.85</v>
      </c>
      <c r="I22" s="2"/>
      <c r="J22" s="7">
        <f t="shared" si="1"/>
        <v>0</v>
      </c>
      <c r="K22" s="2"/>
      <c r="L22" s="6">
        <f t="shared" si="2"/>
        <v>-913.3700000000008</v>
      </c>
      <c r="M22" s="2"/>
      <c r="N22" s="7">
        <f t="shared" si="3"/>
        <v>-0.14775026893243945</v>
      </c>
      <c r="O22" s="11"/>
      <c r="P22" s="6">
        <v>15170.34</v>
      </c>
      <c r="Q22" s="2"/>
      <c r="R22" s="7">
        <f t="shared" si="4"/>
        <v>0</v>
      </c>
      <c r="S22" s="2"/>
      <c r="T22" s="6">
        <v>16440.7</v>
      </c>
      <c r="U22" s="2"/>
      <c r="V22" s="7">
        <f t="shared" si="5"/>
        <v>0</v>
      </c>
      <c r="W22" s="2"/>
      <c r="X22" s="6">
        <f t="shared" si="6"/>
        <v>-1270.3600000000006</v>
      </c>
      <c r="Y22" s="2"/>
      <c r="Z22" s="7">
        <f t="shared" si="7"/>
        <v>-7.7269216030947621E-2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68.38</v>
      </c>
      <c r="E23" s="2"/>
      <c r="F23" s="7">
        <f t="shared" si="0"/>
        <v>0</v>
      </c>
      <c r="G23" s="2"/>
      <c r="H23" s="6">
        <v>54.62</v>
      </c>
      <c r="I23" s="2"/>
      <c r="J23" s="7">
        <f t="shared" si="1"/>
        <v>0</v>
      </c>
      <c r="K23" s="2"/>
      <c r="L23" s="6">
        <f t="shared" si="2"/>
        <v>13.759999999999998</v>
      </c>
      <c r="M23" s="2"/>
      <c r="N23" s="7">
        <f t="shared" si="3"/>
        <v>0.25192237275723178</v>
      </c>
      <c r="O23" s="11"/>
      <c r="P23" s="6">
        <v>200.8</v>
      </c>
      <c r="Q23" s="2"/>
      <c r="R23" s="7">
        <f t="shared" si="4"/>
        <v>0</v>
      </c>
      <c r="S23" s="2"/>
      <c r="T23" s="6">
        <v>222.81</v>
      </c>
      <c r="U23" s="2"/>
      <c r="V23" s="7">
        <f t="shared" si="5"/>
        <v>0</v>
      </c>
      <c r="W23" s="2"/>
      <c r="X23" s="6">
        <f t="shared" si="6"/>
        <v>-22.009999999999991</v>
      </c>
      <c r="Y23" s="2"/>
      <c r="Z23" s="7">
        <f t="shared" si="7"/>
        <v>-9.8783717068354163E-2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1339.05</v>
      </c>
      <c r="E24" s="2"/>
      <c r="F24" s="7">
        <f t="shared" si="0"/>
        <v>0</v>
      </c>
      <c r="G24" s="2"/>
      <c r="H24" s="6">
        <v>1074.27</v>
      </c>
      <c r="I24" s="2"/>
      <c r="J24" s="7">
        <f t="shared" si="1"/>
        <v>0</v>
      </c>
      <c r="K24" s="2"/>
      <c r="L24" s="6">
        <f t="shared" si="2"/>
        <v>264.77999999999997</v>
      </c>
      <c r="M24" s="2"/>
      <c r="N24" s="7">
        <f t="shared" si="3"/>
        <v>0.24647435002373702</v>
      </c>
      <c r="O24" s="11"/>
      <c r="P24" s="6">
        <v>4017.15</v>
      </c>
      <c r="Q24" s="2"/>
      <c r="R24" s="7">
        <f t="shared" si="4"/>
        <v>0</v>
      </c>
      <c r="S24" s="2"/>
      <c r="T24" s="6">
        <v>6244.74</v>
      </c>
      <c r="U24" s="2"/>
      <c r="V24" s="7">
        <f t="shared" si="5"/>
        <v>0</v>
      </c>
      <c r="W24" s="2"/>
      <c r="X24" s="6">
        <f t="shared" si="6"/>
        <v>-2227.5899999999997</v>
      </c>
      <c r="Y24" s="2"/>
      <c r="Z24" s="7">
        <f t="shared" si="7"/>
        <v>-0.35671461101663154</v>
      </c>
    </row>
    <row r="25" spans="1:26" s="24" customFormat="1" hidden="1" outlineLevel="2" x14ac:dyDescent="0.25">
      <c r="A25" s="28"/>
      <c r="B25" s="11" t="str">
        <f>CONCATENATE("          ", "6117", " - ", "RETIREMENT STAFF HOURLY")</f>
        <v xml:space="preserve">          6117 - RETIREMENT STAFF HOURLY</v>
      </c>
      <c r="C25" s="11"/>
      <c r="D25" s="6">
        <v>576.28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576.28</v>
      </c>
      <c r="M25" s="2"/>
      <c r="N25" s="7">
        <f t="shared" si="3"/>
        <v>0</v>
      </c>
      <c r="O25" s="11"/>
      <c r="P25" s="6">
        <v>1135.94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1135.94</v>
      </c>
      <c r="Y25" s="2"/>
      <c r="Z25" s="7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>
        <v>1408.62</v>
      </c>
      <c r="E26" s="2"/>
      <c r="F26" s="7">
        <f t="shared" si="0"/>
        <v>0</v>
      </c>
      <c r="G26" s="2"/>
      <c r="H26" s="6">
        <v>1187.4000000000001</v>
      </c>
      <c r="I26" s="2"/>
      <c r="J26" s="7">
        <f t="shared" si="1"/>
        <v>0</v>
      </c>
      <c r="K26" s="2"/>
      <c r="L26" s="6">
        <f t="shared" si="2"/>
        <v>221.2199999999998</v>
      </c>
      <c r="M26" s="2"/>
      <c r="N26" s="7">
        <f t="shared" si="3"/>
        <v>0.18630621526023225</v>
      </c>
      <c r="O26" s="11"/>
      <c r="P26" s="6">
        <v>5240.63</v>
      </c>
      <c r="Q26" s="2"/>
      <c r="R26" s="7">
        <f t="shared" si="4"/>
        <v>0</v>
      </c>
      <c r="S26" s="2"/>
      <c r="T26" s="6">
        <v>5101.17</v>
      </c>
      <c r="U26" s="2"/>
      <c r="V26" s="7">
        <f t="shared" si="5"/>
        <v>0</v>
      </c>
      <c r="W26" s="2"/>
      <c r="X26" s="6">
        <f t="shared" si="6"/>
        <v>139.46000000000004</v>
      </c>
      <c r="Y26" s="2"/>
      <c r="Z26" s="7">
        <f t="shared" si="7"/>
        <v>2.7338826190854263E-2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>
        <v>941.7</v>
      </c>
      <c r="E27" s="2"/>
      <c r="F27" s="7">
        <f t="shared" si="0"/>
        <v>0</v>
      </c>
      <c r="G27" s="2"/>
      <c r="H27" s="6">
        <v>782.44</v>
      </c>
      <c r="I27" s="2"/>
      <c r="J27" s="7">
        <f t="shared" si="1"/>
        <v>0</v>
      </c>
      <c r="K27" s="2"/>
      <c r="L27" s="6">
        <f t="shared" si="2"/>
        <v>159.26</v>
      </c>
      <c r="M27" s="2"/>
      <c r="N27" s="7">
        <f t="shared" si="3"/>
        <v>0.20354276366238941</v>
      </c>
      <c r="O27" s="11"/>
      <c r="P27" s="6">
        <v>3510.71</v>
      </c>
      <c r="Q27" s="2"/>
      <c r="R27" s="7">
        <f t="shared" si="4"/>
        <v>0</v>
      </c>
      <c r="S27" s="2"/>
      <c r="T27" s="6">
        <v>3305.3</v>
      </c>
      <c r="U27" s="2"/>
      <c r="V27" s="7">
        <f t="shared" si="5"/>
        <v>0</v>
      </c>
      <c r="W27" s="2"/>
      <c r="X27" s="6">
        <f t="shared" si="6"/>
        <v>205.40999999999985</v>
      </c>
      <c r="Y27" s="2"/>
      <c r="Z27" s="7">
        <f t="shared" si="7"/>
        <v>6.2145644873385121E-2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>
        <v>688.32</v>
      </c>
      <c r="E28" s="2"/>
      <c r="F28" s="7">
        <f t="shared" si="0"/>
        <v>0</v>
      </c>
      <c r="G28" s="2"/>
      <c r="H28" s="6">
        <v>424.43</v>
      </c>
      <c r="I28" s="2"/>
      <c r="J28" s="7">
        <f t="shared" si="1"/>
        <v>0</v>
      </c>
      <c r="K28" s="2"/>
      <c r="L28" s="6">
        <f t="shared" si="2"/>
        <v>263.89000000000004</v>
      </c>
      <c r="M28" s="2"/>
      <c r="N28" s="7">
        <f t="shared" si="3"/>
        <v>0.62175152557547775</v>
      </c>
      <c r="O28" s="11"/>
      <c r="P28" s="6">
        <v>1816.31</v>
      </c>
      <c r="Q28" s="2"/>
      <c r="R28" s="7">
        <f t="shared" si="4"/>
        <v>0</v>
      </c>
      <c r="S28" s="2"/>
      <c r="T28" s="6">
        <v>1595.37</v>
      </c>
      <c r="U28" s="2"/>
      <c r="V28" s="7">
        <f t="shared" si="5"/>
        <v>0</v>
      </c>
      <c r="W28" s="2"/>
      <c r="X28" s="6">
        <f t="shared" si="6"/>
        <v>220.94000000000005</v>
      </c>
      <c r="Y28" s="2"/>
      <c r="Z28" s="7">
        <f t="shared" si="7"/>
        <v>0.13848825037452131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25237.439999999999</v>
      </c>
      <c r="E29" s="1"/>
      <c r="F29" s="5">
        <f t="shared" ref="F29:F34" si="8">IF(D$12=0,0,D29/D$12)</f>
        <v>0</v>
      </c>
      <c r="G29" s="1"/>
      <c r="H29" s="1">
        <f>SUM(OSRRefH22_1x_0)</f>
        <v>19683.89</v>
      </c>
      <c r="I29" s="1"/>
      <c r="J29" s="5">
        <f t="shared" ref="J29:J34" si="9">IF(H$12=0,0,H29/H$12)</f>
        <v>0</v>
      </c>
      <c r="K29" s="1"/>
      <c r="L29" s="1">
        <f t="shared" ref="L29:L34" si="10">+D29-H29</f>
        <v>5553.5499999999993</v>
      </c>
      <c r="M29" s="1"/>
      <c r="N29" s="5">
        <f t="shared" ref="N29:N34" si="11">IF(H29=0,0,L29/H29)</f>
        <v>0.282136813404261</v>
      </c>
      <c r="O29" s="14"/>
      <c r="P29" s="1">
        <f>SUM(OSRRefP22_1x_0)</f>
        <v>78219.34</v>
      </c>
      <c r="Q29" s="1"/>
      <c r="R29" s="5">
        <f t="shared" ref="R29:R34" si="12">IF(P$12=0,0,P29/P$12)</f>
        <v>0</v>
      </c>
      <c r="S29" s="1"/>
      <c r="T29" s="1">
        <f>SUM(OSRRefT22_1x_0)</f>
        <v>66980.649999999994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11238.690000000002</v>
      </c>
      <c r="Y29" s="1"/>
      <c r="Z29" s="5">
        <f t="shared" ref="Z29:Z34" si="15">IF(T29=0,0,X29/T29)</f>
        <v>0.16779010057382249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6">
        <v>12087.98</v>
      </c>
      <c r="E30" s="2"/>
      <c r="F30" s="7">
        <f t="shared" si="8"/>
        <v>0</v>
      </c>
      <c r="G30" s="2"/>
      <c r="H30" s="6">
        <v>8366.36</v>
      </c>
      <c r="I30" s="2"/>
      <c r="J30" s="7">
        <f t="shared" si="9"/>
        <v>0</v>
      </c>
      <c r="K30" s="2"/>
      <c r="L30" s="6">
        <f t="shared" si="10"/>
        <v>3721.619999999999</v>
      </c>
      <c r="M30" s="2"/>
      <c r="N30" s="7">
        <f t="shared" si="11"/>
        <v>0.44483144402105562</v>
      </c>
      <c r="O30" s="11"/>
      <c r="P30" s="6">
        <v>37101.199999999997</v>
      </c>
      <c r="Q30" s="2"/>
      <c r="R30" s="7">
        <f t="shared" si="12"/>
        <v>0</v>
      </c>
      <c r="S30" s="2"/>
      <c r="T30" s="6">
        <v>37987.24</v>
      </c>
      <c r="U30" s="2"/>
      <c r="V30" s="7">
        <f t="shared" si="13"/>
        <v>0</v>
      </c>
      <c r="W30" s="2"/>
      <c r="X30" s="6">
        <f t="shared" si="14"/>
        <v>-886.04000000000087</v>
      </c>
      <c r="Y30" s="2"/>
      <c r="Z30" s="7">
        <f t="shared" si="15"/>
        <v>-2.3324674285365322E-2</v>
      </c>
    </row>
    <row r="31" spans="1:26" s="24" customFormat="1" hidden="1" outlineLevel="2" x14ac:dyDescent="0.25">
      <c r="A31" s="28"/>
      <c r="B31" s="11" t="str">
        <f>CONCATENATE("          ", "6004", " - ", "STAFF HOURLY")</f>
        <v xml:space="preserve">          6004 - STAFF HOURLY</v>
      </c>
      <c r="C31" s="11"/>
      <c r="D31" s="6">
        <v>7570.46</v>
      </c>
      <c r="E31" s="2"/>
      <c r="F31" s="7">
        <f t="shared" si="8"/>
        <v>0</v>
      </c>
      <c r="G31" s="2"/>
      <c r="H31" s="6">
        <v>5868.28</v>
      </c>
      <c r="I31" s="2"/>
      <c r="J31" s="7">
        <f t="shared" si="9"/>
        <v>0</v>
      </c>
      <c r="K31" s="2"/>
      <c r="L31" s="6">
        <f t="shared" si="10"/>
        <v>1702.1800000000003</v>
      </c>
      <c r="M31" s="2"/>
      <c r="N31" s="7">
        <f t="shared" si="11"/>
        <v>0.29006455043044987</v>
      </c>
      <c r="O31" s="11"/>
      <c r="P31" s="6">
        <v>21314.14</v>
      </c>
      <c r="Q31" s="2"/>
      <c r="R31" s="7">
        <f t="shared" si="12"/>
        <v>0</v>
      </c>
      <c r="S31" s="2"/>
      <c r="T31" s="6">
        <v>13521.84</v>
      </c>
      <c r="U31" s="2"/>
      <c r="V31" s="7">
        <f t="shared" si="13"/>
        <v>0</v>
      </c>
      <c r="W31" s="2"/>
      <c r="X31" s="6">
        <f t="shared" si="14"/>
        <v>7792.2999999999993</v>
      </c>
      <c r="Y31" s="2"/>
      <c r="Z31" s="7">
        <f t="shared" si="15"/>
        <v>0.57627512232063083</v>
      </c>
    </row>
    <row r="32" spans="1:26" s="24" customFormat="1" hidden="1" outlineLevel="2" x14ac:dyDescent="0.25">
      <c r="A32" s="28"/>
      <c r="B32" s="11" t="str">
        <f>CONCATENATE("          ", "6005", " - ", "TEMPORARY WAGES-HOURLY")</f>
        <v xml:space="preserve">          6005 - TEMPORARY WAGES-HOURLY</v>
      </c>
      <c r="C32" s="11"/>
      <c r="D32" s="6">
        <v>2774.75</v>
      </c>
      <c r="E32" s="2"/>
      <c r="F32" s="7">
        <f t="shared" si="8"/>
        <v>0</v>
      </c>
      <c r="G32" s="2"/>
      <c r="H32" s="6">
        <v>2707.25</v>
      </c>
      <c r="I32" s="2"/>
      <c r="J32" s="7">
        <f t="shared" si="9"/>
        <v>0</v>
      </c>
      <c r="K32" s="2"/>
      <c r="L32" s="6">
        <f t="shared" si="10"/>
        <v>67.5</v>
      </c>
      <c r="M32" s="2"/>
      <c r="N32" s="7">
        <f t="shared" si="11"/>
        <v>2.4933050143134176E-2</v>
      </c>
      <c r="O32" s="11"/>
      <c r="P32" s="6">
        <v>6611.25</v>
      </c>
      <c r="Q32" s="2"/>
      <c r="R32" s="7">
        <f t="shared" si="12"/>
        <v>0</v>
      </c>
      <c r="S32" s="2"/>
      <c r="T32" s="6">
        <v>5901.13</v>
      </c>
      <c r="U32" s="2"/>
      <c r="V32" s="7">
        <f t="shared" si="13"/>
        <v>0</v>
      </c>
      <c r="W32" s="2"/>
      <c r="X32" s="6">
        <f t="shared" si="14"/>
        <v>710.11999999999989</v>
      </c>
      <c r="Y32" s="2"/>
      <c r="Z32" s="7">
        <f t="shared" si="15"/>
        <v>0.1203362745779198</v>
      </c>
    </row>
    <row r="33" spans="1:26" s="24" customFormat="1" hidden="1" outlineLevel="2" x14ac:dyDescent="0.25">
      <c r="A33" s="28"/>
      <c r="B33" s="11" t="str">
        <f>CONCATENATE("          ", "6007", " - ", "STUDENT HOURLY")</f>
        <v xml:space="preserve">          6007 - STUDENT HOURLY</v>
      </c>
      <c r="C33" s="11"/>
      <c r="D33" s="6">
        <v>2804.25</v>
      </c>
      <c r="E33" s="2"/>
      <c r="F33" s="7">
        <f t="shared" si="8"/>
        <v>0</v>
      </c>
      <c r="G33" s="2"/>
      <c r="H33" s="6">
        <v>2742</v>
      </c>
      <c r="I33" s="2"/>
      <c r="J33" s="7">
        <f t="shared" si="9"/>
        <v>0</v>
      </c>
      <c r="K33" s="2"/>
      <c r="L33" s="6">
        <f t="shared" si="10"/>
        <v>62.25</v>
      </c>
      <c r="M33" s="2"/>
      <c r="N33" s="7">
        <f t="shared" si="11"/>
        <v>2.2702407002188184E-2</v>
      </c>
      <c r="O33" s="11"/>
      <c r="P33" s="6">
        <v>10672.75</v>
      </c>
      <c r="Q33" s="2"/>
      <c r="R33" s="7">
        <f t="shared" si="12"/>
        <v>0</v>
      </c>
      <c r="S33" s="2"/>
      <c r="T33" s="6">
        <v>9570.44</v>
      </c>
      <c r="U33" s="2"/>
      <c r="V33" s="7">
        <f t="shared" si="13"/>
        <v>0</v>
      </c>
      <c r="W33" s="2"/>
      <c r="X33" s="6">
        <f t="shared" si="14"/>
        <v>1102.3099999999995</v>
      </c>
      <c r="Y33" s="2"/>
      <c r="Z33" s="7">
        <f t="shared" si="15"/>
        <v>0.11517861247758718</v>
      </c>
    </row>
    <row r="34" spans="1:26" s="24" customFormat="1" hidden="1" outlineLevel="2" x14ac:dyDescent="0.25">
      <c r="A34" s="28"/>
      <c r="B34" s="11" t="str">
        <f>CONCATENATE("          ", "6008", " - ", "STUDENT HOURLY-FICA EXEMPT")</f>
        <v xml:space="preserve">          6008 - STUDENT HOURLY-FICA EXEMPT</v>
      </c>
      <c r="C34" s="11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>
        <v>2520</v>
      </c>
      <c r="Q34" s="2"/>
      <c r="R34" s="7">
        <f t="shared" si="12"/>
        <v>0</v>
      </c>
      <c r="S34" s="2"/>
      <c r="T34" s="6"/>
      <c r="U34" s="2"/>
      <c r="V34" s="7">
        <f t="shared" si="13"/>
        <v>0</v>
      </c>
      <c r="W34" s="2"/>
      <c r="X34" s="6">
        <f t="shared" si="14"/>
        <v>2520</v>
      </c>
      <c r="Y34" s="2"/>
      <c r="Z34" s="7">
        <f t="shared" si="15"/>
        <v>0</v>
      </c>
    </row>
    <row r="35" spans="1:26" s="29" customFormat="1" outlineLevel="1" collapsed="1" x14ac:dyDescent="0.25">
      <c r="A35" s="27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9.99</v>
      </c>
      <c r="E35" s="1"/>
      <c r="F35" s="5">
        <f t="shared" ref="F35:F39" si="16">IF(D$12=0,0,D35/D$12)</f>
        <v>0</v>
      </c>
      <c r="G35" s="1"/>
      <c r="H35" s="1">
        <f>SUM(OSRRefH22_2x_0)</f>
        <v>0</v>
      </c>
      <c r="I35" s="1"/>
      <c r="J35" s="5">
        <f t="shared" ref="J35:J39" si="17">IF(H$12=0,0,H35/H$12)</f>
        <v>0</v>
      </c>
      <c r="K35" s="1"/>
      <c r="L35" s="1">
        <f t="shared" ref="L35:L39" si="18">+D35-H35</f>
        <v>9.99</v>
      </c>
      <c r="M35" s="1"/>
      <c r="N35" s="5">
        <f t="shared" ref="N35:N39" si="19">IF(H35=0,0,L35/H35)</f>
        <v>0</v>
      </c>
      <c r="O35" s="14"/>
      <c r="P35" s="1">
        <f>SUM(OSRRefP22_2x_0)</f>
        <v>9.99</v>
      </c>
      <c r="Q35" s="1"/>
      <c r="R35" s="5">
        <f t="shared" ref="R35:R39" si="20">IF(P$12=0,0,P35/P$12)</f>
        <v>0</v>
      </c>
      <c r="S35" s="1"/>
      <c r="T35" s="1">
        <f>SUM(OSRRefT22_2x_0)</f>
        <v>6</v>
      </c>
      <c r="U35" s="1"/>
      <c r="V35" s="5">
        <f t="shared" ref="V35:V39" si="21">IF(T$12=0,0,T35/T$12)</f>
        <v>0</v>
      </c>
      <c r="W35" s="1"/>
      <c r="X35" s="1">
        <f t="shared" ref="X35:X39" si="22">+P35-T35</f>
        <v>3.99</v>
      </c>
      <c r="Y35" s="1"/>
      <c r="Z35" s="5">
        <f t="shared" ref="Z35:Z39" si="23">IF(T35=0,0,X35/T35)</f>
        <v>0.66500000000000004</v>
      </c>
    </row>
    <row r="36" spans="1:26" s="24" customFormat="1" hidden="1" outlineLevel="2" x14ac:dyDescent="0.25">
      <c r="A36" s="28"/>
      <c r="B36" s="11" t="str">
        <f>CONCATENATE("          ", "6362", " - ", "ADVERTISING EXPENSE")</f>
        <v xml:space="preserve">          6362 - ADVERTISING EXPENSE</v>
      </c>
      <c r="C36" s="11"/>
      <c r="D36" s="6">
        <v>9.99</v>
      </c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9.99</v>
      </c>
      <c r="M36" s="2"/>
      <c r="N36" s="7">
        <f t="shared" si="19"/>
        <v>0</v>
      </c>
      <c r="O36" s="11"/>
      <c r="P36" s="6">
        <v>9.99</v>
      </c>
      <c r="Q36" s="2"/>
      <c r="R36" s="7">
        <f t="shared" si="20"/>
        <v>0</v>
      </c>
      <c r="S36" s="2"/>
      <c r="T36" s="6">
        <v>6</v>
      </c>
      <c r="U36" s="2"/>
      <c r="V36" s="7">
        <f t="shared" si="21"/>
        <v>0</v>
      </c>
      <c r="W36" s="2"/>
      <c r="X36" s="6">
        <f t="shared" si="22"/>
        <v>3.99</v>
      </c>
      <c r="Y36" s="2"/>
      <c r="Z36" s="7">
        <f t="shared" si="23"/>
        <v>0.66500000000000004</v>
      </c>
    </row>
    <row r="37" spans="1:26" s="29" customFormat="1" outlineLevel="1" collapsed="1" x14ac:dyDescent="0.25">
      <c r="A37" s="27"/>
      <c r="B37" s="14" t="str">
        <f>CONCATENATE("     ","Depreciation                                      ")</f>
        <v xml:space="preserve">     Depreciation                                      </v>
      </c>
      <c r="C37" s="14"/>
      <c r="D37" s="1">
        <f>SUM(OSRRefD22_3x_0)</f>
        <v>6175.97</v>
      </c>
      <c r="E37" s="1"/>
      <c r="F37" s="5">
        <f t="shared" si="16"/>
        <v>0</v>
      </c>
      <c r="G37" s="1"/>
      <c r="H37" s="1">
        <f>SUM(OSRRefH22_3x_0)</f>
        <v>7869.89</v>
      </c>
      <c r="I37" s="1"/>
      <c r="J37" s="5">
        <f t="shared" si="17"/>
        <v>0</v>
      </c>
      <c r="K37" s="1"/>
      <c r="L37" s="1">
        <f t="shared" si="18"/>
        <v>-1693.92</v>
      </c>
      <c r="M37" s="1"/>
      <c r="N37" s="5">
        <f t="shared" si="19"/>
        <v>-0.21524061962746621</v>
      </c>
      <c r="O37" s="14"/>
      <c r="P37" s="1">
        <f>SUM(OSRRefP22_3x_0)</f>
        <v>18527.91</v>
      </c>
      <c r="Q37" s="1"/>
      <c r="R37" s="5">
        <f t="shared" si="20"/>
        <v>0</v>
      </c>
      <c r="S37" s="1"/>
      <c r="T37" s="1">
        <f>SUM(OSRRefT22_3x_0)</f>
        <v>23609.670000000002</v>
      </c>
      <c r="U37" s="1"/>
      <c r="V37" s="5">
        <f t="shared" si="21"/>
        <v>0</v>
      </c>
      <c r="W37" s="1"/>
      <c r="X37" s="1">
        <f t="shared" si="22"/>
        <v>-5081.760000000002</v>
      </c>
      <c r="Y37" s="1"/>
      <c r="Z37" s="5">
        <f t="shared" si="23"/>
        <v>-0.21524061962746627</v>
      </c>
    </row>
    <row r="38" spans="1:26" s="24" customFormat="1" hidden="1" outlineLevel="2" x14ac:dyDescent="0.25">
      <c r="A38" s="28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6175.97</v>
      </c>
      <c r="E38" s="2"/>
      <c r="F38" s="7">
        <f t="shared" si="16"/>
        <v>0</v>
      </c>
      <c r="G38" s="2"/>
      <c r="H38" s="6">
        <v>7547.85</v>
      </c>
      <c r="I38" s="2"/>
      <c r="J38" s="7">
        <f t="shared" si="17"/>
        <v>0</v>
      </c>
      <c r="K38" s="2"/>
      <c r="L38" s="6">
        <f t="shared" si="18"/>
        <v>-1371.88</v>
      </c>
      <c r="M38" s="2"/>
      <c r="N38" s="7">
        <f t="shared" si="19"/>
        <v>-0.18175771908556743</v>
      </c>
      <c r="O38" s="11"/>
      <c r="P38" s="6">
        <v>18527.91</v>
      </c>
      <c r="Q38" s="2"/>
      <c r="R38" s="7">
        <f t="shared" si="20"/>
        <v>0</v>
      </c>
      <c r="S38" s="2"/>
      <c r="T38" s="6">
        <v>22643.550000000003</v>
      </c>
      <c r="U38" s="2"/>
      <c r="V38" s="7">
        <f t="shared" si="21"/>
        <v>0</v>
      </c>
      <c r="W38" s="2"/>
      <c r="X38" s="6">
        <f t="shared" si="22"/>
        <v>-4115.6400000000031</v>
      </c>
      <c r="Y38" s="2"/>
      <c r="Z38" s="7">
        <f t="shared" si="23"/>
        <v>-0.18175771908556754</v>
      </c>
    </row>
    <row r="39" spans="1:26" s="24" customFormat="1" hidden="1" outlineLevel="2" x14ac:dyDescent="0.25">
      <c r="A39" s="28"/>
      <c r="B39" s="11" t="str">
        <f>CONCATENATE("          ", "6324", " - ", "FURNITURE + FIXT DEPRECIATION")</f>
        <v xml:space="preserve">          6324 - FURNITURE + FIXT DEPRECIATION</v>
      </c>
      <c r="C39" s="11"/>
      <c r="D39" s="6"/>
      <c r="E39" s="2"/>
      <c r="F39" s="7">
        <f t="shared" si="16"/>
        <v>0</v>
      </c>
      <c r="G39" s="2"/>
      <c r="H39" s="6">
        <v>322.04000000000002</v>
      </c>
      <c r="I39" s="2"/>
      <c r="J39" s="7">
        <f t="shared" si="17"/>
        <v>0</v>
      </c>
      <c r="K39" s="2"/>
      <c r="L39" s="6">
        <f t="shared" si="18"/>
        <v>-322.04000000000002</v>
      </c>
      <c r="M39" s="2"/>
      <c r="N39" s="7">
        <f t="shared" si="19"/>
        <v>-1</v>
      </c>
      <c r="O39" s="11"/>
      <c r="P39" s="6"/>
      <c r="Q39" s="2"/>
      <c r="R39" s="7">
        <f t="shared" si="20"/>
        <v>0</v>
      </c>
      <c r="S39" s="2"/>
      <c r="T39" s="6">
        <v>966.12</v>
      </c>
      <c r="U39" s="2"/>
      <c r="V39" s="7">
        <f t="shared" si="21"/>
        <v>0</v>
      </c>
      <c r="W39" s="2"/>
      <c r="X39" s="6">
        <f t="shared" si="22"/>
        <v>-966.12</v>
      </c>
      <c r="Y39" s="2"/>
      <c r="Z39" s="7">
        <f t="shared" si="23"/>
        <v>-1</v>
      </c>
    </row>
    <row r="40" spans="1:26" s="29" customFormat="1" outlineLevel="1" collapsed="1" x14ac:dyDescent="0.25">
      <c r="A40" s="27"/>
      <c r="B40" s="14" t="str">
        <f>CONCATENATE("     ","Employees' Appreciation                           ")</f>
        <v xml:space="preserve">     Employees' Appreciation                           </v>
      </c>
      <c r="C40" s="14"/>
      <c r="D40" s="1">
        <f>SUM(OSRRefD22_4x_0)</f>
        <v>0</v>
      </c>
      <c r="E40" s="1"/>
      <c r="F40" s="5">
        <f t="shared" ref="F40:F47" si="24">IF(D$12=0,0,D40/D$12)</f>
        <v>0</v>
      </c>
      <c r="G40" s="1"/>
      <c r="H40" s="1">
        <f>SUM(OSRRefH22_4x_0)</f>
        <v>442.84</v>
      </c>
      <c r="I40" s="1"/>
      <c r="J40" s="5">
        <f t="shared" ref="J40:J47" si="25">IF(H$12=0,0,H40/H$12)</f>
        <v>0</v>
      </c>
      <c r="K40" s="1"/>
      <c r="L40" s="1">
        <f t="shared" ref="L40:L47" si="26">+D40-H40</f>
        <v>-442.84</v>
      </c>
      <c r="M40" s="1"/>
      <c r="N40" s="5">
        <f t="shared" ref="N40:N47" si="27">IF(H40=0,0,L40/H40)</f>
        <v>-1</v>
      </c>
      <c r="O40" s="14"/>
      <c r="P40" s="1">
        <f>SUM(OSRRefP22_4x_0)</f>
        <v>0</v>
      </c>
      <c r="Q40" s="1"/>
      <c r="R40" s="5">
        <f t="shared" ref="R40:R47" si="28">IF(P$12=0,0,P40/P$12)</f>
        <v>0</v>
      </c>
      <c r="S40" s="1"/>
      <c r="T40" s="1">
        <f>SUM(OSRRefT22_4x_0)</f>
        <v>486.19</v>
      </c>
      <c r="U40" s="1"/>
      <c r="V40" s="5">
        <f t="shared" ref="V40:V47" si="29">IF(T$12=0,0,T40/T$12)</f>
        <v>0</v>
      </c>
      <c r="W40" s="1"/>
      <c r="X40" s="1">
        <f t="shared" ref="X40:X47" si="30">+P40-T40</f>
        <v>-486.19</v>
      </c>
      <c r="Y40" s="1"/>
      <c r="Z40" s="5">
        <f t="shared" ref="Z40:Z47" si="31">IF(T40=0,0,X40/T40)</f>
        <v>-1</v>
      </c>
    </row>
    <row r="41" spans="1:26" s="24" customFormat="1" hidden="1" outlineLevel="2" x14ac:dyDescent="0.25">
      <c r="A41" s="28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4"/>
        <v>0</v>
      </c>
      <c r="G41" s="2"/>
      <c r="H41" s="6">
        <v>442.84</v>
      </c>
      <c r="I41" s="2"/>
      <c r="J41" s="7">
        <f t="shared" si="25"/>
        <v>0</v>
      </c>
      <c r="K41" s="2"/>
      <c r="L41" s="6">
        <f t="shared" si="26"/>
        <v>-442.84</v>
      </c>
      <c r="M41" s="2"/>
      <c r="N41" s="7">
        <f t="shared" si="27"/>
        <v>-1</v>
      </c>
      <c r="O41" s="11"/>
      <c r="P41" s="6"/>
      <c r="Q41" s="2"/>
      <c r="R41" s="7">
        <f t="shared" si="28"/>
        <v>0</v>
      </c>
      <c r="S41" s="2"/>
      <c r="T41" s="6">
        <v>486.19</v>
      </c>
      <c r="U41" s="2"/>
      <c r="V41" s="7">
        <f t="shared" si="29"/>
        <v>0</v>
      </c>
      <c r="W41" s="2"/>
      <c r="X41" s="6">
        <f t="shared" si="30"/>
        <v>-486.19</v>
      </c>
      <c r="Y41" s="2"/>
      <c r="Z41" s="7">
        <f t="shared" si="31"/>
        <v>-1</v>
      </c>
    </row>
    <row r="42" spans="1:26" s="29" customFormat="1" outlineLevel="1" collapsed="1" x14ac:dyDescent="0.25">
      <c r="A42" s="27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SUM(OSRRefD22_5x_0)</f>
        <v>56.34</v>
      </c>
      <c r="E42" s="1"/>
      <c r="F42" s="5">
        <f t="shared" si="24"/>
        <v>0</v>
      </c>
      <c r="G42" s="1"/>
      <c r="H42" s="1">
        <f>SUM(OSRRefH22_5x_0)</f>
        <v>53.08</v>
      </c>
      <c r="I42" s="1"/>
      <c r="J42" s="5">
        <f t="shared" si="25"/>
        <v>0</v>
      </c>
      <c r="K42" s="1"/>
      <c r="L42" s="1">
        <f t="shared" si="26"/>
        <v>3.2600000000000051</v>
      </c>
      <c r="M42" s="1"/>
      <c r="N42" s="5">
        <f t="shared" si="27"/>
        <v>6.1416729464958651E-2</v>
      </c>
      <c r="O42" s="14"/>
      <c r="P42" s="1">
        <f>SUM(OSRRefP22_5x_0)</f>
        <v>169.02</v>
      </c>
      <c r="Q42" s="1"/>
      <c r="R42" s="5">
        <f t="shared" si="28"/>
        <v>0</v>
      </c>
      <c r="S42" s="1"/>
      <c r="T42" s="1">
        <f>SUM(OSRRefT22_5x_0)</f>
        <v>159.24</v>
      </c>
      <c r="U42" s="1"/>
      <c r="V42" s="5">
        <f t="shared" si="29"/>
        <v>0</v>
      </c>
      <c r="W42" s="1"/>
      <c r="X42" s="1">
        <f t="shared" si="30"/>
        <v>9.7800000000000011</v>
      </c>
      <c r="Y42" s="1"/>
      <c r="Z42" s="5">
        <f t="shared" si="31"/>
        <v>6.1416729464958554E-2</v>
      </c>
    </row>
    <row r="43" spans="1:26" s="24" customFormat="1" hidden="1" outlineLevel="2" x14ac:dyDescent="0.25">
      <c r="A43" s="28"/>
      <c r="B43" s="11" t="str">
        <f>CONCATENATE("          ", "6314", " - ", "LIABILITY INSURANCE")</f>
        <v xml:space="preserve">          6314 - LIABILITY INSURANCE</v>
      </c>
      <c r="C43" s="11"/>
      <c r="D43" s="6">
        <v>56.34</v>
      </c>
      <c r="E43" s="2"/>
      <c r="F43" s="7">
        <f t="shared" si="24"/>
        <v>0</v>
      </c>
      <c r="G43" s="2"/>
      <c r="H43" s="6">
        <v>53.08</v>
      </c>
      <c r="I43" s="2"/>
      <c r="J43" s="7">
        <f t="shared" si="25"/>
        <v>0</v>
      </c>
      <c r="K43" s="2"/>
      <c r="L43" s="6">
        <f t="shared" si="26"/>
        <v>3.2600000000000051</v>
      </c>
      <c r="M43" s="2"/>
      <c r="N43" s="7">
        <f t="shared" si="27"/>
        <v>6.1416729464958651E-2</v>
      </c>
      <c r="O43" s="11"/>
      <c r="P43" s="6">
        <v>169.02</v>
      </c>
      <c r="Q43" s="2"/>
      <c r="R43" s="7">
        <f t="shared" si="28"/>
        <v>0</v>
      </c>
      <c r="S43" s="2"/>
      <c r="T43" s="6">
        <v>159.24</v>
      </c>
      <c r="U43" s="2"/>
      <c r="V43" s="7">
        <f t="shared" si="29"/>
        <v>0</v>
      </c>
      <c r="W43" s="2"/>
      <c r="X43" s="6">
        <f t="shared" si="30"/>
        <v>9.7800000000000011</v>
      </c>
      <c r="Y43" s="2"/>
      <c r="Z43" s="7">
        <f t="shared" si="31"/>
        <v>6.1416729464958554E-2</v>
      </c>
    </row>
    <row r="44" spans="1:26" s="29" customFormat="1" outlineLevel="1" collapsed="1" x14ac:dyDescent="0.25">
      <c r="A44" s="27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SUM(OSRRefD22_6x_0)</f>
        <v>9551.630000000001</v>
      </c>
      <c r="E44" s="1"/>
      <c r="F44" s="5">
        <f t="shared" si="24"/>
        <v>0</v>
      </c>
      <c r="G44" s="1"/>
      <c r="H44" s="1">
        <f>SUM(OSRRefH22_6x_0)</f>
        <v>13947.310000000001</v>
      </c>
      <c r="I44" s="1"/>
      <c r="J44" s="5">
        <f t="shared" si="25"/>
        <v>0</v>
      </c>
      <c r="K44" s="1"/>
      <c r="L44" s="1">
        <f t="shared" si="26"/>
        <v>-4395.68</v>
      </c>
      <c r="M44" s="1"/>
      <c r="N44" s="5">
        <f t="shared" si="27"/>
        <v>-0.31516328238205071</v>
      </c>
      <c r="O44" s="14"/>
      <c r="P44" s="1">
        <f>SUM(OSRRefP22_6x_0)</f>
        <v>28688.36</v>
      </c>
      <c r="Q44" s="1"/>
      <c r="R44" s="5">
        <f t="shared" si="28"/>
        <v>0</v>
      </c>
      <c r="S44" s="1"/>
      <c r="T44" s="1">
        <f>SUM(OSRRefT22_6x_0)</f>
        <v>27288.700000000004</v>
      </c>
      <c r="U44" s="1"/>
      <c r="V44" s="5">
        <f t="shared" si="29"/>
        <v>0</v>
      </c>
      <c r="W44" s="1"/>
      <c r="X44" s="1">
        <f t="shared" si="30"/>
        <v>1399.6599999999962</v>
      </c>
      <c r="Y44" s="1"/>
      <c r="Z44" s="5">
        <f t="shared" si="31"/>
        <v>5.1290827338788439E-2</v>
      </c>
    </row>
    <row r="45" spans="1:26" s="24" customFormat="1" hidden="1" outlineLevel="2" x14ac:dyDescent="0.25">
      <c r="A45" s="28"/>
      <c r="B45" s="11" t="str">
        <f>CONCATENATE("          ", "6371", " - ", "COMPUTER SOFTWARE MAINTENANCE")</f>
        <v xml:space="preserve">          6371 - COMPUTER SOFTWARE MAINTENANCE</v>
      </c>
      <c r="C45" s="11"/>
      <c r="D45" s="6">
        <v>90.95</v>
      </c>
      <c r="E45" s="2"/>
      <c r="F45" s="7">
        <f t="shared" si="24"/>
        <v>0</v>
      </c>
      <c r="G45" s="2"/>
      <c r="H45" s="6">
        <v>90.95</v>
      </c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1"/>
      <c r="P45" s="6">
        <v>272.85000000000002</v>
      </c>
      <c r="Q45" s="2"/>
      <c r="R45" s="7">
        <f t="shared" si="28"/>
        <v>0</v>
      </c>
      <c r="S45" s="2"/>
      <c r="T45" s="6">
        <v>799.22</v>
      </c>
      <c r="U45" s="2"/>
      <c r="V45" s="7">
        <f t="shared" si="29"/>
        <v>0</v>
      </c>
      <c r="W45" s="2"/>
      <c r="X45" s="6">
        <f t="shared" si="30"/>
        <v>-526.37</v>
      </c>
      <c r="Y45" s="2"/>
      <c r="Z45" s="7">
        <f t="shared" si="31"/>
        <v>-0.65860463952353543</v>
      </c>
    </row>
    <row r="46" spans="1:26" s="24" customFormat="1" hidden="1" outlineLevel="2" x14ac:dyDescent="0.25">
      <c r="A46" s="28"/>
      <c r="B46" s="11" t="str">
        <f>CONCATENATE("          ", "6373", " - ", "MAINTENANCE CONTRACTS")</f>
        <v xml:space="preserve">          6373 - MAINTENANCE CONTRACTS</v>
      </c>
      <c r="C46" s="11"/>
      <c r="D46" s="6">
        <v>9407</v>
      </c>
      <c r="E46" s="2"/>
      <c r="F46" s="7">
        <f t="shared" si="24"/>
        <v>0</v>
      </c>
      <c r="G46" s="2"/>
      <c r="H46" s="6">
        <v>13793</v>
      </c>
      <c r="I46" s="2"/>
      <c r="J46" s="7">
        <f t="shared" si="25"/>
        <v>0</v>
      </c>
      <c r="K46" s="2"/>
      <c r="L46" s="6">
        <f t="shared" si="26"/>
        <v>-4386</v>
      </c>
      <c r="M46" s="2"/>
      <c r="N46" s="7">
        <f t="shared" si="27"/>
        <v>-0.31798738490538681</v>
      </c>
      <c r="O46" s="11"/>
      <c r="P46" s="6">
        <v>28330.15</v>
      </c>
      <c r="Q46" s="2"/>
      <c r="R46" s="7">
        <f t="shared" si="28"/>
        <v>0</v>
      </c>
      <c r="S46" s="2"/>
      <c r="T46" s="6">
        <v>25786.15</v>
      </c>
      <c r="U46" s="2"/>
      <c r="V46" s="7">
        <f t="shared" si="29"/>
        <v>0</v>
      </c>
      <c r="W46" s="2"/>
      <c r="X46" s="6">
        <f t="shared" si="30"/>
        <v>2544</v>
      </c>
      <c r="Y46" s="2"/>
      <c r="Z46" s="7">
        <f t="shared" si="31"/>
        <v>9.8657612710699338E-2</v>
      </c>
    </row>
    <row r="47" spans="1:26" s="24" customFormat="1" hidden="1" outlineLevel="2" x14ac:dyDescent="0.25">
      <c r="A47" s="28"/>
      <c r="B47" s="11" t="str">
        <f>CONCATENATE("          ", "6375", " - ", "OUTSIDE REPAIRS &amp; MAINTENANCE")</f>
        <v xml:space="preserve">          6375 - OUTSIDE REPAIRS &amp; MAINTENANCE</v>
      </c>
      <c r="C47" s="11"/>
      <c r="D47" s="6">
        <v>53.68</v>
      </c>
      <c r="E47" s="2"/>
      <c r="F47" s="7">
        <f t="shared" si="24"/>
        <v>0</v>
      </c>
      <c r="G47" s="2"/>
      <c r="H47" s="6">
        <v>63.36</v>
      </c>
      <c r="I47" s="2"/>
      <c r="J47" s="7">
        <f t="shared" si="25"/>
        <v>0</v>
      </c>
      <c r="K47" s="2"/>
      <c r="L47" s="6">
        <f t="shared" si="26"/>
        <v>-9.68</v>
      </c>
      <c r="M47" s="2"/>
      <c r="N47" s="7">
        <f t="shared" si="27"/>
        <v>-0.15277777777777776</v>
      </c>
      <c r="O47" s="11"/>
      <c r="P47" s="6">
        <v>85.36</v>
      </c>
      <c r="Q47" s="2"/>
      <c r="R47" s="7">
        <f t="shared" si="28"/>
        <v>0</v>
      </c>
      <c r="S47" s="2"/>
      <c r="T47" s="6">
        <v>703.33</v>
      </c>
      <c r="U47" s="2"/>
      <c r="V47" s="7">
        <f t="shared" si="29"/>
        <v>0</v>
      </c>
      <c r="W47" s="2"/>
      <c r="X47" s="6">
        <f t="shared" si="30"/>
        <v>-617.97</v>
      </c>
      <c r="Y47" s="2"/>
      <c r="Z47" s="7">
        <f t="shared" si="31"/>
        <v>-0.87863449589808484</v>
      </c>
    </row>
    <row r="48" spans="1:26" s="29" customFormat="1" outlineLevel="1" collapsed="1" x14ac:dyDescent="0.25">
      <c r="A48" s="27"/>
      <c r="B48" s="14" t="str">
        <f>CONCATENATE("     ","Supplies                                          ")</f>
        <v xml:space="preserve">     Supplies                                          </v>
      </c>
      <c r="C48" s="14"/>
      <c r="D48" s="1">
        <f>SUM(OSRRefD22_7x_0)</f>
        <v>3475.86</v>
      </c>
      <c r="E48" s="1"/>
      <c r="F48" s="5">
        <f t="shared" ref="F48:F50" si="32">IF(D$12=0,0,D48/D$12)</f>
        <v>0</v>
      </c>
      <c r="G48" s="1"/>
      <c r="H48" s="1">
        <f>SUM(OSRRefH22_7x_0)</f>
        <v>2953.5</v>
      </c>
      <c r="I48" s="1"/>
      <c r="J48" s="5">
        <f t="shared" ref="J48:J50" si="33">IF(H$12=0,0,H48/H$12)</f>
        <v>0</v>
      </c>
      <c r="K48" s="1"/>
      <c r="L48" s="1">
        <f t="shared" ref="L48:L50" si="34">+D48-H48</f>
        <v>522.36000000000013</v>
      </c>
      <c r="M48" s="1"/>
      <c r="N48" s="5">
        <f t="shared" ref="N48:N50" si="35">IF(H48=0,0,L48/H48)</f>
        <v>0.17686135093956326</v>
      </c>
      <c r="O48" s="14"/>
      <c r="P48" s="1">
        <f>SUM(OSRRefP22_7x_0)</f>
        <v>13542.64</v>
      </c>
      <c r="Q48" s="1"/>
      <c r="R48" s="5">
        <f t="shared" ref="R48:R50" si="36">IF(P$12=0,0,P48/P$12)</f>
        <v>0</v>
      </c>
      <c r="S48" s="1"/>
      <c r="T48" s="1">
        <f>SUM(OSRRefT22_7x_0)</f>
        <v>6860.21</v>
      </c>
      <c r="U48" s="1"/>
      <c r="V48" s="5">
        <f t="shared" ref="V48:V50" si="37">IF(T$12=0,0,T48/T$12)</f>
        <v>0</v>
      </c>
      <c r="W48" s="1"/>
      <c r="X48" s="1">
        <f t="shared" ref="X48:X50" si="38">+P48-T48</f>
        <v>6682.4299999999994</v>
      </c>
      <c r="Y48" s="1"/>
      <c r="Z48" s="5">
        <f t="shared" ref="Z48:Z50" si="39">IF(T48=0,0,X48/T48)</f>
        <v>0.97408534141083136</v>
      </c>
    </row>
    <row r="49" spans="1:26" s="24" customFormat="1" hidden="1" outlineLevel="2" x14ac:dyDescent="0.25">
      <c r="A49" s="28"/>
      <c r="B49" s="11" t="str">
        <f>CONCATENATE("          ", "6234", " - ", "EXPENDABLE SUPPLIES &amp; EQUIPMEN")</f>
        <v xml:space="preserve">          6234 - EXPENDABLE SUPPLIES &amp; EQUIPMEN</v>
      </c>
      <c r="C49" s="11"/>
      <c r="D49" s="6"/>
      <c r="E49" s="2"/>
      <c r="F49" s="7">
        <f t="shared" si="32"/>
        <v>0</v>
      </c>
      <c r="G49" s="2"/>
      <c r="H49" s="6"/>
      <c r="I49" s="2"/>
      <c r="J49" s="7">
        <f t="shared" si="33"/>
        <v>0</v>
      </c>
      <c r="K49" s="2"/>
      <c r="L49" s="6">
        <f t="shared" si="34"/>
        <v>0</v>
      </c>
      <c r="M49" s="2"/>
      <c r="N49" s="7">
        <f t="shared" si="35"/>
        <v>0</v>
      </c>
      <c r="O49" s="11"/>
      <c r="P49" s="6"/>
      <c r="Q49" s="2"/>
      <c r="R49" s="7">
        <f t="shared" si="36"/>
        <v>0</v>
      </c>
      <c r="S49" s="2"/>
      <c r="T49" s="6">
        <v>1245.83</v>
      </c>
      <c r="U49" s="2"/>
      <c r="V49" s="7">
        <f t="shared" si="37"/>
        <v>0</v>
      </c>
      <c r="W49" s="2"/>
      <c r="X49" s="6">
        <f t="shared" si="38"/>
        <v>-1245.83</v>
      </c>
      <c r="Y49" s="2"/>
      <c r="Z49" s="7">
        <f t="shared" si="39"/>
        <v>-1</v>
      </c>
    </row>
    <row r="50" spans="1:26" s="24" customFormat="1" hidden="1" outlineLevel="2" x14ac:dyDescent="0.25">
      <c r="A50" s="28"/>
      <c r="B50" s="11" t="str">
        <f>CONCATENATE("          ", "6241", " - ", "OFFICE EXPENSE")</f>
        <v xml:space="preserve">          6241 - OFFICE EXPENSE</v>
      </c>
      <c r="C50" s="11"/>
      <c r="D50" s="6">
        <v>3475.86</v>
      </c>
      <c r="E50" s="2"/>
      <c r="F50" s="7">
        <f t="shared" si="32"/>
        <v>0</v>
      </c>
      <c r="G50" s="2"/>
      <c r="H50" s="6">
        <v>2953.5</v>
      </c>
      <c r="I50" s="2"/>
      <c r="J50" s="7">
        <f t="shared" si="33"/>
        <v>0</v>
      </c>
      <c r="K50" s="2"/>
      <c r="L50" s="6">
        <f t="shared" si="34"/>
        <v>522.36000000000013</v>
      </c>
      <c r="M50" s="2"/>
      <c r="N50" s="7">
        <f t="shared" si="35"/>
        <v>0.17686135093956326</v>
      </c>
      <c r="O50" s="11"/>
      <c r="P50" s="6">
        <v>13542.64</v>
      </c>
      <c r="Q50" s="2"/>
      <c r="R50" s="7">
        <f t="shared" si="36"/>
        <v>0</v>
      </c>
      <c r="S50" s="2"/>
      <c r="T50" s="6">
        <v>5614.38</v>
      </c>
      <c r="U50" s="2"/>
      <c r="V50" s="7">
        <f t="shared" si="37"/>
        <v>0</v>
      </c>
      <c r="W50" s="2"/>
      <c r="X50" s="6">
        <f t="shared" si="38"/>
        <v>7928.2599999999993</v>
      </c>
      <c r="Y50" s="2"/>
      <c r="Z50" s="7">
        <f t="shared" si="39"/>
        <v>1.4121345544833088</v>
      </c>
    </row>
    <row r="51" spans="1:26" s="29" customFormat="1" outlineLevel="1" collapsed="1" x14ac:dyDescent="0.25">
      <c r="A51" s="27"/>
      <c r="B51" s="14" t="str">
        <f>CONCATENATE("     ","Telephone/Data Lines                              ")</f>
        <v xml:space="preserve">     Telephone/Data Lines                              </v>
      </c>
      <c r="C51" s="14"/>
      <c r="D51" s="1">
        <f>SUM(OSRRefD22_8x_0)</f>
        <v>854.7299999999999</v>
      </c>
      <c r="E51" s="1"/>
      <c r="F51" s="5">
        <f t="shared" ref="F51:F53" si="40">IF(D$12=0,0,D51/D$12)</f>
        <v>0</v>
      </c>
      <c r="G51" s="1"/>
      <c r="H51" s="1">
        <f>SUM(OSRRefH22_8x_0)</f>
        <v>984.02</v>
      </c>
      <c r="I51" s="1"/>
      <c r="J51" s="5">
        <f t="shared" ref="J51:J53" si="41">IF(H$12=0,0,H51/H$12)</f>
        <v>0</v>
      </c>
      <c r="K51" s="1"/>
      <c r="L51" s="1">
        <f t="shared" ref="L51:L53" si="42">+D51-H51</f>
        <v>-129.29000000000008</v>
      </c>
      <c r="M51" s="1"/>
      <c r="N51" s="5">
        <f t="shared" ref="N51:N53" si="43">IF(H51=0,0,L51/H51)</f>
        <v>-0.13138960590231913</v>
      </c>
      <c r="O51" s="14"/>
      <c r="P51" s="1">
        <f>SUM(OSRRefP22_8x_0)</f>
        <v>5833.54</v>
      </c>
      <c r="Q51" s="1"/>
      <c r="R51" s="5">
        <f t="shared" ref="R51:R53" si="44">IF(P$12=0,0,P51/P$12)</f>
        <v>0</v>
      </c>
      <c r="S51" s="1"/>
      <c r="T51" s="1">
        <f>SUM(OSRRefT22_8x_0)</f>
        <v>2214.15</v>
      </c>
      <c r="U51" s="1"/>
      <c r="V51" s="5">
        <f t="shared" ref="V51:V53" si="45">IF(T$12=0,0,T51/T$12)</f>
        <v>0</v>
      </c>
      <c r="W51" s="1"/>
      <c r="X51" s="1">
        <f t="shared" ref="X51:X53" si="46">+P51-T51</f>
        <v>3619.39</v>
      </c>
      <c r="Y51" s="1"/>
      <c r="Z51" s="5">
        <f t="shared" ref="Z51:Z53" si="47">IF(T51=0,0,X51/T51)</f>
        <v>1.6346634148544588</v>
      </c>
    </row>
    <row r="52" spans="1:26" s="24" customFormat="1" hidden="1" outlineLevel="2" x14ac:dyDescent="0.25">
      <c r="A52" s="28"/>
      <c r="B52" s="11" t="str">
        <f>CONCATENATE("          ", "6303", " - ", "DATA PHONE LINES")</f>
        <v xml:space="preserve">          6303 - DATA PHONE LINES</v>
      </c>
      <c r="C52" s="11"/>
      <c r="D52" s="6">
        <v>116.55</v>
      </c>
      <c r="E52" s="2"/>
      <c r="F52" s="7">
        <f t="shared" si="40"/>
        <v>0</v>
      </c>
      <c r="G52" s="2"/>
      <c r="H52" s="6">
        <v>173.9</v>
      </c>
      <c r="I52" s="2"/>
      <c r="J52" s="7">
        <f t="shared" si="41"/>
        <v>0</v>
      </c>
      <c r="K52" s="2"/>
      <c r="L52" s="6">
        <f t="shared" si="42"/>
        <v>-57.350000000000009</v>
      </c>
      <c r="M52" s="2"/>
      <c r="N52" s="7">
        <f t="shared" si="43"/>
        <v>-0.32978723404255322</v>
      </c>
      <c r="O52" s="11"/>
      <c r="P52" s="6">
        <v>507.62</v>
      </c>
      <c r="Q52" s="2"/>
      <c r="R52" s="7">
        <f t="shared" si="44"/>
        <v>0</v>
      </c>
      <c r="S52" s="2"/>
      <c r="T52" s="6">
        <v>521.76</v>
      </c>
      <c r="U52" s="2"/>
      <c r="V52" s="7">
        <f t="shared" si="45"/>
        <v>0</v>
      </c>
      <c r="W52" s="2"/>
      <c r="X52" s="6">
        <f t="shared" si="46"/>
        <v>-14.139999999999986</v>
      </c>
      <c r="Y52" s="2"/>
      <c r="Z52" s="7">
        <f t="shared" si="47"/>
        <v>-2.7100582643360908E-2</v>
      </c>
    </row>
    <row r="53" spans="1:26" s="24" customFormat="1" hidden="1" outlineLevel="2" x14ac:dyDescent="0.25">
      <c r="A53" s="28"/>
      <c r="B53" s="11" t="str">
        <f>CONCATENATE("          ", "6309", " - ", "TELEPHONE")</f>
        <v xml:space="preserve">          6309 - TELEPHONE</v>
      </c>
      <c r="C53" s="11"/>
      <c r="D53" s="6">
        <v>738.18</v>
      </c>
      <c r="E53" s="2"/>
      <c r="F53" s="7">
        <f t="shared" si="40"/>
        <v>0</v>
      </c>
      <c r="G53" s="2"/>
      <c r="H53" s="6">
        <v>810.12</v>
      </c>
      <c r="I53" s="2"/>
      <c r="J53" s="7">
        <f t="shared" si="41"/>
        <v>0</v>
      </c>
      <c r="K53" s="2"/>
      <c r="L53" s="6">
        <f t="shared" si="42"/>
        <v>-71.940000000000055</v>
      </c>
      <c r="M53" s="2"/>
      <c r="N53" s="7">
        <f t="shared" si="43"/>
        <v>-8.8801659013479556E-2</v>
      </c>
      <c r="O53" s="11"/>
      <c r="P53" s="6">
        <v>5325.92</v>
      </c>
      <c r="Q53" s="2"/>
      <c r="R53" s="7">
        <f t="shared" si="44"/>
        <v>0</v>
      </c>
      <c r="S53" s="2"/>
      <c r="T53" s="6">
        <v>1692.39</v>
      </c>
      <c r="U53" s="2"/>
      <c r="V53" s="7">
        <f t="shared" si="45"/>
        <v>0</v>
      </c>
      <c r="W53" s="2"/>
      <c r="X53" s="6">
        <f t="shared" si="46"/>
        <v>3633.5299999999997</v>
      </c>
      <c r="Y53" s="2"/>
      <c r="Z53" s="7">
        <f t="shared" si="47"/>
        <v>2.1469814877185516</v>
      </c>
    </row>
    <row r="54" spans="1:26" s="29" customFormat="1" outlineLevel="1" collapsed="1" x14ac:dyDescent="0.25">
      <c r="A54" s="27"/>
      <c r="B54" s="14" t="str">
        <f>CONCATENATE("     ","Training                                          ")</f>
        <v xml:space="preserve">     Training                                          </v>
      </c>
      <c r="C54" s="14"/>
      <c r="D54" s="1">
        <f>SUM(OSRRefD22_9x_0)</f>
        <v>49</v>
      </c>
      <c r="E54" s="1"/>
      <c r="F54" s="5">
        <f t="shared" ref="F54:F58" si="48">IF(D$12=0,0,D54/D$12)</f>
        <v>0</v>
      </c>
      <c r="G54" s="1"/>
      <c r="H54" s="1">
        <f>SUM(OSRRefH22_9x_0)</f>
        <v>644</v>
      </c>
      <c r="I54" s="1"/>
      <c r="J54" s="5">
        <f t="shared" ref="J54:J58" si="49">IF(H$12=0,0,H54/H$12)</f>
        <v>0</v>
      </c>
      <c r="K54" s="1"/>
      <c r="L54" s="1">
        <f t="shared" ref="L54:L58" si="50">+D54-H54</f>
        <v>-595</v>
      </c>
      <c r="M54" s="1"/>
      <c r="N54" s="5">
        <f t="shared" ref="N54:N58" si="51">IF(H54=0,0,L54/H54)</f>
        <v>-0.92391304347826086</v>
      </c>
      <c r="O54" s="14"/>
      <c r="P54" s="1">
        <f>SUM(OSRRefP22_9x_0)</f>
        <v>147</v>
      </c>
      <c r="Q54" s="1"/>
      <c r="R54" s="5">
        <f t="shared" ref="R54:R58" si="52">IF(P$12=0,0,P54/P$12)</f>
        <v>0</v>
      </c>
      <c r="S54" s="1"/>
      <c r="T54" s="1">
        <f>SUM(OSRRefT22_9x_0)</f>
        <v>4797.05</v>
      </c>
      <c r="U54" s="1"/>
      <c r="V54" s="5">
        <f t="shared" ref="V54:V58" si="53">IF(T$12=0,0,T54/T$12)</f>
        <v>0</v>
      </c>
      <c r="W54" s="1"/>
      <c r="X54" s="1">
        <f t="shared" ref="X54:X58" si="54">+P54-T54</f>
        <v>-4650.05</v>
      </c>
      <c r="Y54" s="1"/>
      <c r="Z54" s="5">
        <f t="shared" ref="Z54:Z58" si="55">IF(T54=0,0,X54/T54)</f>
        <v>-0.96935616681085246</v>
      </c>
    </row>
    <row r="55" spans="1:26" s="24" customFormat="1" hidden="1" outlineLevel="2" x14ac:dyDescent="0.25">
      <c r="A55" s="28"/>
      <c r="B55" s="11" t="str">
        <f>CONCATENATE("          ", "6376", " - ", "TRAINING")</f>
        <v xml:space="preserve">          6376 - TRAINING</v>
      </c>
      <c r="C55" s="11"/>
      <c r="D55" s="6">
        <v>49</v>
      </c>
      <c r="E55" s="2"/>
      <c r="F55" s="7">
        <f t="shared" si="48"/>
        <v>0</v>
      </c>
      <c r="G55" s="2"/>
      <c r="H55" s="6">
        <v>644</v>
      </c>
      <c r="I55" s="2"/>
      <c r="J55" s="7">
        <f t="shared" si="49"/>
        <v>0</v>
      </c>
      <c r="K55" s="2"/>
      <c r="L55" s="6">
        <f t="shared" si="50"/>
        <v>-595</v>
      </c>
      <c r="M55" s="2"/>
      <c r="N55" s="7">
        <f t="shared" si="51"/>
        <v>-0.92391304347826086</v>
      </c>
      <c r="O55" s="11"/>
      <c r="P55" s="6">
        <v>147</v>
      </c>
      <c r="Q55" s="2"/>
      <c r="R55" s="7">
        <f t="shared" si="52"/>
        <v>0</v>
      </c>
      <c r="S55" s="2"/>
      <c r="T55" s="6">
        <v>4797.05</v>
      </c>
      <c r="U55" s="2"/>
      <c r="V55" s="7">
        <f t="shared" si="53"/>
        <v>0</v>
      </c>
      <c r="W55" s="2"/>
      <c r="X55" s="6">
        <f t="shared" si="54"/>
        <v>-4650.05</v>
      </c>
      <c r="Y55" s="2"/>
      <c r="Z55" s="7">
        <f t="shared" si="55"/>
        <v>-0.96935616681085246</v>
      </c>
    </row>
    <row r="56" spans="1:26" s="29" customFormat="1" outlineLevel="1" collapsed="1" x14ac:dyDescent="0.25">
      <c r="A56" s="27"/>
      <c r="B56" s="14" t="str">
        <f>CONCATENATE("     ","Travel                                            ")</f>
        <v xml:space="preserve">     Travel                                            </v>
      </c>
      <c r="C56" s="14"/>
      <c r="D56" s="1">
        <f>SUM(OSRRefD22_10x_0)</f>
        <v>595</v>
      </c>
      <c r="E56" s="1"/>
      <c r="F56" s="5">
        <f t="shared" si="48"/>
        <v>0</v>
      </c>
      <c r="G56" s="1"/>
      <c r="H56" s="1">
        <f>SUM(OSRRefH22_10x_0)</f>
        <v>15</v>
      </c>
      <c r="I56" s="1"/>
      <c r="J56" s="5">
        <f t="shared" si="49"/>
        <v>0</v>
      </c>
      <c r="K56" s="1"/>
      <c r="L56" s="1">
        <f t="shared" si="50"/>
        <v>580</v>
      </c>
      <c r="M56" s="1"/>
      <c r="N56" s="5">
        <f t="shared" si="51"/>
        <v>38.666666666666664</v>
      </c>
      <c r="O56" s="14"/>
      <c r="P56" s="1">
        <f>SUM(OSRRefP22_10x_0)</f>
        <v>618.9</v>
      </c>
      <c r="Q56" s="1"/>
      <c r="R56" s="5">
        <f t="shared" si="52"/>
        <v>0</v>
      </c>
      <c r="S56" s="1"/>
      <c r="T56" s="1">
        <f>SUM(OSRRefT22_10x_0)</f>
        <v>21.44</v>
      </c>
      <c r="U56" s="1"/>
      <c r="V56" s="5">
        <f t="shared" si="53"/>
        <v>0</v>
      </c>
      <c r="W56" s="1"/>
      <c r="X56" s="1">
        <f t="shared" si="54"/>
        <v>597.45999999999992</v>
      </c>
      <c r="Y56" s="1"/>
      <c r="Z56" s="5">
        <f t="shared" si="55"/>
        <v>27.866604477611936</v>
      </c>
    </row>
    <row r="57" spans="1:26" s="24" customFormat="1" hidden="1" outlineLevel="2" x14ac:dyDescent="0.25">
      <c r="A57" s="28"/>
      <c r="B57" s="11" t="str">
        <f>CONCATENATE("          ", "6292", " - ", "TRAVEL/CONFERENCE")</f>
        <v xml:space="preserve">          6292 - TRAVEL/CONFERENCE</v>
      </c>
      <c r="C57" s="11"/>
      <c r="D57" s="6">
        <v>595</v>
      </c>
      <c r="E57" s="2"/>
      <c r="F57" s="7">
        <f t="shared" si="48"/>
        <v>0</v>
      </c>
      <c r="G57" s="2"/>
      <c r="H57" s="6">
        <v>15</v>
      </c>
      <c r="I57" s="2"/>
      <c r="J57" s="7">
        <f t="shared" si="49"/>
        <v>0</v>
      </c>
      <c r="K57" s="2"/>
      <c r="L57" s="6">
        <f t="shared" si="50"/>
        <v>580</v>
      </c>
      <c r="M57" s="2"/>
      <c r="N57" s="7">
        <f t="shared" si="51"/>
        <v>38.666666666666664</v>
      </c>
      <c r="O57" s="11"/>
      <c r="P57" s="6">
        <v>595</v>
      </c>
      <c r="Q57" s="2"/>
      <c r="R57" s="7">
        <f t="shared" si="52"/>
        <v>0</v>
      </c>
      <c r="S57" s="2"/>
      <c r="T57" s="6">
        <v>21.44</v>
      </c>
      <c r="U57" s="2"/>
      <c r="V57" s="7">
        <f t="shared" si="53"/>
        <v>0</v>
      </c>
      <c r="W57" s="2"/>
      <c r="X57" s="6">
        <f t="shared" si="54"/>
        <v>573.55999999999995</v>
      </c>
      <c r="Y57" s="2"/>
      <c r="Z57" s="7">
        <f t="shared" si="55"/>
        <v>26.751865671641788</v>
      </c>
    </row>
    <row r="58" spans="1:26" s="24" customFormat="1" hidden="1" outlineLevel="2" x14ac:dyDescent="0.25">
      <c r="A58" s="28"/>
      <c r="B58" s="11" t="str">
        <f>CONCATENATE("          ", "6294", " - ", "TRAVEL OPERATIONAL")</f>
        <v xml:space="preserve">          6294 - TRAVEL OPERATIONAL</v>
      </c>
      <c r="C58" s="11"/>
      <c r="D58" s="6"/>
      <c r="E58" s="2"/>
      <c r="F58" s="7">
        <f t="shared" si="48"/>
        <v>0</v>
      </c>
      <c r="G58" s="2"/>
      <c r="H58" s="6"/>
      <c r="I58" s="2"/>
      <c r="J58" s="7">
        <f t="shared" si="49"/>
        <v>0</v>
      </c>
      <c r="K58" s="2"/>
      <c r="L58" s="6">
        <f t="shared" si="50"/>
        <v>0</v>
      </c>
      <c r="M58" s="2"/>
      <c r="N58" s="7">
        <f t="shared" si="51"/>
        <v>0</v>
      </c>
      <c r="O58" s="11"/>
      <c r="P58" s="6">
        <v>23.9</v>
      </c>
      <c r="Q58" s="2"/>
      <c r="R58" s="7">
        <f t="shared" si="52"/>
        <v>0</v>
      </c>
      <c r="S58" s="2"/>
      <c r="T58" s="6"/>
      <c r="U58" s="2"/>
      <c r="V58" s="7">
        <f t="shared" si="53"/>
        <v>0</v>
      </c>
      <c r="W58" s="2"/>
      <c r="X58" s="6">
        <f t="shared" si="54"/>
        <v>23.9</v>
      </c>
      <c r="Y58" s="2"/>
      <c r="Z58" s="7">
        <f t="shared" si="55"/>
        <v>0</v>
      </c>
    </row>
    <row r="59" spans="1:26" s="53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5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6" t="s">
        <v>3</v>
      </c>
      <c r="C62" s="26"/>
      <c r="D62" s="21">
        <f>+D16-D18+D60</f>
        <v>-58210.09</v>
      </c>
      <c r="E62" s="13"/>
      <c r="F62" s="20">
        <f>IF(D$12=0,0,D62/D$12)</f>
        <v>0</v>
      </c>
      <c r="G62" s="13"/>
      <c r="H62" s="21">
        <f>+H16-H18+H60</f>
        <v>-57817.32</v>
      </c>
      <c r="I62" s="13"/>
      <c r="J62" s="20">
        <f>IF(H$12=0,0,H62/H$12)</f>
        <v>0</v>
      </c>
      <c r="K62" s="15"/>
      <c r="L62" s="21">
        <f>+D62-H62</f>
        <v>-392.7699999999968</v>
      </c>
      <c r="M62" s="15"/>
      <c r="N62" s="20">
        <f>IF(H62=0,0,L62/H62)</f>
        <v>6.7932930824188458E-3</v>
      </c>
      <c r="O62" s="25"/>
      <c r="P62" s="21">
        <f>+P16-P18+P60</f>
        <v>-182666.01999999996</v>
      </c>
      <c r="Q62" s="13"/>
      <c r="R62" s="20">
        <f>IF(P$12=0,0,P62/P$12)</f>
        <v>0</v>
      </c>
      <c r="S62" s="13"/>
      <c r="T62" s="21">
        <f>+T16-T18+T60</f>
        <v>-171233.93</v>
      </c>
      <c r="U62" s="13"/>
      <c r="V62" s="20">
        <f>IF(T$12=0,0,T62/T$12)</f>
        <v>0</v>
      </c>
      <c r="W62" s="15"/>
      <c r="X62" s="21">
        <f>+P62-T62</f>
        <v>-11432.089999999967</v>
      </c>
      <c r="Y62" s="15"/>
      <c r="Z62" s="20">
        <f>IF(T62=0,0,X62/T62)</f>
        <v>6.6762994927465416E-2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1"/>
      <c r="B64" s="10" t="s">
        <v>13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/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6" t="s">
        <v>4</v>
      </c>
      <c r="C66" s="26"/>
      <c r="D66" s="35">
        <f>+D62-D64</f>
        <v>-58210.09</v>
      </c>
      <c r="E66" s="13"/>
      <c r="F66" s="30">
        <f>IF(D$12=0,0,D66/D$12)</f>
        <v>0</v>
      </c>
      <c r="G66" s="13"/>
      <c r="H66" s="35">
        <f>+H62-H64</f>
        <v>-57817.32</v>
      </c>
      <c r="I66" s="13"/>
      <c r="J66" s="30">
        <f>IF(H$12=0,0,H66/H$12)</f>
        <v>0</v>
      </c>
      <c r="K66" s="15"/>
      <c r="L66" s="35">
        <f>D66-H66</f>
        <v>-392.7699999999968</v>
      </c>
      <c r="M66" s="15"/>
      <c r="N66" s="30">
        <f>IF(H66=0,0,L66/H66)</f>
        <v>6.7932930824188458E-3</v>
      </c>
      <c r="O66" s="25"/>
      <c r="P66" s="35">
        <f>+P62-P64</f>
        <v>-182666.01999999996</v>
      </c>
      <c r="Q66" s="13"/>
      <c r="R66" s="30">
        <f>IF(P$12=0,0,P66/P$12)</f>
        <v>0</v>
      </c>
      <c r="S66" s="13"/>
      <c r="T66" s="35">
        <f>+T62-T64</f>
        <v>-171233.93</v>
      </c>
      <c r="U66" s="13"/>
      <c r="V66" s="30">
        <f>IF(T$12=0,0,T66/T$12)</f>
        <v>0</v>
      </c>
      <c r="W66" s="15"/>
      <c r="X66" s="35">
        <f>P66-T66</f>
        <v>-11432.089999999967</v>
      </c>
      <c r="Y66" s="15"/>
      <c r="Z66" s="30">
        <f>IF(T66=0,0,X66/T66)</f>
        <v>6.6762994927465416E-2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6" t="s">
        <v>5</v>
      </c>
      <c r="C69" s="26"/>
      <c r="D69" s="36">
        <f>SUM(D66:D68)</f>
        <v>-58210.09</v>
      </c>
      <c r="E69" s="13"/>
      <c r="F69" s="31">
        <f>IF(D$12=0,0,D69/D$12)</f>
        <v>0</v>
      </c>
      <c r="G69" s="13"/>
      <c r="H69" s="36">
        <f>SUM(H66:H68)</f>
        <v>-57817.32</v>
      </c>
      <c r="I69" s="13"/>
      <c r="J69" s="31">
        <f>IF(H$12=0,0,H69/H$12)</f>
        <v>0</v>
      </c>
      <c r="K69" s="15"/>
      <c r="L69" s="36">
        <f>+D69-H69</f>
        <v>-392.7699999999968</v>
      </c>
      <c r="M69" s="15"/>
      <c r="N69" s="31">
        <f>IF(H69=0,0,L69/H69)</f>
        <v>6.7932930824188458E-3</v>
      </c>
      <c r="O69" s="25"/>
      <c r="P69" s="36">
        <f>SUM(P66:P68)</f>
        <v>-182666.01999999996</v>
      </c>
      <c r="Q69" s="13"/>
      <c r="R69" s="31">
        <f>IF(P$12=0,0,P69/P$12)</f>
        <v>0</v>
      </c>
      <c r="S69" s="13"/>
      <c r="T69" s="36">
        <f>SUM(T66:T68)</f>
        <v>-171233.93</v>
      </c>
      <c r="U69" s="13"/>
      <c r="V69" s="31">
        <f>IF(T$12=0,0,T69/T$12)</f>
        <v>0</v>
      </c>
      <c r="W69" s="15"/>
      <c r="X69" s="36">
        <f>+P69-T69</f>
        <v>-11432.089999999967</v>
      </c>
      <c r="Y69" s="15"/>
      <c r="Z69" s="31">
        <f>IF(T69=0,0,X69/T69)</f>
        <v>6.6762994927465416E-2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5">
        <v>43756.462794293984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6" t="s">
        <v>313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7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","205", " - ", "Maintenance")</f>
        <v>Department 205 - Maintenance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6663.1600000000008</v>
      </c>
      <c r="E18" s="22"/>
      <c r="F18" s="34">
        <f t="shared" ref="F18:F27" si="0">IF(D$12=0,0,D18/D$12)</f>
        <v>0</v>
      </c>
      <c r="G18" s="22"/>
      <c r="H18" s="22">
        <f>SUM(OSRRefH22x_0)</f>
        <v>6001.4399999999987</v>
      </c>
      <c r="I18" s="22"/>
      <c r="J18" s="34">
        <f t="shared" ref="J18:J27" si="1">IF(H$12=0,0,H18/H$12)</f>
        <v>0</v>
      </c>
      <c r="K18" s="4"/>
      <c r="L18" s="22">
        <f t="shared" ref="L18:L27" si="2">+D18-H18</f>
        <v>661.72000000000207</v>
      </c>
      <c r="M18" s="4"/>
      <c r="N18" s="34">
        <f t="shared" ref="N18:N27" si="3">IF(H18=0,0,L18/H18)</f>
        <v>0.1102602042176548</v>
      </c>
      <c r="O18" s="10"/>
      <c r="P18" s="22">
        <f>SUM(OSRRefP22x_0)</f>
        <v>24123.579999999994</v>
      </c>
      <c r="Q18" s="22"/>
      <c r="R18" s="34">
        <f t="shared" ref="R18:R27" si="4">IF(P$12=0,0,P18/P$12)</f>
        <v>0</v>
      </c>
      <c r="S18" s="22"/>
      <c r="T18" s="22">
        <f>SUM(OSRRefT22x_0)</f>
        <v>22514.739999999998</v>
      </c>
      <c r="U18" s="22"/>
      <c r="V18" s="34">
        <f t="shared" ref="V18:V27" si="5">IF(T$12=0,0,T18/T$12)</f>
        <v>0</v>
      </c>
      <c r="W18" s="4"/>
      <c r="X18" s="22">
        <f t="shared" ref="X18:X27" si="6">+P18-T18</f>
        <v>1608.8399999999965</v>
      </c>
      <c r="Y18" s="4"/>
      <c r="Z18" s="34">
        <f t="shared" ref="Z18:Z27" si="7">IF(T18=0,0,X18/T18)</f>
        <v>7.1457187602432748E-2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2487.9799999999996</v>
      </c>
      <c r="E19" s="1"/>
      <c r="F19" s="5">
        <f t="shared" si="0"/>
        <v>0</v>
      </c>
      <c r="G19" s="1"/>
      <c r="H19" s="1">
        <f>SUM(OSRRefH22_0x_0)</f>
        <v>2108.9499999999998</v>
      </c>
      <c r="I19" s="1"/>
      <c r="J19" s="5">
        <f t="shared" si="1"/>
        <v>0</v>
      </c>
      <c r="K19" s="1"/>
      <c r="L19" s="1">
        <f t="shared" si="2"/>
        <v>379.02999999999975</v>
      </c>
      <c r="M19" s="1"/>
      <c r="N19" s="5">
        <f t="shared" si="3"/>
        <v>0.17972450745631702</v>
      </c>
      <c r="O19" s="14"/>
      <c r="P19" s="1">
        <f>SUM(OSRRefP22_0x_0)</f>
        <v>8592.7199999999993</v>
      </c>
      <c r="Q19" s="1"/>
      <c r="R19" s="5">
        <f t="shared" si="4"/>
        <v>0</v>
      </c>
      <c r="S19" s="1"/>
      <c r="T19" s="1">
        <f>SUM(OSRRefT22_0x_0)</f>
        <v>7617.5</v>
      </c>
      <c r="U19" s="1"/>
      <c r="V19" s="5">
        <f t="shared" si="5"/>
        <v>0</v>
      </c>
      <c r="W19" s="1"/>
      <c r="X19" s="1">
        <f t="shared" si="6"/>
        <v>975.21999999999935</v>
      </c>
      <c r="Y19" s="1"/>
      <c r="Z19" s="5">
        <f t="shared" si="7"/>
        <v>0.128023629799803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316.26</v>
      </c>
      <c r="E20" s="2"/>
      <c r="F20" s="7">
        <f t="shared" si="0"/>
        <v>0</v>
      </c>
      <c r="G20" s="2"/>
      <c r="H20" s="6">
        <v>305.06</v>
      </c>
      <c r="I20" s="2"/>
      <c r="J20" s="7">
        <f t="shared" si="1"/>
        <v>0</v>
      </c>
      <c r="K20" s="2"/>
      <c r="L20" s="6">
        <f t="shared" si="2"/>
        <v>11.199999999999989</v>
      </c>
      <c r="M20" s="2"/>
      <c r="N20" s="7">
        <f t="shared" si="3"/>
        <v>3.6714089031665863E-2</v>
      </c>
      <c r="O20" s="11"/>
      <c r="P20" s="6">
        <v>984.93</v>
      </c>
      <c r="Q20" s="2"/>
      <c r="R20" s="7">
        <f t="shared" si="4"/>
        <v>0</v>
      </c>
      <c r="S20" s="2"/>
      <c r="T20" s="6">
        <v>929.8</v>
      </c>
      <c r="U20" s="2"/>
      <c r="V20" s="7">
        <f t="shared" si="5"/>
        <v>0</v>
      </c>
      <c r="W20" s="2"/>
      <c r="X20" s="6">
        <f t="shared" si="6"/>
        <v>55.129999999999995</v>
      </c>
      <c r="Y20" s="2"/>
      <c r="Z20" s="7">
        <f t="shared" si="7"/>
        <v>5.929232092923209E-2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279.89</v>
      </c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279.89</v>
      </c>
      <c r="M21" s="2"/>
      <c r="N21" s="7">
        <f t="shared" si="3"/>
        <v>0</v>
      </c>
      <c r="O21" s="11"/>
      <c r="P21" s="6">
        <v>861</v>
      </c>
      <c r="Q21" s="2"/>
      <c r="R21" s="7">
        <f t="shared" si="4"/>
        <v>0</v>
      </c>
      <c r="S21" s="2"/>
      <c r="T21" s="6">
        <v>438.65</v>
      </c>
      <c r="U21" s="2"/>
      <c r="V21" s="7">
        <f t="shared" si="5"/>
        <v>0</v>
      </c>
      <c r="W21" s="2"/>
      <c r="X21" s="6">
        <f t="shared" si="6"/>
        <v>422.35</v>
      </c>
      <c r="Y21" s="2"/>
      <c r="Z21" s="7">
        <f t="shared" si="7"/>
        <v>0.9628405334549186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695.14</v>
      </c>
      <c r="E22" s="2"/>
      <c r="F22" s="7">
        <f t="shared" si="0"/>
        <v>0</v>
      </c>
      <c r="G22" s="2"/>
      <c r="H22" s="6">
        <v>695.14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2085.42</v>
      </c>
      <c r="Q22" s="2"/>
      <c r="R22" s="7">
        <f t="shared" si="4"/>
        <v>0</v>
      </c>
      <c r="S22" s="2"/>
      <c r="T22" s="6">
        <v>1658.99</v>
      </c>
      <c r="U22" s="2"/>
      <c r="V22" s="7">
        <f t="shared" si="5"/>
        <v>0</v>
      </c>
      <c r="W22" s="2"/>
      <c r="X22" s="6">
        <f t="shared" si="6"/>
        <v>426.43000000000006</v>
      </c>
      <c r="Y22" s="2"/>
      <c r="Z22" s="7">
        <f t="shared" si="7"/>
        <v>0.25704193515331619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10.75</v>
      </c>
      <c r="E23" s="2"/>
      <c r="F23" s="7">
        <f t="shared" si="0"/>
        <v>0</v>
      </c>
      <c r="G23" s="2"/>
      <c r="H23" s="6">
        <v>10.37</v>
      </c>
      <c r="I23" s="2"/>
      <c r="J23" s="7">
        <f t="shared" si="1"/>
        <v>0</v>
      </c>
      <c r="K23" s="2"/>
      <c r="L23" s="6">
        <f t="shared" si="2"/>
        <v>0.38000000000000078</v>
      </c>
      <c r="M23" s="2"/>
      <c r="N23" s="7">
        <f t="shared" si="3"/>
        <v>3.6644165863066618E-2</v>
      </c>
      <c r="O23" s="11"/>
      <c r="P23" s="6">
        <v>33.07</v>
      </c>
      <c r="Q23" s="2"/>
      <c r="R23" s="7">
        <f t="shared" si="4"/>
        <v>0</v>
      </c>
      <c r="S23" s="2"/>
      <c r="T23" s="6">
        <v>36.47</v>
      </c>
      <c r="U23" s="2"/>
      <c r="V23" s="7">
        <f t="shared" si="5"/>
        <v>0</v>
      </c>
      <c r="W23" s="2"/>
      <c r="X23" s="6">
        <f t="shared" si="6"/>
        <v>-3.3999999999999986</v>
      </c>
      <c r="Y23" s="2"/>
      <c r="Z23" s="7">
        <f t="shared" si="7"/>
        <v>-9.3227310117905096E-2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429.26</v>
      </c>
      <c r="E24" s="2"/>
      <c r="F24" s="7">
        <f t="shared" si="0"/>
        <v>0</v>
      </c>
      <c r="G24" s="2"/>
      <c r="H24" s="6">
        <v>383.64</v>
      </c>
      <c r="I24" s="2"/>
      <c r="J24" s="7">
        <f t="shared" si="1"/>
        <v>0</v>
      </c>
      <c r="K24" s="2"/>
      <c r="L24" s="6">
        <f t="shared" si="2"/>
        <v>45.620000000000005</v>
      </c>
      <c r="M24" s="2"/>
      <c r="N24" s="7">
        <f t="shared" si="3"/>
        <v>0.11891356480033366</v>
      </c>
      <c r="O24" s="11"/>
      <c r="P24" s="6">
        <v>1287.78</v>
      </c>
      <c r="Q24" s="2"/>
      <c r="R24" s="7">
        <f t="shared" si="4"/>
        <v>0</v>
      </c>
      <c r="S24" s="2"/>
      <c r="T24" s="6">
        <v>1337.16</v>
      </c>
      <c r="U24" s="2"/>
      <c r="V24" s="7">
        <f t="shared" si="5"/>
        <v>0</v>
      </c>
      <c r="W24" s="2"/>
      <c r="X24" s="6">
        <f t="shared" si="6"/>
        <v>-49.380000000000109</v>
      </c>
      <c r="Y24" s="2"/>
      <c r="Z24" s="7">
        <f t="shared" si="7"/>
        <v>-3.6929013730593277E-2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6">
        <v>387.96</v>
      </c>
      <c r="E25" s="2"/>
      <c r="F25" s="7">
        <f t="shared" si="0"/>
        <v>0</v>
      </c>
      <c r="G25" s="2"/>
      <c r="H25" s="6">
        <v>376.66</v>
      </c>
      <c r="I25" s="2"/>
      <c r="J25" s="7">
        <f t="shared" si="1"/>
        <v>0</v>
      </c>
      <c r="K25" s="2"/>
      <c r="L25" s="6">
        <f t="shared" si="2"/>
        <v>11.299999999999955</v>
      </c>
      <c r="M25" s="2"/>
      <c r="N25" s="7">
        <f t="shared" si="3"/>
        <v>3.0000530982849133E-2</v>
      </c>
      <c r="O25" s="11"/>
      <c r="P25" s="6">
        <v>1479.11</v>
      </c>
      <c r="Q25" s="2"/>
      <c r="R25" s="7">
        <f t="shared" si="4"/>
        <v>0</v>
      </c>
      <c r="S25" s="2"/>
      <c r="T25" s="6">
        <v>1454.06</v>
      </c>
      <c r="U25" s="2"/>
      <c r="V25" s="7">
        <f t="shared" si="5"/>
        <v>0</v>
      </c>
      <c r="W25" s="2"/>
      <c r="X25" s="6">
        <f t="shared" si="6"/>
        <v>25.049999999999955</v>
      </c>
      <c r="Y25" s="2"/>
      <c r="Z25" s="7">
        <f t="shared" si="7"/>
        <v>1.7227624719750187E-2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6">
        <v>193.72</v>
      </c>
      <c r="E26" s="2"/>
      <c r="F26" s="7">
        <f t="shared" si="0"/>
        <v>0</v>
      </c>
      <c r="G26" s="2"/>
      <c r="H26" s="6">
        <v>188.08</v>
      </c>
      <c r="I26" s="2"/>
      <c r="J26" s="7">
        <f t="shared" si="1"/>
        <v>0</v>
      </c>
      <c r="K26" s="2"/>
      <c r="L26" s="6">
        <f t="shared" si="2"/>
        <v>5.6399999999999864</v>
      </c>
      <c r="M26" s="2"/>
      <c r="N26" s="7">
        <f t="shared" si="3"/>
        <v>2.9987239472564792E-2</v>
      </c>
      <c r="O26" s="11"/>
      <c r="P26" s="6">
        <v>1426.2</v>
      </c>
      <c r="Q26" s="2"/>
      <c r="R26" s="7">
        <f t="shared" si="4"/>
        <v>0</v>
      </c>
      <c r="S26" s="2"/>
      <c r="T26" s="6">
        <v>1345.39</v>
      </c>
      <c r="U26" s="2"/>
      <c r="V26" s="7">
        <f t="shared" si="5"/>
        <v>0</v>
      </c>
      <c r="W26" s="2"/>
      <c r="X26" s="6">
        <f t="shared" si="6"/>
        <v>80.809999999999945</v>
      </c>
      <c r="Y26" s="2"/>
      <c r="Z26" s="7">
        <f t="shared" si="7"/>
        <v>6.0064367952786878E-2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6">
        <v>175</v>
      </c>
      <c r="E27" s="2"/>
      <c r="F27" s="7">
        <f t="shared" si="0"/>
        <v>0</v>
      </c>
      <c r="G27" s="2"/>
      <c r="H27" s="6">
        <v>150</v>
      </c>
      <c r="I27" s="2"/>
      <c r="J27" s="7">
        <f t="shared" si="1"/>
        <v>0</v>
      </c>
      <c r="K27" s="2"/>
      <c r="L27" s="6">
        <f t="shared" si="2"/>
        <v>25</v>
      </c>
      <c r="M27" s="2"/>
      <c r="N27" s="7">
        <f t="shared" si="3"/>
        <v>0.16666666666666666</v>
      </c>
      <c r="O27" s="11"/>
      <c r="P27" s="6">
        <v>435.21</v>
      </c>
      <c r="Q27" s="2"/>
      <c r="R27" s="7">
        <f t="shared" si="4"/>
        <v>0</v>
      </c>
      <c r="S27" s="2"/>
      <c r="T27" s="6">
        <v>416.98</v>
      </c>
      <c r="U27" s="2"/>
      <c r="V27" s="7">
        <f t="shared" si="5"/>
        <v>0</v>
      </c>
      <c r="W27" s="2"/>
      <c r="X27" s="6">
        <f t="shared" si="6"/>
        <v>18.229999999999961</v>
      </c>
      <c r="Y27" s="2"/>
      <c r="Z27" s="7">
        <f t="shared" si="7"/>
        <v>4.3719123219338962E-2</v>
      </c>
    </row>
    <row r="28" spans="1:26" s="29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4199.74</v>
      </c>
      <c r="E28" s="1"/>
      <c r="F28" s="5">
        <f t="shared" ref="F28:F36" si="8">IF(D$12=0,0,D28/D$12)</f>
        <v>0</v>
      </c>
      <c r="G28" s="1"/>
      <c r="H28" s="1">
        <f>SUM(OSRRefH22_1x_0)</f>
        <v>3669.68</v>
      </c>
      <c r="I28" s="1"/>
      <c r="J28" s="5">
        <f t="shared" ref="J28:J36" si="9">IF(H$12=0,0,H28/H$12)</f>
        <v>0</v>
      </c>
      <c r="K28" s="1"/>
      <c r="L28" s="1">
        <f t="shared" ref="L28:L36" si="10">+D28-H28</f>
        <v>530.05999999999995</v>
      </c>
      <c r="M28" s="1"/>
      <c r="N28" s="5">
        <f t="shared" ref="N28:N36" si="11">IF(H28=0,0,L28/H28)</f>
        <v>0.14444311220596889</v>
      </c>
      <c r="O28" s="14"/>
      <c r="P28" s="1">
        <f>SUM(OSRRefP22_1x_0)</f>
        <v>12021.85</v>
      </c>
      <c r="Q28" s="1"/>
      <c r="R28" s="5">
        <f t="shared" ref="R28:R36" si="12">IF(P$12=0,0,P28/P$12)</f>
        <v>0</v>
      </c>
      <c r="S28" s="1"/>
      <c r="T28" s="1">
        <f>SUM(OSRRefT22_1x_0)</f>
        <v>11123.33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898.52000000000044</v>
      </c>
      <c r="Y28" s="1"/>
      <c r="Z28" s="5">
        <f t="shared" ref="Z28:Z36" si="15">IF(T28=0,0,X28/T28)</f>
        <v>8.0777968468075695E-2</v>
      </c>
    </row>
    <row r="29" spans="1:26" s="24" customFormat="1" hidden="1" outlineLevel="2" x14ac:dyDescent="0.25">
      <c r="A29" s="28"/>
      <c r="B29" s="11" t="str">
        <f>CONCATENATE("          ", "6002", " - ", "STAFF SALARIES")</f>
        <v xml:space="preserve">          6002 - STAFF SALARIES</v>
      </c>
      <c r="C29" s="11"/>
      <c r="D29" s="6">
        <v>4199.74</v>
      </c>
      <c r="E29" s="2"/>
      <c r="F29" s="7">
        <f t="shared" si="8"/>
        <v>0</v>
      </c>
      <c r="G29" s="2"/>
      <c r="H29" s="6">
        <v>3669.68</v>
      </c>
      <c r="I29" s="2"/>
      <c r="J29" s="7">
        <f t="shared" si="9"/>
        <v>0</v>
      </c>
      <c r="K29" s="2"/>
      <c r="L29" s="6">
        <f t="shared" si="10"/>
        <v>530.05999999999995</v>
      </c>
      <c r="M29" s="2"/>
      <c r="N29" s="7">
        <f t="shared" si="11"/>
        <v>0.14444311220596889</v>
      </c>
      <c r="O29" s="11"/>
      <c r="P29" s="6">
        <v>12021.85</v>
      </c>
      <c r="Q29" s="2"/>
      <c r="R29" s="7">
        <f t="shared" si="12"/>
        <v>0</v>
      </c>
      <c r="S29" s="2"/>
      <c r="T29" s="6">
        <v>11123.33</v>
      </c>
      <c r="U29" s="2"/>
      <c r="V29" s="7">
        <f t="shared" si="13"/>
        <v>0</v>
      </c>
      <c r="W29" s="2"/>
      <c r="X29" s="6">
        <f t="shared" si="14"/>
        <v>898.52000000000044</v>
      </c>
      <c r="Y29" s="2"/>
      <c r="Z29" s="7">
        <f t="shared" si="15"/>
        <v>8.0777968468075695E-2</v>
      </c>
    </row>
    <row r="30" spans="1:26" s="29" customFormat="1" outlineLevel="1" collapsed="1" x14ac:dyDescent="0.25">
      <c r="A30" s="27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-180.9</v>
      </c>
      <c r="E30" s="1"/>
      <c r="F30" s="5">
        <f t="shared" si="8"/>
        <v>0</v>
      </c>
      <c r="G30" s="1"/>
      <c r="H30" s="1">
        <f>SUM(OSRRefH22_2x_0)</f>
        <v>-448.8</v>
      </c>
      <c r="I30" s="1"/>
      <c r="J30" s="5">
        <f t="shared" si="9"/>
        <v>0</v>
      </c>
      <c r="K30" s="1"/>
      <c r="L30" s="1">
        <f t="shared" si="10"/>
        <v>267.89999999999998</v>
      </c>
      <c r="M30" s="1"/>
      <c r="N30" s="5">
        <f t="shared" si="11"/>
        <v>-0.59692513368983946</v>
      </c>
      <c r="O30" s="14"/>
      <c r="P30" s="1">
        <f>SUM(OSRRefP22_2x_0)</f>
        <v>-180.9</v>
      </c>
      <c r="Q30" s="1"/>
      <c r="R30" s="5">
        <f t="shared" si="12"/>
        <v>0</v>
      </c>
      <c r="S30" s="1"/>
      <c r="T30" s="1">
        <f>SUM(OSRRefT22_2x_0)</f>
        <v>-740.7</v>
      </c>
      <c r="U30" s="1"/>
      <c r="V30" s="5">
        <f t="shared" si="13"/>
        <v>0</v>
      </c>
      <c r="W30" s="1"/>
      <c r="X30" s="1">
        <f t="shared" si="14"/>
        <v>559.80000000000007</v>
      </c>
      <c r="Y30" s="1"/>
      <c r="Z30" s="5">
        <f t="shared" si="15"/>
        <v>-0.75577156743620899</v>
      </c>
    </row>
    <row r="31" spans="1:26" s="24" customFormat="1" hidden="1" outlineLevel="2" x14ac:dyDescent="0.25">
      <c r="A31" s="28"/>
      <c r="B31" s="11" t="str">
        <f>CONCATENATE("          ", "6279", " - ", "GENERAL EXPENSE")</f>
        <v xml:space="preserve">          6279 - GENERAL EXPENSE</v>
      </c>
      <c r="C31" s="11"/>
      <c r="D31" s="6">
        <v>-180.9</v>
      </c>
      <c r="E31" s="2"/>
      <c r="F31" s="7">
        <f t="shared" si="8"/>
        <v>0</v>
      </c>
      <c r="G31" s="2"/>
      <c r="H31" s="6">
        <v>-448.8</v>
      </c>
      <c r="I31" s="2"/>
      <c r="J31" s="7">
        <f t="shared" si="9"/>
        <v>0</v>
      </c>
      <c r="K31" s="2"/>
      <c r="L31" s="6">
        <f t="shared" si="10"/>
        <v>267.89999999999998</v>
      </c>
      <c r="M31" s="2"/>
      <c r="N31" s="7">
        <f t="shared" si="11"/>
        <v>-0.59692513368983946</v>
      </c>
      <c r="O31" s="11"/>
      <c r="P31" s="6">
        <v>-180.9</v>
      </c>
      <c r="Q31" s="2"/>
      <c r="R31" s="7">
        <f t="shared" si="12"/>
        <v>0</v>
      </c>
      <c r="S31" s="2"/>
      <c r="T31" s="6">
        <v>-740.7</v>
      </c>
      <c r="U31" s="2"/>
      <c r="V31" s="7">
        <f t="shared" si="13"/>
        <v>0</v>
      </c>
      <c r="W31" s="2"/>
      <c r="X31" s="6">
        <f t="shared" si="14"/>
        <v>559.80000000000007</v>
      </c>
      <c r="Y31" s="2"/>
      <c r="Z31" s="7">
        <f t="shared" si="15"/>
        <v>-0.75577156743620899</v>
      </c>
    </row>
    <row r="32" spans="1:26" s="29" customFormat="1" outlineLevel="1" collapsed="1" x14ac:dyDescent="0.25">
      <c r="A32" s="27"/>
      <c r="B32" s="14" t="str">
        <f>CONCATENATE("     ","Insurance                                         ")</f>
        <v xml:space="preserve">     Insurance                                         </v>
      </c>
      <c r="C32" s="14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23.14</v>
      </c>
      <c r="I32" s="1"/>
      <c r="J32" s="5">
        <f t="shared" si="9"/>
        <v>0</v>
      </c>
      <c r="K32" s="1"/>
      <c r="L32" s="1">
        <f t="shared" si="10"/>
        <v>1.4199999999999982</v>
      </c>
      <c r="M32" s="1"/>
      <c r="N32" s="5">
        <f t="shared" si="11"/>
        <v>6.1365600691443305E-2</v>
      </c>
      <c r="O32" s="14"/>
      <c r="P32" s="1">
        <f>SUM(OSRRefP22_3x_0)</f>
        <v>73.680000000000007</v>
      </c>
      <c r="Q32" s="1"/>
      <c r="R32" s="5">
        <f t="shared" si="12"/>
        <v>0</v>
      </c>
      <c r="S32" s="1"/>
      <c r="T32" s="1">
        <f>SUM(OSRRefT22_3x_0)</f>
        <v>69.42</v>
      </c>
      <c r="U32" s="1"/>
      <c r="V32" s="5">
        <f t="shared" si="13"/>
        <v>0</v>
      </c>
      <c r="W32" s="1"/>
      <c r="X32" s="1">
        <f t="shared" si="14"/>
        <v>4.2600000000000051</v>
      </c>
      <c r="Y32" s="1"/>
      <c r="Z32" s="5">
        <f t="shared" si="15"/>
        <v>6.1365600691443457E-2</v>
      </c>
    </row>
    <row r="33" spans="1:26" s="24" customFormat="1" hidden="1" outlineLevel="2" x14ac:dyDescent="0.25">
      <c r="A33" s="28"/>
      <c r="B33" s="11" t="str">
        <f>CONCATENATE("          ", "6314", " - ", "LIABILITY INSURANCE")</f>
        <v xml:space="preserve">          6314 - LIABILITY INSURANCE</v>
      </c>
      <c r="C33" s="11"/>
      <c r="D33" s="6">
        <v>24.56</v>
      </c>
      <c r="E33" s="2"/>
      <c r="F33" s="7">
        <f t="shared" si="8"/>
        <v>0</v>
      </c>
      <c r="G33" s="2"/>
      <c r="H33" s="6">
        <v>23.14</v>
      </c>
      <c r="I33" s="2"/>
      <c r="J33" s="7">
        <f t="shared" si="9"/>
        <v>0</v>
      </c>
      <c r="K33" s="2"/>
      <c r="L33" s="6">
        <f t="shared" si="10"/>
        <v>1.4199999999999982</v>
      </c>
      <c r="M33" s="2"/>
      <c r="N33" s="7">
        <f t="shared" si="11"/>
        <v>6.1365600691443305E-2</v>
      </c>
      <c r="O33" s="11"/>
      <c r="P33" s="6">
        <v>73.680000000000007</v>
      </c>
      <c r="Q33" s="2"/>
      <c r="R33" s="7">
        <f t="shared" si="12"/>
        <v>0</v>
      </c>
      <c r="S33" s="2"/>
      <c r="T33" s="6">
        <v>69.42</v>
      </c>
      <c r="U33" s="2"/>
      <c r="V33" s="7">
        <f t="shared" si="13"/>
        <v>0</v>
      </c>
      <c r="W33" s="2"/>
      <c r="X33" s="6">
        <f t="shared" si="14"/>
        <v>4.2600000000000051</v>
      </c>
      <c r="Y33" s="2"/>
      <c r="Z33" s="7">
        <f t="shared" si="15"/>
        <v>6.1365600691443457E-2</v>
      </c>
    </row>
    <row r="34" spans="1:26" s="29" customFormat="1" outlineLevel="1" collapsed="1" x14ac:dyDescent="0.25">
      <c r="A34" s="27"/>
      <c r="B34" s="14" t="str">
        <f>CONCATENATE("     ","Repair and Maintenance                            ")</f>
        <v xml:space="preserve">     Repair and Maintenance                            </v>
      </c>
      <c r="C34" s="14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1339</v>
      </c>
      <c r="I34" s="1"/>
      <c r="J34" s="5">
        <f t="shared" si="9"/>
        <v>0</v>
      </c>
      <c r="K34" s="1"/>
      <c r="L34" s="1">
        <f t="shared" si="10"/>
        <v>-1339</v>
      </c>
      <c r="M34" s="1"/>
      <c r="N34" s="5">
        <f t="shared" si="11"/>
        <v>-1</v>
      </c>
      <c r="O34" s="14"/>
      <c r="P34" s="1">
        <f>SUM(OSRRefP22_4x_0)</f>
        <v>2811.9</v>
      </c>
      <c r="Q34" s="1"/>
      <c r="R34" s="5">
        <f t="shared" si="12"/>
        <v>0</v>
      </c>
      <c r="S34" s="1"/>
      <c r="T34" s="1">
        <f>SUM(OSRRefT22_4x_0)</f>
        <v>4046.11</v>
      </c>
      <c r="U34" s="1"/>
      <c r="V34" s="5">
        <f t="shared" si="13"/>
        <v>0</v>
      </c>
      <c r="W34" s="1"/>
      <c r="X34" s="1">
        <f t="shared" si="14"/>
        <v>-1234.21</v>
      </c>
      <c r="Y34" s="1"/>
      <c r="Z34" s="5">
        <f t="shared" si="15"/>
        <v>-0.30503619525915016</v>
      </c>
    </row>
    <row r="35" spans="1:26" s="24" customFormat="1" hidden="1" outlineLevel="2" x14ac:dyDescent="0.25">
      <c r="A35" s="28"/>
      <c r="B35" s="11" t="str">
        <f>CONCATENATE("          ", "6373", " - ", "MAINTENANCE CONTRACTS")</f>
        <v xml:space="preserve">          6373 - MAINTENANCE CONTRACTS</v>
      </c>
      <c r="C35" s="11"/>
      <c r="D35" s="6"/>
      <c r="E35" s="2"/>
      <c r="F35" s="7">
        <f t="shared" si="8"/>
        <v>0</v>
      </c>
      <c r="G35" s="2"/>
      <c r="H35" s="6">
        <v>1339</v>
      </c>
      <c r="I35" s="2"/>
      <c r="J35" s="7">
        <f t="shared" si="9"/>
        <v>0</v>
      </c>
      <c r="K35" s="2"/>
      <c r="L35" s="6">
        <f t="shared" si="10"/>
        <v>-1339</v>
      </c>
      <c r="M35" s="2"/>
      <c r="N35" s="7">
        <f t="shared" si="11"/>
        <v>-1</v>
      </c>
      <c r="O35" s="11"/>
      <c r="P35" s="6">
        <v>2811.9</v>
      </c>
      <c r="Q35" s="2"/>
      <c r="R35" s="7">
        <f t="shared" si="12"/>
        <v>0</v>
      </c>
      <c r="S35" s="2"/>
      <c r="T35" s="6">
        <v>4017</v>
      </c>
      <c r="U35" s="2"/>
      <c r="V35" s="7">
        <f t="shared" si="13"/>
        <v>0</v>
      </c>
      <c r="W35" s="2"/>
      <c r="X35" s="6">
        <f t="shared" si="14"/>
        <v>-1205.0999999999999</v>
      </c>
      <c r="Y35" s="2"/>
      <c r="Z35" s="7">
        <f t="shared" si="15"/>
        <v>-0.3</v>
      </c>
    </row>
    <row r="36" spans="1:26" s="24" customFormat="1" hidden="1" outlineLevel="2" x14ac:dyDescent="0.25">
      <c r="A36" s="28"/>
      <c r="B36" s="11" t="str">
        <f>CONCATENATE("          ", "6375", " - ", "OUTSIDE REPAIRS &amp; MAINTENANCE")</f>
        <v xml:space="preserve">          6375 - OUTSIDE REPAIRS &amp; MAINTENANCE</v>
      </c>
      <c r="C36" s="11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29.11</v>
      </c>
      <c r="U36" s="2"/>
      <c r="V36" s="7">
        <f t="shared" si="13"/>
        <v>0</v>
      </c>
      <c r="W36" s="2"/>
      <c r="X36" s="6">
        <f t="shared" si="14"/>
        <v>-29.11</v>
      </c>
      <c r="Y36" s="2"/>
      <c r="Z36" s="7">
        <f t="shared" si="15"/>
        <v>-1</v>
      </c>
    </row>
    <row r="37" spans="1:26" s="29" customFormat="1" outlineLevel="1" collapsed="1" x14ac:dyDescent="0.25">
      <c r="A37" s="27"/>
      <c r="B37" s="14" t="str">
        <f>CONCATENATE("     ","Services                                          ")</f>
        <v xml:space="preserve">     Services                                          </v>
      </c>
      <c r="C37" s="14"/>
      <c r="D37" s="1">
        <f>SUM(OSRRefD22_5x_0)</f>
        <v>13.26</v>
      </c>
      <c r="E37" s="1"/>
      <c r="F37" s="5">
        <f t="shared" ref="F37:F41" si="16">IF(D$12=0,0,D37/D$12)</f>
        <v>0</v>
      </c>
      <c r="G37" s="1"/>
      <c r="H37" s="1">
        <f>SUM(OSRRefH22_5x_0)</f>
        <v>0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13.26</v>
      </c>
      <c r="M37" s="1"/>
      <c r="N37" s="5">
        <f t="shared" ref="N37:N41" si="19">IF(H37=0,0,L37/H37)</f>
        <v>0</v>
      </c>
      <c r="O37" s="14"/>
      <c r="P37" s="1">
        <f>SUM(OSRRefP22_5x_0)</f>
        <v>26.52</v>
      </c>
      <c r="Q37" s="1"/>
      <c r="R37" s="5">
        <f t="shared" ref="R37:R41" si="20">IF(P$12=0,0,P37/P$12)</f>
        <v>0</v>
      </c>
      <c r="S37" s="1"/>
      <c r="T37" s="1">
        <f>SUM(OSRRefT22_5x_0)</f>
        <v>24.78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1.7399999999999984</v>
      </c>
      <c r="Y37" s="1"/>
      <c r="Z37" s="5">
        <f t="shared" ref="Z37:Z41" si="23">IF(T37=0,0,X37/T37)</f>
        <v>7.0217917675544722E-2</v>
      </c>
    </row>
    <row r="38" spans="1:26" s="24" customFormat="1" hidden="1" outlineLevel="2" x14ac:dyDescent="0.25">
      <c r="A38" s="28"/>
      <c r="B38" s="11" t="str">
        <f>CONCATENATE("          ", "6286", " - ", "LAUNDRY EXPENSE")</f>
        <v xml:space="preserve">          6286 - LAUNDRY EXPENSE</v>
      </c>
      <c r="C38" s="11"/>
      <c r="D38" s="6">
        <v>13.26</v>
      </c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13.26</v>
      </c>
      <c r="M38" s="2"/>
      <c r="N38" s="7">
        <f t="shared" si="19"/>
        <v>0</v>
      </c>
      <c r="O38" s="11"/>
      <c r="P38" s="6">
        <v>26.52</v>
      </c>
      <c r="Q38" s="2"/>
      <c r="R38" s="7">
        <f t="shared" si="20"/>
        <v>0</v>
      </c>
      <c r="S38" s="2"/>
      <c r="T38" s="6">
        <v>24.78</v>
      </c>
      <c r="U38" s="2"/>
      <c r="V38" s="7">
        <f t="shared" si="21"/>
        <v>0</v>
      </c>
      <c r="W38" s="2"/>
      <c r="X38" s="6">
        <f t="shared" si="22"/>
        <v>1.7399999999999984</v>
      </c>
      <c r="Y38" s="2"/>
      <c r="Z38" s="7">
        <f t="shared" si="23"/>
        <v>7.0217917675544722E-2</v>
      </c>
    </row>
    <row r="39" spans="1:26" s="29" customFormat="1" outlineLevel="1" collapsed="1" x14ac:dyDescent="0.25">
      <c r="A39" s="27"/>
      <c r="B39" s="14" t="str">
        <f>CONCATENATE("     ","Supplies                                          ")</f>
        <v xml:space="preserve">     Supplies                                          </v>
      </c>
      <c r="C39" s="14"/>
      <c r="D39" s="1">
        <f>SUM(OSRRefD22_6x_0)</f>
        <v>37.42</v>
      </c>
      <c r="E39" s="1"/>
      <c r="F39" s="5">
        <f t="shared" si="16"/>
        <v>0</v>
      </c>
      <c r="G39" s="1"/>
      <c r="H39" s="1">
        <f>SUM(OSRRefH22_6x_0)</f>
        <v>-798.69</v>
      </c>
      <c r="I39" s="1"/>
      <c r="J39" s="5">
        <f t="shared" si="17"/>
        <v>0</v>
      </c>
      <c r="K39" s="1"/>
      <c r="L39" s="1">
        <f t="shared" si="18"/>
        <v>836.11</v>
      </c>
      <c r="M39" s="1"/>
      <c r="N39" s="5">
        <f t="shared" si="19"/>
        <v>-1.0468517196909939</v>
      </c>
      <c r="O39" s="14"/>
      <c r="P39" s="1">
        <f>SUM(OSRRefP22_6x_0)</f>
        <v>597.36</v>
      </c>
      <c r="Q39" s="1"/>
      <c r="R39" s="5">
        <f t="shared" si="20"/>
        <v>0</v>
      </c>
      <c r="S39" s="1"/>
      <c r="T39" s="1">
        <f>SUM(OSRRefT22_6x_0)</f>
        <v>201.73000000000002</v>
      </c>
      <c r="U39" s="1"/>
      <c r="V39" s="5">
        <f t="shared" si="21"/>
        <v>0</v>
      </c>
      <c r="W39" s="1"/>
      <c r="X39" s="1">
        <f t="shared" si="22"/>
        <v>395.63</v>
      </c>
      <c r="Y39" s="1"/>
      <c r="Z39" s="5">
        <f t="shared" si="23"/>
        <v>1.9611857433202793</v>
      </c>
    </row>
    <row r="40" spans="1:26" s="24" customFormat="1" hidden="1" outlineLevel="2" x14ac:dyDescent="0.25">
      <c r="A40" s="28"/>
      <c r="B40" s="11" t="str">
        <f>CONCATENATE("          ", "6234", " - ", "EXPENDABLE SUPPLIES &amp; EQUIPMEN")</f>
        <v xml:space="preserve">          6234 - EXPENDABLE SUPPLIES &amp; EQUIPMEN</v>
      </c>
      <c r="C40" s="11"/>
      <c r="D40" s="6"/>
      <c r="E40" s="2"/>
      <c r="F40" s="7">
        <f t="shared" si="16"/>
        <v>0</v>
      </c>
      <c r="G40" s="2"/>
      <c r="H40" s="6">
        <v>-798.69</v>
      </c>
      <c r="I40" s="2"/>
      <c r="J40" s="7">
        <f t="shared" si="17"/>
        <v>0</v>
      </c>
      <c r="K40" s="2"/>
      <c r="L40" s="6">
        <f t="shared" si="18"/>
        <v>798.69</v>
      </c>
      <c r="M40" s="2"/>
      <c r="N40" s="7">
        <f t="shared" si="19"/>
        <v>-1</v>
      </c>
      <c r="O40" s="11"/>
      <c r="P40" s="6">
        <v>559.94000000000005</v>
      </c>
      <c r="Q40" s="2"/>
      <c r="R40" s="7">
        <f t="shared" si="20"/>
        <v>0</v>
      </c>
      <c r="S40" s="2"/>
      <c r="T40" s="6">
        <v>198.43</v>
      </c>
      <c r="U40" s="2"/>
      <c r="V40" s="7">
        <f t="shared" si="21"/>
        <v>0</v>
      </c>
      <c r="W40" s="2"/>
      <c r="X40" s="6">
        <f t="shared" si="22"/>
        <v>361.51000000000005</v>
      </c>
      <c r="Y40" s="2"/>
      <c r="Z40" s="7">
        <f t="shared" si="23"/>
        <v>1.8218515345461876</v>
      </c>
    </row>
    <row r="41" spans="1:26" s="24" customFormat="1" hidden="1" outlineLevel="2" x14ac:dyDescent="0.25">
      <c r="A41" s="28"/>
      <c r="B41" s="11" t="str">
        <f>CONCATENATE("          ", "6241", " - ", "OFFICE EXPENSE")</f>
        <v xml:space="preserve">          6241 - OFFICE EXPENSE</v>
      </c>
      <c r="C41" s="11"/>
      <c r="D41" s="6">
        <v>37.42</v>
      </c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37.42</v>
      </c>
      <c r="M41" s="2"/>
      <c r="N41" s="7">
        <f t="shared" si="19"/>
        <v>0</v>
      </c>
      <c r="O41" s="11"/>
      <c r="P41" s="6">
        <v>37.42</v>
      </c>
      <c r="Q41" s="2"/>
      <c r="R41" s="7">
        <f t="shared" si="20"/>
        <v>0</v>
      </c>
      <c r="S41" s="2"/>
      <c r="T41" s="6">
        <v>3.3</v>
      </c>
      <c r="U41" s="2"/>
      <c r="V41" s="7">
        <f t="shared" si="21"/>
        <v>0</v>
      </c>
      <c r="W41" s="2"/>
      <c r="X41" s="6">
        <f t="shared" si="22"/>
        <v>34.120000000000005</v>
      </c>
      <c r="Y41" s="2"/>
      <c r="Z41" s="7">
        <f t="shared" si="23"/>
        <v>10.339393939393942</v>
      </c>
    </row>
    <row r="42" spans="1:26" s="29" customFormat="1" outlineLevel="1" collapsed="1" x14ac:dyDescent="0.25">
      <c r="A42" s="27"/>
      <c r="B42" s="14" t="str">
        <f>CONCATENATE("     ","Telephone/Data Lines                              ")</f>
        <v xml:space="preserve">     Telephone/Data Lines                              </v>
      </c>
      <c r="C42" s="14"/>
      <c r="D42" s="1">
        <f>SUM(OSRRefD22_7x_0)</f>
        <v>65</v>
      </c>
      <c r="E42" s="1"/>
      <c r="F42" s="5">
        <f t="shared" ref="F42:F45" si="24">IF(D$12=0,0,D42/D$12)</f>
        <v>0</v>
      </c>
      <c r="G42" s="1"/>
      <c r="H42" s="1">
        <f>SUM(OSRRefH22_7x_0)</f>
        <v>108.16</v>
      </c>
      <c r="I42" s="1"/>
      <c r="J42" s="5">
        <f t="shared" ref="J42:J45" si="25">IF(H$12=0,0,H42/H$12)</f>
        <v>0</v>
      </c>
      <c r="K42" s="1"/>
      <c r="L42" s="1">
        <f t="shared" ref="L42:L45" si="26">+D42-H42</f>
        <v>-43.16</v>
      </c>
      <c r="M42" s="1"/>
      <c r="N42" s="5">
        <f t="shared" ref="N42:N45" si="27">IF(H42=0,0,L42/H42)</f>
        <v>-0.39903846153846151</v>
      </c>
      <c r="O42" s="14"/>
      <c r="P42" s="1">
        <f>SUM(OSRRefP22_7x_0)</f>
        <v>164.35</v>
      </c>
      <c r="Q42" s="1"/>
      <c r="R42" s="5">
        <f t="shared" ref="R42:R45" si="28">IF(P$12=0,0,P42/P$12)</f>
        <v>0</v>
      </c>
      <c r="S42" s="1"/>
      <c r="T42" s="1">
        <f>SUM(OSRRefT22_7x_0)</f>
        <v>172.57</v>
      </c>
      <c r="U42" s="1"/>
      <c r="V42" s="5">
        <f t="shared" ref="V42:V45" si="29">IF(T$12=0,0,T42/T$12)</f>
        <v>0</v>
      </c>
      <c r="W42" s="1"/>
      <c r="X42" s="1">
        <f t="shared" ref="X42:X45" si="30">+P42-T42</f>
        <v>-8.2199999999999989</v>
      </c>
      <c r="Y42" s="1"/>
      <c r="Z42" s="5">
        <f t="shared" ref="Z42:Z45" si="31">IF(T42=0,0,X42/T42)</f>
        <v>-4.7632844642753663E-2</v>
      </c>
    </row>
    <row r="43" spans="1:26" s="24" customFormat="1" hidden="1" outlineLevel="2" x14ac:dyDescent="0.25">
      <c r="A43" s="28"/>
      <c r="B43" s="11" t="str">
        <f>CONCATENATE("          ", "6309", " - ", "TELEPHONE")</f>
        <v xml:space="preserve">          6309 - TELEPHONE</v>
      </c>
      <c r="C43" s="11"/>
      <c r="D43" s="6">
        <v>65</v>
      </c>
      <c r="E43" s="2"/>
      <c r="F43" s="7">
        <f t="shared" si="24"/>
        <v>0</v>
      </c>
      <c r="G43" s="2"/>
      <c r="H43" s="6">
        <v>108.16</v>
      </c>
      <c r="I43" s="2"/>
      <c r="J43" s="7">
        <f t="shared" si="25"/>
        <v>0</v>
      </c>
      <c r="K43" s="2"/>
      <c r="L43" s="6">
        <f t="shared" si="26"/>
        <v>-43.16</v>
      </c>
      <c r="M43" s="2"/>
      <c r="N43" s="7">
        <f t="shared" si="27"/>
        <v>-0.39903846153846151</v>
      </c>
      <c r="O43" s="11"/>
      <c r="P43" s="6">
        <v>164.35</v>
      </c>
      <c r="Q43" s="2"/>
      <c r="R43" s="7">
        <f t="shared" si="28"/>
        <v>0</v>
      </c>
      <c r="S43" s="2"/>
      <c r="T43" s="6">
        <v>172.57</v>
      </c>
      <c r="U43" s="2"/>
      <c r="V43" s="7">
        <f t="shared" si="29"/>
        <v>0</v>
      </c>
      <c r="W43" s="2"/>
      <c r="X43" s="6">
        <f t="shared" si="30"/>
        <v>-8.2199999999999989</v>
      </c>
      <c r="Y43" s="2"/>
      <c r="Z43" s="7">
        <f t="shared" si="31"/>
        <v>-4.7632844642753663E-2</v>
      </c>
    </row>
    <row r="44" spans="1:26" s="29" customFormat="1" outlineLevel="1" collapsed="1" x14ac:dyDescent="0.25">
      <c r="A44" s="27"/>
      <c r="B44" s="14" t="str">
        <f>CONCATENATE("     ","Travel                                            ")</f>
        <v xml:space="preserve">     Travel                                            </v>
      </c>
      <c r="C44" s="14"/>
      <c r="D44" s="1">
        <f>SUM(OSRRefD22_8x_0)</f>
        <v>16.100000000000001</v>
      </c>
      <c r="E44" s="1"/>
      <c r="F44" s="5">
        <f t="shared" si="24"/>
        <v>0</v>
      </c>
      <c r="G44" s="1"/>
      <c r="H44" s="1">
        <f>SUM(OSRRefH22_8x_0)</f>
        <v>0</v>
      </c>
      <c r="I44" s="1"/>
      <c r="J44" s="5">
        <f t="shared" si="25"/>
        <v>0</v>
      </c>
      <c r="K44" s="1"/>
      <c r="L44" s="1">
        <f t="shared" si="26"/>
        <v>16.100000000000001</v>
      </c>
      <c r="M44" s="1"/>
      <c r="N44" s="5">
        <f t="shared" si="27"/>
        <v>0</v>
      </c>
      <c r="O44" s="14"/>
      <c r="P44" s="1">
        <f>SUM(OSRRefP22_8x_0)</f>
        <v>16.100000000000001</v>
      </c>
      <c r="Q44" s="1"/>
      <c r="R44" s="5">
        <f t="shared" si="28"/>
        <v>0</v>
      </c>
      <c r="S44" s="1"/>
      <c r="T44" s="1">
        <f>SUM(OSRRefT22_8x_0)</f>
        <v>0</v>
      </c>
      <c r="U44" s="1"/>
      <c r="V44" s="5">
        <f t="shared" si="29"/>
        <v>0</v>
      </c>
      <c r="W44" s="1"/>
      <c r="X44" s="1">
        <f t="shared" si="30"/>
        <v>16.100000000000001</v>
      </c>
      <c r="Y44" s="1"/>
      <c r="Z44" s="5">
        <f t="shared" si="31"/>
        <v>0</v>
      </c>
    </row>
    <row r="45" spans="1:26" s="24" customFormat="1" hidden="1" outlineLevel="2" x14ac:dyDescent="0.25">
      <c r="A45" s="28"/>
      <c r="B45" s="11" t="str">
        <f>CONCATENATE("          ", "6292", " - ", "TRAVEL/CONFERENCE")</f>
        <v xml:space="preserve">          6292 - TRAVEL/CONFERENCE</v>
      </c>
      <c r="C45" s="11"/>
      <c r="D45" s="6">
        <v>16.100000000000001</v>
      </c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16.100000000000001</v>
      </c>
      <c r="M45" s="2"/>
      <c r="N45" s="7">
        <f t="shared" si="27"/>
        <v>0</v>
      </c>
      <c r="O45" s="11"/>
      <c r="P45" s="6">
        <v>16.100000000000001</v>
      </c>
      <c r="Q45" s="2"/>
      <c r="R45" s="7">
        <f t="shared" si="28"/>
        <v>0</v>
      </c>
      <c r="S45" s="2"/>
      <c r="T45" s="6"/>
      <c r="U45" s="2"/>
      <c r="V45" s="7">
        <f t="shared" si="29"/>
        <v>0</v>
      </c>
      <c r="W45" s="2"/>
      <c r="X45" s="6">
        <f t="shared" si="30"/>
        <v>16.100000000000001</v>
      </c>
      <c r="Y45" s="2"/>
      <c r="Z45" s="7">
        <f t="shared" si="31"/>
        <v>0</v>
      </c>
    </row>
    <row r="46" spans="1:26" s="53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5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6" t="s">
        <v>3</v>
      </c>
      <c r="C49" s="26"/>
      <c r="D49" s="21">
        <f>+D16-D18+D47</f>
        <v>-6663.1600000000008</v>
      </c>
      <c r="E49" s="13"/>
      <c r="F49" s="20">
        <f>IF(D$12=0,0,D49/D$12)</f>
        <v>0</v>
      </c>
      <c r="G49" s="13"/>
      <c r="H49" s="21">
        <f>+H16-H18+H47</f>
        <v>-6001.4399999999987</v>
      </c>
      <c r="I49" s="13"/>
      <c r="J49" s="20">
        <f>IF(H$12=0,0,H49/H$12)</f>
        <v>0</v>
      </c>
      <c r="K49" s="15"/>
      <c r="L49" s="21">
        <f>+D49-H49</f>
        <v>-661.72000000000207</v>
      </c>
      <c r="M49" s="15"/>
      <c r="N49" s="20">
        <f>IF(H49=0,0,L49/H49)</f>
        <v>0.1102602042176548</v>
      </c>
      <c r="O49" s="25"/>
      <c r="P49" s="21">
        <f>+P16-P18+P47</f>
        <v>-24123.579999999994</v>
      </c>
      <c r="Q49" s="13"/>
      <c r="R49" s="20">
        <f>IF(P$12=0,0,P49/P$12)</f>
        <v>0</v>
      </c>
      <c r="S49" s="13"/>
      <c r="T49" s="21">
        <f>+T16-T18+T47</f>
        <v>-22514.739999999998</v>
      </c>
      <c r="U49" s="13"/>
      <c r="V49" s="20">
        <f>IF(T$12=0,0,T49/T$12)</f>
        <v>0</v>
      </c>
      <c r="W49" s="15"/>
      <c r="X49" s="21">
        <f>+P49-T49</f>
        <v>-1608.8399999999965</v>
      </c>
      <c r="Y49" s="15"/>
      <c r="Z49" s="20">
        <f>IF(T49=0,0,X49/T49)</f>
        <v>7.1457187602432748E-2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1"/>
      <c r="B51" s="10" t="s">
        <v>13</v>
      </c>
      <c r="C51" s="10"/>
      <c r="D51" s="4"/>
      <c r="E51" s="4"/>
      <c r="F51" s="12">
        <f>IF(D$12=0,0,D51/D$12)</f>
        <v>0</v>
      </c>
      <c r="G51" s="4"/>
      <c r="H51" s="4"/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/>
      <c r="Q51" s="4"/>
      <c r="R51" s="12">
        <f>IF(P$12=0,0,P51/P$12)</f>
        <v>0</v>
      </c>
      <c r="S51" s="4"/>
      <c r="T51" s="4"/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6" t="s">
        <v>4</v>
      </c>
      <c r="C53" s="26"/>
      <c r="D53" s="35">
        <f>+D49-D51</f>
        <v>-6663.1600000000008</v>
      </c>
      <c r="E53" s="13"/>
      <c r="F53" s="30">
        <f>IF(D$12=0,0,D53/D$12)</f>
        <v>0</v>
      </c>
      <c r="G53" s="13"/>
      <c r="H53" s="35">
        <f>+H49-H51</f>
        <v>-6001.4399999999987</v>
      </c>
      <c r="I53" s="13"/>
      <c r="J53" s="30">
        <f>IF(H$12=0,0,H53/H$12)</f>
        <v>0</v>
      </c>
      <c r="K53" s="15"/>
      <c r="L53" s="35">
        <f>D53-H53</f>
        <v>-661.72000000000207</v>
      </c>
      <c r="M53" s="15"/>
      <c r="N53" s="30">
        <f>IF(H53=0,0,L53/H53)</f>
        <v>0.1102602042176548</v>
      </c>
      <c r="O53" s="25"/>
      <c r="P53" s="35">
        <f>+P49-P51</f>
        <v>-24123.579999999994</v>
      </c>
      <c r="Q53" s="13"/>
      <c r="R53" s="30">
        <f>IF(P$12=0,0,P53/P$12)</f>
        <v>0</v>
      </c>
      <c r="S53" s="13"/>
      <c r="T53" s="35">
        <f>+T49-T51</f>
        <v>-22514.739999999998</v>
      </c>
      <c r="U53" s="13"/>
      <c r="V53" s="30">
        <f>IF(T$12=0,0,T53/T$12)</f>
        <v>0</v>
      </c>
      <c r="W53" s="15"/>
      <c r="X53" s="35">
        <f>P53-T53</f>
        <v>-1608.8399999999965</v>
      </c>
      <c r="Y53" s="15"/>
      <c r="Z53" s="30">
        <f>IF(T53=0,0,X53/T53)</f>
        <v>7.1457187602432748E-2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6" t="s">
        <v>5</v>
      </c>
      <c r="C56" s="26"/>
      <c r="D56" s="36">
        <f>SUM(D53:D55)</f>
        <v>-6663.1600000000008</v>
      </c>
      <c r="E56" s="13"/>
      <c r="F56" s="31">
        <f>IF(D$12=0,0,D56/D$12)</f>
        <v>0</v>
      </c>
      <c r="G56" s="13"/>
      <c r="H56" s="36">
        <f>SUM(H53:H55)</f>
        <v>-6001.4399999999987</v>
      </c>
      <c r="I56" s="13"/>
      <c r="J56" s="31">
        <f>IF(H$12=0,0,H56/H$12)</f>
        <v>0</v>
      </c>
      <c r="K56" s="15"/>
      <c r="L56" s="36">
        <f>+D56-H56</f>
        <v>-661.72000000000207</v>
      </c>
      <c r="M56" s="15"/>
      <c r="N56" s="31">
        <f>IF(H56=0,0,L56/H56)</f>
        <v>0.1102602042176548</v>
      </c>
      <c r="O56" s="25"/>
      <c r="P56" s="36">
        <f>SUM(P53:P55)</f>
        <v>-24123.579999999994</v>
      </c>
      <c r="Q56" s="13"/>
      <c r="R56" s="31">
        <f>IF(P$12=0,0,P56/P$12)</f>
        <v>0</v>
      </c>
      <c r="S56" s="13"/>
      <c r="T56" s="36">
        <f>SUM(T53:T55)</f>
        <v>-22514.739999999998</v>
      </c>
      <c r="U56" s="13"/>
      <c r="V56" s="31">
        <f>IF(T$12=0,0,T56/T$12)</f>
        <v>0</v>
      </c>
      <c r="W56" s="15"/>
      <c r="X56" s="36">
        <f>+P56-T56</f>
        <v>-1608.8399999999965</v>
      </c>
      <c r="Y56" s="15"/>
      <c r="Z56" s="31">
        <f>IF(T56=0,0,X56/T56)</f>
        <v>7.1457187602432748E-2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A58" s="9"/>
      <c r="B58" s="55">
        <v>43756.462807754629</v>
      </c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56" t="s">
        <v>313</v>
      </c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7"/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","206", " - ", "Graphics")</f>
        <v>Department 206 - Graphics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11478.149999999996</v>
      </c>
      <c r="E18" s="22"/>
      <c r="F18" s="34">
        <f t="shared" ref="F18:F27" si="0">IF(D$12=0,0,D18/D$12)</f>
        <v>0</v>
      </c>
      <c r="G18" s="22"/>
      <c r="H18" s="22">
        <f>SUM(OSRRefH22x_0)</f>
        <v>6979.31</v>
      </c>
      <c r="I18" s="22"/>
      <c r="J18" s="34">
        <f t="shared" ref="J18:J27" si="1">IF(H$12=0,0,H18/H$12)</f>
        <v>0</v>
      </c>
      <c r="K18" s="4"/>
      <c r="L18" s="22">
        <f t="shared" ref="L18:L27" si="2">+D18-H18</f>
        <v>4498.8399999999956</v>
      </c>
      <c r="M18" s="4"/>
      <c r="N18" s="34">
        <f t="shared" ref="N18:N27" si="3">IF(H18=0,0,L18/H18)</f>
        <v>0.64459667216386651</v>
      </c>
      <c r="O18" s="10"/>
      <c r="P18" s="22">
        <f>SUM(OSRRefP22x_0)</f>
        <v>25426.049999999996</v>
      </c>
      <c r="Q18" s="22"/>
      <c r="R18" s="34">
        <f t="shared" ref="R18:R27" si="4">IF(P$12=0,0,P18/P$12)</f>
        <v>0</v>
      </c>
      <c r="S18" s="22"/>
      <c r="T18" s="22">
        <f>SUM(OSRRefT22x_0)</f>
        <v>22379.829999999991</v>
      </c>
      <c r="U18" s="22"/>
      <c r="V18" s="34">
        <f t="shared" ref="V18:V27" si="5">IF(T$12=0,0,T18/T$12)</f>
        <v>0</v>
      </c>
      <c r="W18" s="4"/>
      <c r="X18" s="22">
        <f t="shared" ref="X18:X27" si="6">+P18-T18</f>
        <v>3046.2200000000048</v>
      </c>
      <c r="Y18" s="4"/>
      <c r="Z18" s="34">
        <f t="shared" ref="Z18:Z27" si="7">IF(T18=0,0,X18/T18)</f>
        <v>0.1361145281264427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1726.3899999999999</v>
      </c>
      <c r="E19" s="1"/>
      <c r="F19" s="5">
        <f t="shared" si="0"/>
        <v>0</v>
      </c>
      <c r="G19" s="1"/>
      <c r="H19" s="1">
        <f>SUM(OSRRefH22_0x_0)</f>
        <v>6335.62</v>
      </c>
      <c r="I19" s="1"/>
      <c r="J19" s="5">
        <f t="shared" si="1"/>
        <v>0</v>
      </c>
      <c r="K19" s="1"/>
      <c r="L19" s="1">
        <f t="shared" si="2"/>
        <v>-4609.2299999999996</v>
      </c>
      <c r="M19" s="1"/>
      <c r="N19" s="5">
        <f t="shared" si="3"/>
        <v>-0.72751048831842813</v>
      </c>
      <c r="O19" s="14"/>
      <c r="P19" s="1">
        <f>SUM(OSRRefP22_0x_0)</f>
        <v>5833.15</v>
      </c>
      <c r="Q19" s="1"/>
      <c r="R19" s="5">
        <f t="shared" si="4"/>
        <v>0</v>
      </c>
      <c r="S19" s="1"/>
      <c r="T19" s="1">
        <f>SUM(OSRRefT22_0x_0)</f>
        <v>18722.669999999998</v>
      </c>
      <c r="U19" s="1"/>
      <c r="V19" s="5">
        <f t="shared" si="5"/>
        <v>0</v>
      </c>
      <c r="W19" s="1"/>
      <c r="X19" s="1">
        <f t="shared" si="6"/>
        <v>-12889.519999999999</v>
      </c>
      <c r="Y19" s="1"/>
      <c r="Z19" s="5">
        <f t="shared" si="7"/>
        <v>-0.68844454343317485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389.05</v>
      </c>
      <c r="E20" s="2"/>
      <c r="F20" s="7">
        <f t="shared" si="0"/>
        <v>0</v>
      </c>
      <c r="G20" s="2"/>
      <c r="H20" s="6">
        <v>774.62</v>
      </c>
      <c r="I20" s="2"/>
      <c r="J20" s="7">
        <f t="shared" si="1"/>
        <v>0</v>
      </c>
      <c r="K20" s="2"/>
      <c r="L20" s="6">
        <f t="shared" si="2"/>
        <v>-385.57</v>
      </c>
      <c r="M20" s="2"/>
      <c r="N20" s="7">
        <f t="shared" si="3"/>
        <v>-0.49775373731636158</v>
      </c>
      <c r="O20" s="11"/>
      <c r="P20" s="6">
        <v>1878.21</v>
      </c>
      <c r="Q20" s="2"/>
      <c r="R20" s="7">
        <f t="shared" si="4"/>
        <v>0</v>
      </c>
      <c r="S20" s="2"/>
      <c r="T20" s="6">
        <v>3219.02</v>
      </c>
      <c r="U20" s="2"/>
      <c r="V20" s="7">
        <f t="shared" si="5"/>
        <v>0</v>
      </c>
      <c r="W20" s="2"/>
      <c r="X20" s="6">
        <f t="shared" si="6"/>
        <v>-1340.81</v>
      </c>
      <c r="Y20" s="2"/>
      <c r="Z20" s="7">
        <f t="shared" si="7"/>
        <v>-0.41652739032376312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32.659999999999997</v>
      </c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32.659999999999997</v>
      </c>
      <c r="M21" s="2"/>
      <c r="N21" s="7">
        <f t="shared" si="3"/>
        <v>0</v>
      </c>
      <c r="O21" s="11"/>
      <c r="P21" s="6">
        <v>97.22</v>
      </c>
      <c r="Q21" s="2"/>
      <c r="R21" s="7">
        <f t="shared" si="4"/>
        <v>0</v>
      </c>
      <c r="S21" s="2"/>
      <c r="T21" s="6">
        <v>116.37</v>
      </c>
      <c r="U21" s="2"/>
      <c r="V21" s="7">
        <f t="shared" si="5"/>
        <v>0</v>
      </c>
      <c r="W21" s="2"/>
      <c r="X21" s="6">
        <f t="shared" si="6"/>
        <v>-19.150000000000006</v>
      </c>
      <c r="Y21" s="2"/>
      <c r="Z21" s="7">
        <f t="shared" si="7"/>
        <v>-0.16456131305319244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700.91</v>
      </c>
      <c r="E22" s="2"/>
      <c r="F22" s="7">
        <f t="shared" si="0"/>
        <v>0</v>
      </c>
      <c r="G22" s="2"/>
      <c r="H22" s="6">
        <v>3488.68</v>
      </c>
      <c r="I22" s="2"/>
      <c r="J22" s="7">
        <f t="shared" si="1"/>
        <v>0</v>
      </c>
      <c r="K22" s="2"/>
      <c r="L22" s="6">
        <f t="shared" si="2"/>
        <v>-2787.77</v>
      </c>
      <c r="M22" s="2"/>
      <c r="N22" s="7">
        <f t="shared" si="3"/>
        <v>-0.79909020030498645</v>
      </c>
      <c r="O22" s="11"/>
      <c r="P22" s="6">
        <v>2102.73</v>
      </c>
      <c r="Q22" s="2"/>
      <c r="R22" s="7">
        <f t="shared" si="4"/>
        <v>0</v>
      </c>
      <c r="S22" s="2"/>
      <c r="T22" s="6">
        <v>8292.51</v>
      </c>
      <c r="U22" s="2"/>
      <c r="V22" s="7">
        <f t="shared" si="5"/>
        <v>0</v>
      </c>
      <c r="W22" s="2"/>
      <c r="X22" s="6">
        <f t="shared" si="6"/>
        <v>-6189.7800000000007</v>
      </c>
      <c r="Y22" s="2"/>
      <c r="Z22" s="7">
        <f t="shared" si="7"/>
        <v>-0.74643021232413354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24.98</v>
      </c>
      <c r="E23" s="2"/>
      <c r="F23" s="7">
        <f t="shared" si="0"/>
        <v>0</v>
      </c>
      <c r="G23" s="2"/>
      <c r="H23" s="6">
        <v>40.86</v>
      </c>
      <c r="I23" s="2"/>
      <c r="J23" s="7">
        <f t="shared" si="1"/>
        <v>0</v>
      </c>
      <c r="K23" s="2"/>
      <c r="L23" s="6">
        <f t="shared" si="2"/>
        <v>-15.879999999999999</v>
      </c>
      <c r="M23" s="2"/>
      <c r="N23" s="7">
        <f t="shared" si="3"/>
        <v>-0.38864415075868819</v>
      </c>
      <c r="O23" s="11"/>
      <c r="P23" s="6">
        <v>74.349999999999994</v>
      </c>
      <c r="Q23" s="2"/>
      <c r="R23" s="7">
        <f t="shared" si="4"/>
        <v>0</v>
      </c>
      <c r="S23" s="2"/>
      <c r="T23" s="6">
        <v>138.46</v>
      </c>
      <c r="U23" s="2"/>
      <c r="V23" s="7">
        <f t="shared" si="5"/>
        <v>0</v>
      </c>
      <c r="W23" s="2"/>
      <c r="X23" s="6">
        <f t="shared" si="6"/>
        <v>-64.110000000000014</v>
      </c>
      <c r="Y23" s="2"/>
      <c r="Z23" s="7">
        <f t="shared" si="7"/>
        <v>-0.46302181135345954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463.29</v>
      </c>
      <c r="I24" s="2"/>
      <c r="J24" s="7">
        <f t="shared" si="1"/>
        <v>0</v>
      </c>
      <c r="K24" s="2"/>
      <c r="L24" s="6">
        <f t="shared" si="2"/>
        <v>-463.29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1614.77</v>
      </c>
      <c r="U24" s="2"/>
      <c r="V24" s="7">
        <f t="shared" si="5"/>
        <v>0</v>
      </c>
      <c r="W24" s="2"/>
      <c r="X24" s="6">
        <f t="shared" si="6"/>
        <v>-1614.77</v>
      </c>
      <c r="Y24" s="2"/>
      <c r="Z24" s="7">
        <f t="shared" si="7"/>
        <v>-1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6">
        <v>184.8</v>
      </c>
      <c r="E25" s="2"/>
      <c r="F25" s="7">
        <f t="shared" si="0"/>
        <v>0</v>
      </c>
      <c r="G25" s="2"/>
      <c r="H25" s="6">
        <v>777.78</v>
      </c>
      <c r="I25" s="2"/>
      <c r="J25" s="7">
        <f t="shared" si="1"/>
        <v>0</v>
      </c>
      <c r="K25" s="2"/>
      <c r="L25" s="6">
        <f t="shared" si="2"/>
        <v>-592.98</v>
      </c>
      <c r="M25" s="2"/>
      <c r="N25" s="7">
        <f t="shared" si="3"/>
        <v>-0.76240067885520335</v>
      </c>
      <c r="O25" s="11"/>
      <c r="P25" s="6">
        <v>554.4</v>
      </c>
      <c r="Q25" s="2"/>
      <c r="R25" s="7">
        <f t="shared" si="4"/>
        <v>0</v>
      </c>
      <c r="S25" s="2"/>
      <c r="T25" s="6">
        <v>2653.02</v>
      </c>
      <c r="U25" s="2"/>
      <c r="V25" s="7">
        <f t="shared" si="5"/>
        <v>0</v>
      </c>
      <c r="W25" s="2"/>
      <c r="X25" s="6">
        <f t="shared" si="6"/>
        <v>-2098.62</v>
      </c>
      <c r="Y25" s="2"/>
      <c r="Z25" s="7">
        <f t="shared" si="7"/>
        <v>-0.79103059909084739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6">
        <v>221.4</v>
      </c>
      <c r="E26" s="2"/>
      <c r="F26" s="7">
        <f t="shared" si="0"/>
        <v>0</v>
      </c>
      <c r="G26" s="2"/>
      <c r="H26" s="6">
        <v>494.76</v>
      </c>
      <c r="I26" s="2"/>
      <c r="J26" s="7">
        <f t="shared" si="1"/>
        <v>0</v>
      </c>
      <c r="K26" s="2"/>
      <c r="L26" s="6">
        <f t="shared" si="2"/>
        <v>-273.36</v>
      </c>
      <c r="M26" s="2"/>
      <c r="N26" s="7">
        <f t="shared" si="3"/>
        <v>-0.55251030802813494</v>
      </c>
      <c r="O26" s="11"/>
      <c r="P26" s="6">
        <v>664.2</v>
      </c>
      <c r="Q26" s="2"/>
      <c r="R26" s="7">
        <f t="shared" si="4"/>
        <v>0</v>
      </c>
      <c r="S26" s="2"/>
      <c r="T26" s="6">
        <v>1797.54</v>
      </c>
      <c r="U26" s="2"/>
      <c r="V26" s="7">
        <f t="shared" si="5"/>
        <v>0</v>
      </c>
      <c r="W26" s="2"/>
      <c r="X26" s="6">
        <f t="shared" si="6"/>
        <v>-1133.3399999999999</v>
      </c>
      <c r="Y26" s="2"/>
      <c r="Z26" s="7">
        <f t="shared" si="7"/>
        <v>-0.63049500984679063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6">
        <v>172.59</v>
      </c>
      <c r="E27" s="2"/>
      <c r="F27" s="7">
        <f t="shared" si="0"/>
        <v>0</v>
      </c>
      <c r="G27" s="2"/>
      <c r="H27" s="6">
        <v>295.63</v>
      </c>
      <c r="I27" s="2"/>
      <c r="J27" s="7">
        <f t="shared" si="1"/>
        <v>0</v>
      </c>
      <c r="K27" s="2"/>
      <c r="L27" s="6">
        <f t="shared" si="2"/>
        <v>-123.03999999999999</v>
      </c>
      <c r="M27" s="2"/>
      <c r="N27" s="7">
        <f t="shared" si="3"/>
        <v>-0.41619592057639615</v>
      </c>
      <c r="O27" s="11"/>
      <c r="P27" s="6">
        <v>462.04</v>
      </c>
      <c r="Q27" s="2"/>
      <c r="R27" s="7">
        <f t="shared" si="4"/>
        <v>0</v>
      </c>
      <c r="S27" s="2"/>
      <c r="T27" s="6">
        <v>890.98</v>
      </c>
      <c r="U27" s="2"/>
      <c r="V27" s="7">
        <f t="shared" si="5"/>
        <v>0</v>
      </c>
      <c r="W27" s="2"/>
      <c r="X27" s="6">
        <f t="shared" si="6"/>
        <v>-428.94</v>
      </c>
      <c r="Y27" s="2"/>
      <c r="Z27" s="7">
        <f t="shared" si="7"/>
        <v>-0.48142494781027634</v>
      </c>
    </row>
    <row r="28" spans="1:26" s="29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9238.5199999999986</v>
      </c>
      <c r="E28" s="1"/>
      <c r="F28" s="5">
        <f t="shared" ref="F28:F34" si="8">IF(D$12=0,0,D28/D$12)</f>
        <v>0</v>
      </c>
      <c r="G28" s="1"/>
      <c r="H28" s="1">
        <f>SUM(OSRRefH22_1x_0)</f>
        <v>15305.2</v>
      </c>
      <c r="I28" s="1"/>
      <c r="J28" s="5">
        <f t="shared" ref="J28:J34" si="9">IF(H$12=0,0,H28/H$12)</f>
        <v>0</v>
      </c>
      <c r="K28" s="1"/>
      <c r="L28" s="1">
        <f t="shared" ref="L28:L34" si="10">+D28-H28</f>
        <v>-6066.6800000000021</v>
      </c>
      <c r="M28" s="1"/>
      <c r="N28" s="5">
        <f t="shared" ref="N28:N34" si="11">IF(H28=0,0,L28/H28)</f>
        <v>-0.3963803151869954</v>
      </c>
      <c r="O28" s="14"/>
      <c r="P28" s="1">
        <f>SUM(OSRRefP22_1x_0)</f>
        <v>31527.599999999999</v>
      </c>
      <c r="Q28" s="1"/>
      <c r="R28" s="5">
        <f t="shared" ref="R28:R34" si="12">IF(P$12=0,0,P28/P$12)</f>
        <v>0</v>
      </c>
      <c r="S28" s="1"/>
      <c r="T28" s="1">
        <f>SUM(OSRRefT22_1x_0)</f>
        <v>49474.67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-17947.07</v>
      </c>
      <c r="Y28" s="1"/>
      <c r="Z28" s="5">
        <f t="shared" ref="Z28:Z34" si="15">IF(T28=0,0,X28/T28)</f>
        <v>-0.36275269749146383</v>
      </c>
    </row>
    <row r="29" spans="1:26" s="24" customFormat="1" hidden="1" outlineLevel="2" x14ac:dyDescent="0.25">
      <c r="A29" s="28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>
        <v>6771.24</v>
      </c>
      <c r="I29" s="2"/>
      <c r="J29" s="7">
        <f t="shared" si="9"/>
        <v>0</v>
      </c>
      <c r="K29" s="2"/>
      <c r="L29" s="6">
        <f t="shared" si="10"/>
        <v>-6771.24</v>
      </c>
      <c r="M29" s="2"/>
      <c r="N29" s="7">
        <f t="shared" si="11"/>
        <v>-1</v>
      </c>
      <c r="O29" s="11"/>
      <c r="P29" s="6"/>
      <c r="Q29" s="2"/>
      <c r="R29" s="7">
        <f t="shared" si="12"/>
        <v>0</v>
      </c>
      <c r="S29" s="2"/>
      <c r="T29" s="6">
        <v>19298.22</v>
      </c>
      <c r="U29" s="2"/>
      <c r="V29" s="7">
        <f t="shared" si="13"/>
        <v>0</v>
      </c>
      <c r="W29" s="2"/>
      <c r="X29" s="6">
        <f t="shared" si="14"/>
        <v>-19298.22</v>
      </c>
      <c r="Y29" s="2"/>
      <c r="Z29" s="7">
        <f t="shared" si="15"/>
        <v>-1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-338.56</v>
      </c>
      <c r="U30" s="2"/>
      <c r="V30" s="7">
        <f t="shared" si="13"/>
        <v>0</v>
      </c>
      <c r="W30" s="2"/>
      <c r="X30" s="6">
        <f t="shared" si="14"/>
        <v>338.56</v>
      </c>
      <c r="Y30" s="2"/>
      <c r="Z30" s="7">
        <f t="shared" si="15"/>
        <v>-1</v>
      </c>
    </row>
    <row r="31" spans="1:26" s="24" customFormat="1" hidden="1" outlineLevel="2" x14ac:dyDescent="0.25">
      <c r="A31" s="28"/>
      <c r="B31" s="11" t="str">
        <f>CONCATENATE("          ", "6004", " - ", "STAFF HOURLY")</f>
        <v xml:space="preserve">          6004 - STAFF HOURLY</v>
      </c>
      <c r="C31" s="11"/>
      <c r="D31" s="6">
        <v>4597.5</v>
      </c>
      <c r="E31" s="2"/>
      <c r="F31" s="7">
        <f t="shared" si="8"/>
        <v>0</v>
      </c>
      <c r="G31" s="2"/>
      <c r="H31" s="6">
        <v>3973.74</v>
      </c>
      <c r="I31" s="2"/>
      <c r="J31" s="7">
        <f t="shared" si="9"/>
        <v>0</v>
      </c>
      <c r="K31" s="2"/>
      <c r="L31" s="6">
        <f t="shared" si="10"/>
        <v>623.76000000000022</v>
      </c>
      <c r="M31" s="2"/>
      <c r="N31" s="7">
        <f t="shared" si="11"/>
        <v>0.15697051140738957</v>
      </c>
      <c r="O31" s="11"/>
      <c r="P31" s="6">
        <v>14718.75</v>
      </c>
      <c r="Q31" s="2"/>
      <c r="R31" s="7">
        <f t="shared" si="12"/>
        <v>0</v>
      </c>
      <c r="S31" s="2"/>
      <c r="T31" s="6">
        <v>11843.97</v>
      </c>
      <c r="U31" s="2"/>
      <c r="V31" s="7">
        <f t="shared" si="13"/>
        <v>0</v>
      </c>
      <c r="W31" s="2"/>
      <c r="X31" s="6">
        <f t="shared" si="14"/>
        <v>2874.7800000000007</v>
      </c>
      <c r="Y31" s="2"/>
      <c r="Z31" s="7">
        <f t="shared" si="15"/>
        <v>0.24272097953642241</v>
      </c>
    </row>
    <row r="32" spans="1:26" s="24" customFormat="1" hidden="1" outlineLevel="2" x14ac:dyDescent="0.25">
      <c r="A32" s="28"/>
      <c r="B32" s="11" t="str">
        <f>CONCATENATE("          ", "6006", " - ", "TEMPORARY PART TIME")</f>
        <v xml:space="preserve">          6006 - TEMPORARY PART TIME</v>
      </c>
      <c r="C32" s="11"/>
      <c r="D32" s="6">
        <v>498.75</v>
      </c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498.75</v>
      </c>
      <c r="M32" s="2"/>
      <c r="N32" s="7">
        <f t="shared" si="11"/>
        <v>0</v>
      </c>
      <c r="O32" s="11"/>
      <c r="P32" s="6">
        <v>2361.4299999999998</v>
      </c>
      <c r="Q32" s="2"/>
      <c r="R32" s="7">
        <f t="shared" si="12"/>
        <v>0</v>
      </c>
      <c r="S32" s="2"/>
      <c r="T32" s="6">
        <v>247.86</v>
      </c>
      <c r="U32" s="2"/>
      <c r="V32" s="7">
        <f t="shared" si="13"/>
        <v>0</v>
      </c>
      <c r="W32" s="2"/>
      <c r="X32" s="6">
        <f t="shared" si="14"/>
        <v>2113.5699999999997</v>
      </c>
      <c r="Y32" s="2"/>
      <c r="Z32" s="7">
        <f t="shared" si="15"/>
        <v>8.5272734608246576</v>
      </c>
    </row>
    <row r="33" spans="1:26" s="24" customFormat="1" hidden="1" outlineLevel="2" x14ac:dyDescent="0.25">
      <c r="A33" s="28"/>
      <c r="B33" s="11" t="str">
        <f>CONCATENATE("          ", "6007", " - ", "STUDENT HOURLY")</f>
        <v xml:space="preserve">          6007 - STUDENT HOURLY</v>
      </c>
      <c r="C33" s="11"/>
      <c r="D33" s="6">
        <v>3193.89</v>
      </c>
      <c r="E33" s="2"/>
      <c r="F33" s="7">
        <f t="shared" si="8"/>
        <v>0</v>
      </c>
      <c r="G33" s="2"/>
      <c r="H33" s="6">
        <v>4560.22</v>
      </c>
      <c r="I33" s="2"/>
      <c r="J33" s="7">
        <f t="shared" si="9"/>
        <v>0</v>
      </c>
      <c r="K33" s="2"/>
      <c r="L33" s="6">
        <f t="shared" si="10"/>
        <v>-1366.3300000000004</v>
      </c>
      <c r="M33" s="2"/>
      <c r="N33" s="7">
        <f t="shared" si="11"/>
        <v>-0.29961931661191793</v>
      </c>
      <c r="O33" s="11"/>
      <c r="P33" s="6">
        <v>13189.85</v>
      </c>
      <c r="Q33" s="2"/>
      <c r="R33" s="7">
        <f t="shared" si="12"/>
        <v>0</v>
      </c>
      <c r="S33" s="2"/>
      <c r="T33" s="6">
        <v>18423.18</v>
      </c>
      <c r="U33" s="2"/>
      <c r="V33" s="7">
        <f t="shared" si="13"/>
        <v>0</v>
      </c>
      <c r="W33" s="2"/>
      <c r="X33" s="6">
        <f t="shared" si="14"/>
        <v>-5233.33</v>
      </c>
      <c r="Y33" s="2"/>
      <c r="Z33" s="7">
        <f t="shared" si="15"/>
        <v>-0.28406225201078206</v>
      </c>
    </row>
    <row r="34" spans="1:26" s="24" customFormat="1" hidden="1" outlineLevel="2" x14ac:dyDescent="0.25">
      <c r="A34" s="28"/>
      <c r="B34" s="11" t="str">
        <f>CONCATENATE("          ", "6008", " - ", "STUDENT HOURLY-FICA EXEMPT")</f>
        <v xml:space="preserve">          6008 - STUDENT HOURLY-FICA EXEMPT</v>
      </c>
      <c r="C34" s="11"/>
      <c r="D34" s="6">
        <v>948.38</v>
      </c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948.38</v>
      </c>
      <c r="M34" s="2"/>
      <c r="N34" s="7">
        <f t="shared" si="11"/>
        <v>0</v>
      </c>
      <c r="O34" s="11"/>
      <c r="P34" s="6">
        <v>1257.57</v>
      </c>
      <c r="Q34" s="2"/>
      <c r="R34" s="7">
        <f t="shared" si="12"/>
        <v>0</v>
      </c>
      <c r="S34" s="2"/>
      <c r="T34" s="6"/>
      <c r="U34" s="2"/>
      <c r="V34" s="7">
        <f t="shared" si="13"/>
        <v>0</v>
      </c>
      <c r="W34" s="2"/>
      <c r="X34" s="6">
        <f t="shared" si="14"/>
        <v>1257.57</v>
      </c>
      <c r="Y34" s="2"/>
      <c r="Z34" s="7">
        <f t="shared" si="15"/>
        <v>0</v>
      </c>
    </row>
    <row r="35" spans="1:26" s="29" customFormat="1" outlineLevel="1" collapsed="1" x14ac:dyDescent="0.25">
      <c r="A35" s="27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-472.7</v>
      </c>
      <c r="E35" s="1"/>
      <c r="F35" s="5">
        <f t="shared" ref="F35:F43" si="16">IF(D$12=0,0,D35/D$12)</f>
        <v>0</v>
      </c>
      <c r="G35" s="1"/>
      <c r="H35" s="1">
        <f>SUM(OSRRefH22_2x_0)</f>
        <v>-15592.48</v>
      </c>
      <c r="I35" s="1"/>
      <c r="J35" s="5">
        <f t="shared" ref="J35:J43" si="17">IF(H$12=0,0,H35/H$12)</f>
        <v>0</v>
      </c>
      <c r="K35" s="1"/>
      <c r="L35" s="1">
        <f t="shared" ref="L35:L43" si="18">+D35-H35</f>
        <v>15119.779999999999</v>
      </c>
      <c r="M35" s="1"/>
      <c r="N35" s="5">
        <f t="shared" ref="N35:N43" si="19">IF(H35=0,0,L35/H35)</f>
        <v>-0.96968410413224837</v>
      </c>
      <c r="O35" s="14"/>
      <c r="P35" s="1">
        <f>SUM(OSRRefP22_2x_0)</f>
        <v>-14196.94</v>
      </c>
      <c r="Q35" s="1"/>
      <c r="R35" s="5">
        <f t="shared" ref="R35:R43" si="20">IF(P$12=0,0,P35/P$12)</f>
        <v>0</v>
      </c>
      <c r="S35" s="1"/>
      <c r="T35" s="1">
        <f>SUM(OSRRefT22_2x_0)</f>
        <v>-47910.950000000004</v>
      </c>
      <c r="U35" s="1"/>
      <c r="V35" s="5">
        <f t="shared" ref="V35:V43" si="21">IF(T$12=0,0,T35/T$12)</f>
        <v>0</v>
      </c>
      <c r="W35" s="1"/>
      <c r="X35" s="1">
        <f t="shared" ref="X35:X43" si="22">+P35-T35</f>
        <v>33714.01</v>
      </c>
      <c r="Y35" s="1"/>
      <c r="Z35" s="5">
        <f t="shared" ref="Z35:Z43" si="23">IF(T35=0,0,X35/T35)</f>
        <v>-0.70368068259969796</v>
      </c>
    </row>
    <row r="36" spans="1:26" s="24" customFormat="1" hidden="1" outlineLevel="2" x14ac:dyDescent="0.25">
      <c r="A36" s="28"/>
      <c r="B36" s="11" t="str">
        <f>CONCATENATE("          ", "6362", " - ", "ADVERTISING EXPENSE")</f>
        <v xml:space="preserve">          6362 - ADVERTISING EXPENSE</v>
      </c>
      <c r="C36" s="11"/>
      <c r="D36" s="6">
        <v>-472.7</v>
      </c>
      <c r="E36" s="2"/>
      <c r="F36" s="7">
        <f t="shared" si="16"/>
        <v>0</v>
      </c>
      <c r="G36" s="2"/>
      <c r="H36" s="6">
        <v>-15592.48</v>
      </c>
      <c r="I36" s="2"/>
      <c r="J36" s="7">
        <f t="shared" si="17"/>
        <v>0</v>
      </c>
      <c r="K36" s="2"/>
      <c r="L36" s="6">
        <f t="shared" si="18"/>
        <v>15119.779999999999</v>
      </c>
      <c r="M36" s="2"/>
      <c r="N36" s="7">
        <f t="shared" si="19"/>
        <v>-0.96968410413224837</v>
      </c>
      <c r="O36" s="11"/>
      <c r="P36" s="6">
        <v>-14196.94</v>
      </c>
      <c r="Q36" s="2"/>
      <c r="R36" s="7">
        <f t="shared" si="20"/>
        <v>0</v>
      </c>
      <c r="S36" s="2"/>
      <c r="T36" s="6">
        <v>-47910.950000000004</v>
      </c>
      <c r="U36" s="2"/>
      <c r="V36" s="7">
        <f t="shared" si="21"/>
        <v>0</v>
      </c>
      <c r="W36" s="2"/>
      <c r="X36" s="6">
        <f t="shared" si="22"/>
        <v>33714.01</v>
      </c>
      <c r="Y36" s="2"/>
      <c r="Z36" s="7">
        <f t="shared" si="23"/>
        <v>-0.70368068259969796</v>
      </c>
    </row>
    <row r="37" spans="1:26" s="29" customFormat="1" outlineLevel="1" collapsed="1" x14ac:dyDescent="0.25">
      <c r="A37" s="27"/>
      <c r="B37" s="14" t="str">
        <f>CONCATENATE("     ","Depreciation                                      ")</f>
        <v xml:space="preserve">     Depreciation                                      </v>
      </c>
      <c r="C37" s="14"/>
      <c r="D37" s="1">
        <f>SUM(OSRRefD22_3x_0)</f>
        <v>295.67</v>
      </c>
      <c r="E37" s="1"/>
      <c r="F37" s="5">
        <f t="shared" si="16"/>
        <v>0</v>
      </c>
      <c r="G37" s="1"/>
      <c r="H37" s="1">
        <f>SUM(OSRRefH22_3x_0)</f>
        <v>295.68</v>
      </c>
      <c r="I37" s="1"/>
      <c r="J37" s="5">
        <f t="shared" si="17"/>
        <v>0</v>
      </c>
      <c r="K37" s="1"/>
      <c r="L37" s="1">
        <f t="shared" si="18"/>
        <v>-9.9999999999909051E-3</v>
      </c>
      <c r="M37" s="1"/>
      <c r="N37" s="5">
        <f t="shared" si="19"/>
        <v>-3.3820346320315563E-5</v>
      </c>
      <c r="O37" s="14"/>
      <c r="P37" s="1">
        <f>SUM(OSRRefP22_3x_0)</f>
        <v>887.01</v>
      </c>
      <c r="Q37" s="1"/>
      <c r="R37" s="5">
        <f t="shared" si="20"/>
        <v>0</v>
      </c>
      <c r="S37" s="1"/>
      <c r="T37" s="1">
        <f>SUM(OSRRefT22_3x_0)</f>
        <v>887.04</v>
      </c>
      <c r="U37" s="1"/>
      <c r="V37" s="5">
        <f t="shared" si="21"/>
        <v>0</v>
      </c>
      <c r="W37" s="1"/>
      <c r="X37" s="1">
        <f t="shared" si="22"/>
        <v>-2.9999999999972715E-2</v>
      </c>
      <c r="Y37" s="1"/>
      <c r="Z37" s="5">
        <f t="shared" si="23"/>
        <v>-3.3820346320315563E-5</v>
      </c>
    </row>
    <row r="38" spans="1:26" s="24" customFormat="1" hidden="1" outlineLevel="2" x14ac:dyDescent="0.25">
      <c r="A38" s="28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295.67</v>
      </c>
      <c r="E38" s="2"/>
      <c r="F38" s="7">
        <f t="shared" si="16"/>
        <v>0</v>
      </c>
      <c r="G38" s="2"/>
      <c r="H38" s="6">
        <v>295.68</v>
      </c>
      <c r="I38" s="2"/>
      <c r="J38" s="7">
        <f t="shared" si="17"/>
        <v>0</v>
      </c>
      <c r="K38" s="2"/>
      <c r="L38" s="6">
        <f t="shared" si="18"/>
        <v>-9.9999999999909051E-3</v>
      </c>
      <c r="M38" s="2"/>
      <c r="N38" s="7">
        <f t="shared" si="19"/>
        <v>-3.3820346320315563E-5</v>
      </c>
      <c r="O38" s="11"/>
      <c r="P38" s="6">
        <v>887.01</v>
      </c>
      <c r="Q38" s="2"/>
      <c r="R38" s="7">
        <f t="shared" si="20"/>
        <v>0</v>
      </c>
      <c r="S38" s="2"/>
      <c r="T38" s="6">
        <v>887.04</v>
      </c>
      <c r="U38" s="2"/>
      <c r="V38" s="7">
        <f t="shared" si="21"/>
        <v>0</v>
      </c>
      <c r="W38" s="2"/>
      <c r="X38" s="6">
        <f t="shared" si="22"/>
        <v>-2.9999999999972715E-2</v>
      </c>
      <c r="Y38" s="2"/>
      <c r="Z38" s="7">
        <f t="shared" si="23"/>
        <v>-3.3820346320315563E-5</v>
      </c>
    </row>
    <row r="39" spans="1:26" s="29" customFormat="1" outlineLevel="1" collapsed="1" x14ac:dyDescent="0.25">
      <c r="A39" s="27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SUM(OSRRefD22_4x_0)</f>
        <v>333.96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333.96</v>
      </c>
      <c r="M39" s="1"/>
      <c r="N39" s="5">
        <f t="shared" si="19"/>
        <v>0</v>
      </c>
      <c r="O39" s="14"/>
      <c r="P39" s="1">
        <f>SUM(OSRRefP22_4x_0)</f>
        <v>333.96</v>
      </c>
      <c r="Q39" s="1"/>
      <c r="R39" s="5">
        <f t="shared" si="20"/>
        <v>0</v>
      </c>
      <c r="S39" s="1"/>
      <c r="T39" s="1">
        <f>SUM(OSRRefT22_4x_0)</f>
        <v>0</v>
      </c>
      <c r="U39" s="1"/>
      <c r="V39" s="5">
        <f t="shared" si="21"/>
        <v>0</v>
      </c>
      <c r="W39" s="1"/>
      <c r="X39" s="1">
        <f t="shared" si="22"/>
        <v>333.96</v>
      </c>
      <c r="Y39" s="1"/>
      <c r="Z39" s="5">
        <f t="shared" si="23"/>
        <v>0</v>
      </c>
    </row>
    <row r="40" spans="1:26" s="24" customFormat="1" hidden="1" outlineLevel="2" x14ac:dyDescent="0.25">
      <c r="A40" s="28"/>
      <c r="B40" s="11" t="str">
        <f>CONCATENATE("          ", "6279", " - ", "GENERAL EXPENSE")</f>
        <v xml:space="preserve">          6279 - GENERAL EXPENSE</v>
      </c>
      <c r="C40" s="11"/>
      <c r="D40" s="6">
        <v>333.96</v>
      </c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333.96</v>
      </c>
      <c r="M40" s="2"/>
      <c r="N40" s="7">
        <f t="shared" si="19"/>
        <v>0</v>
      </c>
      <c r="O40" s="11"/>
      <c r="P40" s="6">
        <v>333.96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333.96</v>
      </c>
      <c r="Y40" s="2"/>
      <c r="Z40" s="7">
        <f t="shared" si="23"/>
        <v>0</v>
      </c>
    </row>
    <row r="41" spans="1:26" s="29" customFormat="1" outlineLevel="1" collapsed="1" x14ac:dyDescent="0.25">
      <c r="A41" s="27"/>
      <c r="B41" s="14" t="str">
        <f>CONCATENATE("     ","Supplies                                          ")</f>
        <v xml:space="preserve">     Supplies                                          </v>
      </c>
      <c r="C41" s="14"/>
      <c r="D41" s="1">
        <f>SUM(OSRRefD22_5x_0)</f>
        <v>206.31</v>
      </c>
      <c r="E41" s="1"/>
      <c r="F41" s="5">
        <f t="shared" si="16"/>
        <v>0</v>
      </c>
      <c r="G41" s="1"/>
      <c r="H41" s="1">
        <f>SUM(OSRRefH22_5x_0)</f>
        <v>135.65</v>
      </c>
      <c r="I41" s="1"/>
      <c r="J41" s="5">
        <f t="shared" si="17"/>
        <v>0</v>
      </c>
      <c r="K41" s="1"/>
      <c r="L41" s="1">
        <f t="shared" si="18"/>
        <v>70.66</v>
      </c>
      <c r="M41" s="1"/>
      <c r="N41" s="5">
        <f t="shared" si="19"/>
        <v>0.520899373387394</v>
      </c>
      <c r="O41" s="14"/>
      <c r="P41" s="1">
        <f>SUM(OSRRefP22_5x_0)</f>
        <v>697.5</v>
      </c>
      <c r="Q41" s="1"/>
      <c r="R41" s="5">
        <f t="shared" si="20"/>
        <v>0</v>
      </c>
      <c r="S41" s="1"/>
      <c r="T41" s="1">
        <f>SUM(OSRRefT22_5x_0)</f>
        <v>270.48</v>
      </c>
      <c r="U41" s="1"/>
      <c r="V41" s="5">
        <f t="shared" si="21"/>
        <v>0</v>
      </c>
      <c r="W41" s="1"/>
      <c r="X41" s="1">
        <f t="shared" si="22"/>
        <v>427.02</v>
      </c>
      <c r="Y41" s="1"/>
      <c r="Z41" s="5">
        <f t="shared" si="23"/>
        <v>1.5787488908606919</v>
      </c>
    </row>
    <row r="42" spans="1:26" s="24" customFormat="1" hidden="1" outlineLevel="2" x14ac:dyDescent="0.25">
      <c r="A42" s="28"/>
      <c r="B42" s="11" t="str">
        <f>CONCATENATE("          ", "6241", " - ", "OFFICE EXPENSE")</f>
        <v xml:space="preserve">          6241 - OFFICE EXPENSE</v>
      </c>
      <c r="C42" s="11"/>
      <c r="D42" s="6">
        <v>206.31</v>
      </c>
      <c r="E42" s="2"/>
      <c r="F42" s="7">
        <f t="shared" si="16"/>
        <v>0</v>
      </c>
      <c r="G42" s="2"/>
      <c r="H42" s="6">
        <v>135.65</v>
      </c>
      <c r="I42" s="2"/>
      <c r="J42" s="7">
        <f t="shared" si="17"/>
        <v>0</v>
      </c>
      <c r="K42" s="2"/>
      <c r="L42" s="6">
        <f t="shared" si="18"/>
        <v>70.66</v>
      </c>
      <c r="M42" s="2"/>
      <c r="N42" s="7">
        <f t="shared" si="19"/>
        <v>0.520899373387394</v>
      </c>
      <c r="O42" s="11"/>
      <c r="P42" s="6">
        <v>351.08</v>
      </c>
      <c r="Q42" s="2"/>
      <c r="R42" s="7">
        <f t="shared" si="20"/>
        <v>0</v>
      </c>
      <c r="S42" s="2"/>
      <c r="T42" s="6">
        <v>270.48</v>
      </c>
      <c r="U42" s="2"/>
      <c r="V42" s="7">
        <f t="shared" si="21"/>
        <v>0</v>
      </c>
      <c r="W42" s="2"/>
      <c r="X42" s="6">
        <f t="shared" si="22"/>
        <v>80.599999999999966</v>
      </c>
      <c r="Y42" s="2"/>
      <c r="Z42" s="7">
        <f t="shared" si="23"/>
        <v>0.29798876072167985</v>
      </c>
    </row>
    <row r="43" spans="1:26" s="24" customFormat="1" hidden="1" outlineLevel="2" x14ac:dyDescent="0.25">
      <c r="A43" s="28"/>
      <c r="B43" s="11" t="str">
        <f>CONCATENATE("          ", "6245", " - ", "PRINTING")</f>
        <v xml:space="preserve">          6245 - PRINTING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>
        <v>346.42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346.42</v>
      </c>
      <c r="Y43" s="2"/>
      <c r="Z43" s="7">
        <f t="shared" si="23"/>
        <v>0</v>
      </c>
    </row>
    <row r="44" spans="1:26" s="29" customFormat="1" outlineLevel="1" collapsed="1" x14ac:dyDescent="0.25">
      <c r="A44" s="27"/>
      <c r="B44" s="14" t="str">
        <f>CONCATENATE("     ","Telephone/Data Lines                              ")</f>
        <v xml:space="preserve">     Telephone/Data Lines                              </v>
      </c>
      <c r="C44" s="14"/>
      <c r="D44" s="1">
        <f>SUM(OSRRefD22_6x_0)</f>
        <v>150</v>
      </c>
      <c r="E44" s="1"/>
      <c r="F44" s="5">
        <f t="shared" ref="F44:F47" si="24">IF(D$12=0,0,D44/D$12)</f>
        <v>0</v>
      </c>
      <c r="G44" s="1"/>
      <c r="H44" s="1">
        <f>SUM(OSRRefH22_6x_0)</f>
        <v>200</v>
      </c>
      <c r="I44" s="1"/>
      <c r="J44" s="5">
        <f t="shared" ref="J44:J47" si="25">IF(H$12=0,0,H44/H$12)</f>
        <v>0</v>
      </c>
      <c r="K44" s="1"/>
      <c r="L44" s="1">
        <f t="shared" ref="L44:L47" si="26">+D44-H44</f>
        <v>-50</v>
      </c>
      <c r="M44" s="1"/>
      <c r="N44" s="5">
        <f t="shared" ref="N44:N47" si="27">IF(H44=0,0,L44/H44)</f>
        <v>-0.25</v>
      </c>
      <c r="O44" s="14"/>
      <c r="P44" s="1">
        <f>SUM(OSRRefP22_6x_0)</f>
        <v>225.45</v>
      </c>
      <c r="Q44" s="1"/>
      <c r="R44" s="5">
        <f t="shared" ref="R44:R47" si="28">IF(P$12=0,0,P44/P$12)</f>
        <v>0</v>
      </c>
      <c r="S44" s="1"/>
      <c r="T44" s="1">
        <f>SUM(OSRRefT22_6x_0)</f>
        <v>370.5</v>
      </c>
      <c r="U44" s="1"/>
      <c r="V44" s="5">
        <f t="shared" ref="V44:V47" si="29">IF(T$12=0,0,T44/T$12)</f>
        <v>0</v>
      </c>
      <c r="W44" s="1"/>
      <c r="X44" s="1">
        <f t="shared" ref="X44:X47" si="30">+P44-T44</f>
        <v>-145.05000000000001</v>
      </c>
      <c r="Y44" s="1"/>
      <c r="Z44" s="5">
        <f t="shared" ref="Z44:Z47" si="31">IF(T44=0,0,X44/T44)</f>
        <v>-0.39149797570850203</v>
      </c>
    </row>
    <row r="45" spans="1:26" s="24" customFormat="1" hidden="1" outlineLevel="2" x14ac:dyDescent="0.25">
      <c r="A45" s="28"/>
      <c r="B45" s="11" t="str">
        <f>CONCATENATE("          ", "6309", " - ", "TELEPHONE")</f>
        <v xml:space="preserve">          6309 - TELEPHONE</v>
      </c>
      <c r="C45" s="11"/>
      <c r="D45" s="6">
        <v>150</v>
      </c>
      <c r="E45" s="2"/>
      <c r="F45" s="7">
        <f t="shared" si="24"/>
        <v>0</v>
      </c>
      <c r="G45" s="2"/>
      <c r="H45" s="6">
        <v>200</v>
      </c>
      <c r="I45" s="2"/>
      <c r="J45" s="7">
        <f t="shared" si="25"/>
        <v>0</v>
      </c>
      <c r="K45" s="2"/>
      <c r="L45" s="6">
        <f t="shared" si="26"/>
        <v>-50</v>
      </c>
      <c r="M45" s="2"/>
      <c r="N45" s="7">
        <f t="shared" si="27"/>
        <v>-0.25</v>
      </c>
      <c r="O45" s="11"/>
      <c r="P45" s="6">
        <v>225.45</v>
      </c>
      <c r="Q45" s="2"/>
      <c r="R45" s="7">
        <f t="shared" si="28"/>
        <v>0</v>
      </c>
      <c r="S45" s="2"/>
      <c r="T45" s="6">
        <v>370.5</v>
      </c>
      <c r="U45" s="2"/>
      <c r="V45" s="7">
        <f t="shared" si="29"/>
        <v>0</v>
      </c>
      <c r="W45" s="2"/>
      <c r="X45" s="6">
        <f t="shared" si="30"/>
        <v>-145.05000000000001</v>
      </c>
      <c r="Y45" s="2"/>
      <c r="Z45" s="7">
        <f t="shared" si="31"/>
        <v>-0.39149797570850203</v>
      </c>
    </row>
    <row r="46" spans="1:26" s="29" customFormat="1" outlineLevel="1" collapsed="1" x14ac:dyDescent="0.25">
      <c r="A46" s="27"/>
      <c r="B46" s="14" t="str">
        <f>CONCATENATE("     ","Travel                                            ")</f>
        <v xml:space="preserve">     Travel                                            </v>
      </c>
      <c r="C46" s="14"/>
      <c r="D46" s="1">
        <f>SUM(OSRRefD22_7x_0)</f>
        <v>0</v>
      </c>
      <c r="E46" s="1"/>
      <c r="F46" s="5">
        <f t="shared" si="24"/>
        <v>0</v>
      </c>
      <c r="G46" s="1"/>
      <c r="H46" s="1">
        <f>SUM(OSRRefH22_7x_0)</f>
        <v>299.64</v>
      </c>
      <c r="I46" s="1"/>
      <c r="J46" s="5">
        <f t="shared" si="25"/>
        <v>0</v>
      </c>
      <c r="K46" s="1"/>
      <c r="L46" s="1">
        <f t="shared" si="26"/>
        <v>-299.64</v>
      </c>
      <c r="M46" s="1"/>
      <c r="N46" s="5">
        <f t="shared" si="27"/>
        <v>-1</v>
      </c>
      <c r="O46" s="14"/>
      <c r="P46" s="1">
        <f>SUM(OSRRefP22_7x_0)</f>
        <v>118.32</v>
      </c>
      <c r="Q46" s="1"/>
      <c r="R46" s="5">
        <f t="shared" si="28"/>
        <v>0</v>
      </c>
      <c r="S46" s="1"/>
      <c r="T46" s="1">
        <f>SUM(OSRRefT22_7x_0)</f>
        <v>565.41999999999996</v>
      </c>
      <c r="U46" s="1"/>
      <c r="V46" s="5">
        <f t="shared" si="29"/>
        <v>0</v>
      </c>
      <c r="W46" s="1"/>
      <c r="X46" s="1">
        <f t="shared" si="30"/>
        <v>-447.09999999999997</v>
      </c>
      <c r="Y46" s="1"/>
      <c r="Z46" s="5">
        <f t="shared" si="31"/>
        <v>-0.79073962717979551</v>
      </c>
    </row>
    <row r="47" spans="1:26" s="24" customFormat="1" hidden="1" outlineLevel="2" x14ac:dyDescent="0.25">
      <c r="A47" s="28"/>
      <c r="B47" s="11" t="str">
        <f>CONCATENATE("          ", "6292", " - ", "TRAVEL/CONFERENCE")</f>
        <v xml:space="preserve">          6292 - TRAVEL/CONFERENCE</v>
      </c>
      <c r="C47" s="11"/>
      <c r="D47" s="6"/>
      <c r="E47" s="2"/>
      <c r="F47" s="7">
        <f t="shared" si="24"/>
        <v>0</v>
      </c>
      <c r="G47" s="2"/>
      <c r="H47" s="6">
        <v>299.64</v>
      </c>
      <c r="I47" s="2"/>
      <c r="J47" s="7">
        <f t="shared" si="25"/>
        <v>0</v>
      </c>
      <c r="K47" s="2"/>
      <c r="L47" s="6">
        <f t="shared" si="26"/>
        <v>-299.64</v>
      </c>
      <c r="M47" s="2"/>
      <c r="N47" s="7">
        <f t="shared" si="27"/>
        <v>-1</v>
      </c>
      <c r="O47" s="11"/>
      <c r="P47" s="6">
        <v>118.32</v>
      </c>
      <c r="Q47" s="2"/>
      <c r="R47" s="7">
        <f t="shared" si="28"/>
        <v>0</v>
      </c>
      <c r="S47" s="2"/>
      <c r="T47" s="6">
        <v>565.41999999999996</v>
      </c>
      <c r="U47" s="2"/>
      <c r="V47" s="7">
        <f t="shared" si="29"/>
        <v>0</v>
      </c>
      <c r="W47" s="2"/>
      <c r="X47" s="6">
        <f t="shared" si="30"/>
        <v>-447.09999999999997</v>
      </c>
      <c r="Y47" s="2"/>
      <c r="Z47" s="7">
        <f t="shared" si="31"/>
        <v>-0.79073962717979551</v>
      </c>
    </row>
    <row r="48" spans="1:26" s="53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5" t="s">
        <v>0</v>
      </c>
      <c r="C49" s="10"/>
      <c r="D49" s="4">
        <f>SUM(0)</f>
        <v>0</v>
      </c>
      <c r="E49" s="4"/>
      <c r="F49" s="12">
        <f>IF(D$12=0,0,D49/D$12)</f>
        <v>0</v>
      </c>
      <c r="G49" s="4"/>
      <c r="H49" s="4">
        <f>SUM(0)</f>
        <v>0</v>
      </c>
      <c r="I49" s="4"/>
      <c r="J49" s="12">
        <f>IF(H$12=0,0,H49/H$12)</f>
        <v>0</v>
      </c>
      <c r="K49" s="4"/>
      <c r="L49" s="4">
        <f>+D49-H49</f>
        <v>0</v>
      </c>
      <c r="M49" s="4"/>
      <c r="N49" s="12">
        <f>IF(H49=0,0,L49/H49)</f>
        <v>0</v>
      </c>
      <c r="O49" s="10"/>
      <c r="P49" s="4">
        <f>SUM(0)</f>
        <v>0</v>
      </c>
      <c r="Q49" s="4"/>
      <c r="R49" s="12">
        <f>IF(P$12=0,0,P49/P$12)</f>
        <v>0</v>
      </c>
      <c r="S49" s="4"/>
      <c r="T49" s="4">
        <f>SUM(0)</f>
        <v>0</v>
      </c>
      <c r="U49" s="4"/>
      <c r="V49" s="12">
        <f>IF(T$12=0,0,T49/T$12)</f>
        <v>0</v>
      </c>
      <c r="W49" s="4"/>
      <c r="X49" s="4">
        <f>+P49-T49</f>
        <v>0</v>
      </c>
      <c r="Y49" s="4"/>
      <c r="Z49" s="12">
        <f>IF(T49=0,0,X49/T49)</f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6" t="s">
        <v>3</v>
      </c>
      <c r="C51" s="26"/>
      <c r="D51" s="21">
        <f>+D16-D18+D49</f>
        <v>-11478.149999999996</v>
      </c>
      <c r="E51" s="13"/>
      <c r="F51" s="20">
        <f>IF(D$12=0,0,D51/D$12)</f>
        <v>0</v>
      </c>
      <c r="G51" s="13"/>
      <c r="H51" s="21">
        <f>+H16-H18+H49</f>
        <v>-6979.31</v>
      </c>
      <c r="I51" s="13"/>
      <c r="J51" s="20">
        <f>IF(H$12=0,0,H51/H$12)</f>
        <v>0</v>
      </c>
      <c r="K51" s="15"/>
      <c r="L51" s="21">
        <f>+D51-H51</f>
        <v>-4498.8399999999956</v>
      </c>
      <c r="M51" s="15"/>
      <c r="N51" s="20">
        <f>IF(H51=0,0,L51/H51)</f>
        <v>0.64459667216386651</v>
      </c>
      <c r="O51" s="25"/>
      <c r="P51" s="21">
        <f>+P16-P18+P49</f>
        <v>-25426.049999999996</v>
      </c>
      <c r="Q51" s="13"/>
      <c r="R51" s="20">
        <f>IF(P$12=0,0,P51/P$12)</f>
        <v>0</v>
      </c>
      <c r="S51" s="13"/>
      <c r="T51" s="21">
        <f>+T16-T18+T49</f>
        <v>-22379.829999999991</v>
      </c>
      <c r="U51" s="13"/>
      <c r="V51" s="20">
        <f>IF(T$12=0,0,T51/T$12)</f>
        <v>0</v>
      </c>
      <c r="W51" s="15"/>
      <c r="X51" s="21">
        <f>+P51-T51</f>
        <v>-3046.2200000000048</v>
      </c>
      <c r="Y51" s="15"/>
      <c r="Z51" s="20">
        <f>IF(T51=0,0,X51/T51)</f>
        <v>0.1361145281264427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51"/>
      <c r="B53" s="10" t="s">
        <v>13</v>
      </c>
      <c r="C53" s="10"/>
      <c r="D53" s="4"/>
      <c r="E53" s="4"/>
      <c r="F53" s="12">
        <f>IF(D$12=0,0,D53/D$12)</f>
        <v>0</v>
      </c>
      <c r="G53" s="4"/>
      <c r="H53" s="4"/>
      <c r="I53" s="4"/>
      <c r="J53" s="12">
        <f>IF(H$12=0,0,H53/H$12)</f>
        <v>0</v>
      </c>
      <c r="K53" s="4"/>
      <c r="L53" s="4">
        <f>+D53-H53</f>
        <v>0</v>
      </c>
      <c r="M53" s="4"/>
      <c r="N53" s="12">
        <f>IF(H53=0,0,L53/H53)</f>
        <v>0</v>
      </c>
      <c r="O53" s="10"/>
      <c r="P53" s="4"/>
      <c r="Q53" s="4"/>
      <c r="R53" s="12">
        <f>IF(P$12=0,0,P53/P$12)</f>
        <v>0</v>
      </c>
      <c r="S53" s="4"/>
      <c r="T53" s="4"/>
      <c r="U53" s="4"/>
      <c r="V53" s="12">
        <f>IF(T$12=0,0,T53/T$12)</f>
        <v>0</v>
      </c>
      <c r="W53" s="4"/>
      <c r="X53" s="4">
        <f>+P53-T53</f>
        <v>0</v>
      </c>
      <c r="Y53" s="4"/>
      <c r="Z53" s="12">
        <f>IF(T53=0,0,X53/T53)</f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6" t="s">
        <v>4</v>
      </c>
      <c r="C55" s="26"/>
      <c r="D55" s="35">
        <f>+D51-D53</f>
        <v>-11478.149999999996</v>
      </c>
      <c r="E55" s="13"/>
      <c r="F55" s="30">
        <f>IF(D$12=0,0,D55/D$12)</f>
        <v>0</v>
      </c>
      <c r="G55" s="13"/>
      <c r="H55" s="35">
        <f>+H51-H53</f>
        <v>-6979.31</v>
      </c>
      <c r="I55" s="13"/>
      <c r="J55" s="30">
        <f>IF(H$12=0,0,H55/H$12)</f>
        <v>0</v>
      </c>
      <c r="K55" s="15"/>
      <c r="L55" s="35">
        <f>D55-H55</f>
        <v>-4498.8399999999956</v>
      </c>
      <c r="M55" s="15"/>
      <c r="N55" s="30">
        <f>IF(H55=0,0,L55/H55)</f>
        <v>0.64459667216386651</v>
      </c>
      <c r="O55" s="25"/>
      <c r="P55" s="35">
        <f>+P51-P53</f>
        <v>-25426.049999999996</v>
      </c>
      <c r="Q55" s="13"/>
      <c r="R55" s="30">
        <f>IF(P$12=0,0,P55/P$12)</f>
        <v>0</v>
      </c>
      <c r="S55" s="13"/>
      <c r="T55" s="35">
        <f>+T51-T53</f>
        <v>-22379.829999999991</v>
      </c>
      <c r="U55" s="13"/>
      <c r="V55" s="30">
        <f>IF(T$12=0,0,T55/T$12)</f>
        <v>0</v>
      </c>
      <c r="W55" s="15"/>
      <c r="X55" s="35">
        <f>P55-T55</f>
        <v>-3046.2200000000048</v>
      </c>
      <c r="Y55" s="15"/>
      <c r="Z55" s="30">
        <f>IF(T55=0,0,X55/T55)</f>
        <v>0.1361145281264427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6" t="s">
        <v>5</v>
      </c>
      <c r="C58" s="26"/>
      <c r="D58" s="36">
        <f>SUM(D55:D57)</f>
        <v>-11478.149999999996</v>
      </c>
      <c r="E58" s="13"/>
      <c r="F58" s="31">
        <f>IF(D$12=0,0,D58/D$12)</f>
        <v>0</v>
      </c>
      <c r="G58" s="13"/>
      <c r="H58" s="36">
        <f>SUM(H55:H57)</f>
        <v>-6979.31</v>
      </c>
      <c r="I58" s="13"/>
      <c r="J58" s="31">
        <f>IF(H$12=0,0,H58/H$12)</f>
        <v>0</v>
      </c>
      <c r="K58" s="15"/>
      <c r="L58" s="36">
        <f>+D58-H58</f>
        <v>-4498.8399999999956</v>
      </c>
      <c r="M58" s="15"/>
      <c r="N58" s="31">
        <f>IF(H58=0,0,L58/H58)</f>
        <v>0.64459667216386651</v>
      </c>
      <c r="O58" s="25"/>
      <c r="P58" s="36">
        <f>SUM(P55:P57)</f>
        <v>-25426.049999999996</v>
      </c>
      <c r="Q58" s="13"/>
      <c r="R58" s="31">
        <f>IF(P$12=0,0,P58/P$12)</f>
        <v>0</v>
      </c>
      <c r="S58" s="13"/>
      <c r="T58" s="36">
        <f>SUM(T55:T57)</f>
        <v>-22379.829999999991</v>
      </c>
      <c r="U58" s="13"/>
      <c r="V58" s="31">
        <f>IF(T$12=0,0,T58/T$12)</f>
        <v>0</v>
      </c>
      <c r="W58" s="15"/>
      <c r="X58" s="36">
        <f>+P58-T58</f>
        <v>-3046.2200000000048</v>
      </c>
      <c r="Y58" s="15"/>
      <c r="Z58" s="31">
        <f>IF(T58=0,0,X58/T58)</f>
        <v>0.1361145281264427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5">
        <v>43756.46282346065</v>
      </c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A61" s="9"/>
      <c r="B61" s="56" t="s">
        <v>313</v>
      </c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  <row r="62" spans="1:26" x14ac:dyDescent="0.25">
      <c r="A62" s="9"/>
      <c r="B62" s="57"/>
      <c r="D62" s="18"/>
      <c r="E62" s="18"/>
      <c r="G62" s="18"/>
      <c r="H62" s="18"/>
      <c r="I62" s="18"/>
      <c r="J62" s="42"/>
      <c r="K62" s="18"/>
      <c r="L62" s="18"/>
      <c r="M62" s="18"/>
      <c r="P62" s="18"/>
      <c r="Q62" s="18"/>
      <c r="R62" s="42"/>
      <c r="S62" s="18"/>
      <c r="T62" s="18"/>
      <c r="U62" s="18"/>
      <c r="V62" s="42"/>
      <c r="W62" s="18"/>
      <c r="X62" s="18"/>
    </row>
    <row r="63" spans="1:26" x14ac:dyDescent="0.25">
      <c r="D63" s="18"/>
      <c r="E63" s="18"/>
      <c r="G63" s="18"/>
      <c r="H63" s="18"/>
      <c r="I63" s="18"/>
      <c r="J63" s="42"/>
      <c r="K63" s="18"/>
      <c r="L63" s="18"/>
      <c r="M63" s="18"/>
      <c r="P63" s="18"/>
      <c r="Q63" s="18"/>
      <c r="R63" s="42"/>
      <c r="S63" s="18"/>
      <c r="T63" s="18"/>
      <c r="U63" s="18"/>
      <c r="V63" s="42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7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307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1488001.7999999996</v>
      </c>
      <c r="E12" s="4"/>
      <c r="F12" s="12"/>
      <c r="G12" s="4"/>
      <c r="H12" s="4">
        <f>SUM(OSRRefH13x_0)</f>
        <v>1525297.39</v>
      </c>
      <c r="I12" s="4"/>
      <c r="J12" s="12"/>
      <c r="K12" s="4"/>
      <c r="L12" s="4">
        <f t="shared" ref="L12:L106" si="0">+D12-H12</f>
        <v>-37295.590000000317</v>
      </c>
      <c r="M12" s="4"/>
      <c r="N12" s="12">
        <f t="shared" ref="N12:N106" si="1">IF(H12=0,0,L12/H12)</f>
        <v>-2.4451356335173639E-2</v>
      </c>
      <c r="O12" s="10"/>
      <c r="P12" s="4">
        <f>SUM(OSRRefP13x_0)</f>
        <v>4730489.1699999981</v>
      </c>
      <c r="Q12" s="4"/>
      <c r="R12" s="12"/>
      <c r="S12" s="4"/>
      <c r="T12" s="4">
        <f>SUM(OSRRefT13x_0)</f>
        <v>5131482.2299999995</v>
      </c>
      <c r="U12" s="4"/>
      <c r="V12" s="12"/>
      <c r="W12" s="4"/>
      <c r="X12" s="4">
        <f t="shared" ref="X12:X106" si="2">+P12-T12</f>
        <v>-400993.06000000145</v>
      </c>
      <c r="Y12" s="4"/>
      <c r="Z12" s="12">
        <f t="shared" ref="Z12:Z106" si="3">IF(T12=0,0,X12/T12)</f>
        <v>-7.8143710145908762E-2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--336733.45</f>
        <v>336733.45</v>
      </c>
      <c r="E13" s="2"/>
      <c r="F13" s="19"/>
      <c r="G13" s="2"/>
      <c r="H13" s="2">
        <f>--387172.58</f>
        <v>387172.58</v>
      </c>
      <c r="I13" s="2"/>
      <c r="J13" s="19"/>
      <c r="K13" s="2"/>
      <c r="L13" s="2">
        <f t="shared" si="0"/>
        <v>-50439.130000000005</v>
      </c>
      <c r="M13" s="2"/>
      <c r="N13" s="19">
        <f t="shared" si="1"/>
        <v>-0.13027557375059981</v>
      </c>
      <c r="O13" s="11"/>
      <c r="P13" s="2">
        <f>--1463955.42</f>
        <v>1463955.42</v>
      </c>
      <c r="Q13" s="2"/>
      <c r="R13" s="19"/>
      <c r="S13" s="2"/>
      <c r="T13" s="2">
        <f>--1790410.26</f>
        <v>1790410.26</v>
      </c>
      <c r="U13" s="2"/>
      <c r="V13" s="19"/>
      <c r="W13" s="2"/>
      <c r="X13" s="2">
        <f t="shared" si="2"/>
        <v>-326454.84000000008</v>
      </c>
      <c r="Y13" s="2"/>
      <c r="Z13" s="19">
        <f t="shared" si="3"/>
        <v>-0.1823352151701812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--101849.66</f>
        <v>101849.66</v>
      </c>
      <c r="E14" s="2"/>
      <c r="F14" s="19"/>
      <c r="G14" s="2"/>
      <c r="H14" s="2">
        <f>--112136.18</f>
        <v>112136.18</v>
      </c>
      <c r="I14" s="2"/>
      <c r="J14" s="19"/>
      <c r="K14" s="2"/>
      <c r="L14" s="2">
        <f t="shared" si="0"/>
        <v>-10286.51999999999</v>
      </c>
      <c r="M14" s="2"/>
      <c r="N14" s="19">
        <f t="shared" si="1"/>
        <v>-9.1732391811456301E-2</v>
      </c>
      <c r="O14" s="11"/>
      <c r="P14" s="2">
        <f>--657310.58</f>
        <v>657310.57999999996</v>
      </c>
      <c r="Q14" s="2"/>
      <c r="R14" s="19"/>
      <c r="S14" s="2"/>
      <c r="T14" s="2">
        <f>--729460.37</f>
        <v>729460.37</v>
      </c>
      <c r="U14" s="2"/>
      <c r="V14" s="19"/>
      <c r="W14" s="2"/>
      <c r="X14" s="2">
        <f t="shared" si="2"/>
        <v>-72149.790000000037</v>
      </c>
      <c r="Y14" s="2"/>
      <c r="Z14" s="19">
        <f t="shared" si="3"/>
        <v>-9.8908443785643951E-2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--2800.64</f>
        <v>2800.64</v>
      </c>
      <c r="E15" s="2"/>
      <c r="F15" s="19"/>
      <c r="G15" s="2"/>
      <c r="H15" s="2">
        <f>--4333.45</f>
        <v>4333.45</v>
      </c>
      <c r="I15" s="2"/>
      <c r="J15" s="19"/>
      <c r="K15" s="2"/>
      <c r="L15" s="2">
        <f t="shared" si="0"/>
        <v>-1532.81</v>
      </c>
      <c r="M15" s="2"/>
      <c r="N15" s="19">
        <f t="shared" si="1"/>
        <v>-0.35371586149603662</v>
      </c>
      <c r="O15" s="11"/>
      <c r="P15" s="2">
        <f>--15536.69</f>
        <v>15536.69</v>
      </c>
      <c r="Q15" s="2"/>
      <c r="R15" s="19"/>
      <c r="S15" s="2"/>
      <c r="T15" s="2">
        <f>--9859.25</f>
        <v>9859.25</v>
      </c>
      <c r="U15" s="2"/>
      <c r="V15" s="19"/>
      <c r="W15" s="2"/>
      <c r="X15" s="2">
        <f t="shared" si="2"/>
        <v>5677.4400000000005</v>
      </c>
      <c r="Y15" s="2"/>
      <c r="Z15" s="19">
        <f t="shared" si="3"/>
        <v>0.57584907574105537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--7290.37</f>
        <v>7290.37</v>
      </c>
      <c r="E16" s="2"/>
      <c r="F16" s="19"/>
      <c r="G16" s="2"/>
      <c r="H16" s="2">
        <f>--4736.66</f>
        <v>4736.66</v>
      </c>
      <c r="I16" s="2"/>
      <c r="J16" s="19"/>
      <c r="K16" s="2"/>
      <c r="L16" s="2">
        <f t="shared" si="0"/>
        <v>2553.71</v>
      </c>
      <c r="M16" s="2"/>
      <c r="N16" s="19">
        <f t="shared" si="1"/>
        <v>0.53913728238885628</v>
      </c>
      <c r="O16" s="11"/>
      <c r="P16" s="2">
        <f>--29700.44</f>
        <v>29700.44</v>
      </c>
      <c r="Q16" s="2"/>
      <c r="R16" s="19"/>
      <c r="S16" s="2"/>
      <c r="T16" s="2">
        <f>--42099.8</f>
        <v>42099.8</v>
      </c>
      <c r="U16" s="2"/>
      <c r="V16" s="19"/>
      <c r="W16" s="2"/>
      <c r="X16" s="2">
        <f t="shared" si="2"/>
        <v>-12399.360000000004</v>
      </c>
      <c r="Y16" s="2"/>
      <c r="Z16" s="19">
        <f t="shared" si="3"/>
        <v>-0.29452301436111344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--9.6</f>
        <v>9.6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9.6</v>
      </c>
      <c r="M17" s="2"/>
      <c r="N17" s="19">
        <f t="shared" si="1"/>
        <v>0</v>
      </c>
      <c r="O17" s="11"/>
      <c r="P17" s="2">
        <f>--9.6</f>
        <v>9.6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9.6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--29.95</f>
        <v>29.95</v>
      </c>
      <c r="E18" s="2"/>
      <c r="F18" s="19"/>
      <c r="G18" s="2"/>
      <c r="H18" s="2">
        <f>--187.31</f>
        <v>187.31</v>
      </c>
      <c r="I18" s="2"/>
      <c r="J18" s="19"/>
      <c r="K18" s="2"/>
      <c r="L18" s="2">
        <f t="shared" si="0"/>
        <v>-157.36000000000001</v>
      </c>
      <c r="M18" s="2"/>
      <c r="N18" s="19">
        <f t="shared" si="1"/>
        <v>-0.84010463936789281</v>
      </c>
      <c r="O18" s="11"/>
      <c r="P18" s="2">
        <f>--140.76</f>
        <v>140.76</v>
      </c>
      <c r="Q18" s="2"/>
      <c r="R18" s="19"/>
      <c r="S18" s="2"/>
      <c r="T18" s="2">
        <f>--1272.98</f>
        <v>1272.98</v>
      </c>
      <c r="U18" s="2"/>
      <c r="V18" s="19"/>
      <c r="W18" s="2"/>
      <c r="X18" s="2">
        <f t="shared" si="2"/>
        <v>-1132.22</v>
      </c>
      <c r="Y18" s="2"/>
      <c r="Z18" s="19">
        <f t="shared" si="3"/>
        <v>-0.88942481421546293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--97.44</f>
        <v>97.44</v>
      </c>
      <c r="E19" s="2"/>
      <c r="F19" s="19"/>
      <c r="G19" s="2"/>
      <c r="H19" s="2">
        <f>--240.36</f>
        <v>240.36</v>
      </c>
      <c r="I19" s="2"/>
      <c r="J19" s="19"/>
      <c r="K19" s="2"/>
      <c r="L19" s="2">
        <f t="shared" si="0"/>
        <v>-142.92000000000002</v>
      </c>
      <c r="M19" s="2"/>
      <c r="N19" s="19">
        <f t="shared" si="1"/>
        <v>-0.59460808786819774</v>
      </c>
      <c r="O19" s="11"/>
      <c r="P19" s="2">
        <f>--523.09</f>
        <v>523.09</v>
      </c>
      <c r="Q19" s="2"/>
      <c r="R19" s="19"/>
      <c r="S19" s="2"/>
      <c r="T19" s="2">
        <f>--587.87</f>
        <v>587.87</v>
      </c>
      <c r="U19" s="2"/>
      <c r="V19" s="19"/>
      <c r="W19" s="2"/>
      <c r="X19" s="2">
        <f t="shared" si="2"/>
        <v>-64.779999999999973</v>
      </c>
      <c r="Y19" s="2"/>
      <c r="Z19" s="19">
        <f t="shared" si="3"/>
        <v>-0.11019443074149042</v>
      </c>
    </row>
    <row r="20" spans="1:26" s="24" customFormat="1" hidden="1" outlineLevel="1" x14ac:dyDescent="0.25">
      <c r="A20" s="44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--65.39</f>
        <v>65.39</v>
      </c>
      <c r="E20" s="2"/>
      <c r="F20" s="19"/>
      <c r="G20" s="2"/>
      <c r="H20" s="2">
        <f>--8.94</f>
        <v>8.94</v>
      </c>
      <c r="I20" s="2"/>
      <c r="J20" s="19"/>
      <c r="K20" s="2"/>
      <c r="L20" s="2">
        <f t="shared" si="0"/>
        <v>56.45</v>
      </c>
      <c r="M20" s="2"/>
      <c r="N20" s="19">
        <f t="shared" si="1"/>
        <v>6.3143176733780768</v>
      </c>
      <c r="O20" s="11"/>
      <c r="P20" s="2">
        <f>--222.69</f>
        <v>222.69</v>
      </c>
      <c r="Q20" s="2"/>
      <c r="R20" s="19"/>
      <c r="S20" s="2"/>
      <c r="T20" s="2">
        <f>--609.29</f>
        <v>609.29</v>
      </c>
      <c r="U20" s="2"/>
      <c r="V20" s="19"/>
      <c r="W20" s="2"/>
      <c r="X20" s="2">
        <f t="shared" si="2"/>
        <v>-386.59999999999997</v>
      </c>
      <c r="Y20" s="2"/>
      <c r="Z20" s="19">
        <f t="shared" si="3"/>
        <v>-0.63450901869388954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--696.02</f>
        <v>696.02</v>
      </c>
      <c r="E21" s="2"/>
      <c r="F21" s="19"/>
      <c r="G21" s="2"/>
      <c r="H21" s="2">
        <f>--796.54</f>
        <v>796.54</v>
      </c>
      <c r="I21" s="2"/>
      <c r="J21" s="19"/>
      <c r="K21" s="2"/>
      <c r="L21" s="2">
        <f t="shared" si="0"/>
        <v>-100.51999999999998</v>
      </c>
      <c r="M21" s="2"/>
      <c r="N21" s="19">
        <f t="shared" si="1"/>
        <v>-0.1261957968212519</v>
      </c>
      <c r="O21" s="11"/>
      <c r="P21" s="2">
        <f>--2060.15</f>
        <v>2060.15</v>
      </c>
      <c r="Q21" s="2"/>
      <c r="R21" s="19"/>
      <c r="S21" s="2"/>
      <c r="T21" s="2">
        <f>--2826.61</f>
        <v>2826.61</v>
      </c>
      <c r="U21" s="2"/>
      <c r="V21" s="19"/>
      <c r="W21" s="2"/>
      <c r="X21" s="2">
        <f t="shared" si="2"/>
        <v>-766.46</v>
      </c>
      <c r="Y21" s="2"/>
      <c r="Z21" s="19">
        <f t="shared" si="3"/>
        <v>-0.27115873785205602</v>
      </c>
    </row>
    <row r="22" spans="1:26" s="24" customFormat="1" hidden="1" outlineLevel="1" x14ac:dyDescent="0.25">
      <c r="A22" s="44"/>
      <c r="B22" s="11" t="str">
        <f>CONCATENATE("          ", "4019", " - ", "TAXABLE SALES-BOOK RELATED")</f>
        <v xml:space="preserve">          4019 - TAXABLE SALES-BOOK RELATED</v>
      </c>
      <c r="C22" s="11"/>
      <c r="D22" s="2">
        <f>0</f>
        <v>0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--14.95</f>
        <v>14.95</v>
      </c>
      <c r="Q22" s="2"/>
      <c r="R22" s="19"/>
      <c r="S22" s="2"/>
      <c r="T22" s="2">
        <f>--39.9</f>
        <v>39.9</v>
      </c>
      <c r="U22" s="2"/>
      <c r="V22" s="19"/>
      <c r="W22" s="2"/>
      <c r="X22" s="2">
        <f t="shared" si="2"/>
        <v>-24.95</v>
      </c>
      <c r="Y22" s="2"/>
      <c r="Z22" s="19">
        <f t="shared" si="3"/>
        <v>-0.62531328320802004</v>
      </c>
    </row>
    <row r="23" spans="1:26" s="24" customFormat="1" hidden="1" outlineLevel="1" x14ac:dyDescent="0.25">
      <c r="A23" s="44"/>
      <c r="B23" s="11" t="str">
        <f>CONCATENATE("          ", "4025", " - ", "TAXABLE SALES-TEST FORMS")</f>
        <v xml:space="preserve">          4025 - TAXABLE SALES-TEST FORMS</v>
      </c>
      <c r="C23" s="11"/>
      <c r="D23" s="2">
        <f>--11837.54</f>
        <v>11837.54</v>
      </c>
      <c r="E23" s="2"/>
      <c r="F23" s="19"/>
      <c r="G23" s="2"/>
      <c r="H23" s="2">
        <f>--11411.77</f>
        <v>11411.77</v>
      </c>
      <c r="I23" s="2"/>
      <c r="J23" s="19"/>
      <c r="K23" s="2"/>
      <c r="L23" s="2">
        <f t="shared" si="0"/>
        <v>425.77000000000044</v>
      </c>
      <c r="M23" s="2"/>
      <c r="N23" s="19">
        <f t="shared" si="1"/>
        <v>3.7309724959405981E-2</v>
      </c>
      <c r="O23" s="11"/>
      <c r="P23" s="2">
        <f>--16296.07</f>
        <v>16296.07</v>
      </c>
      <c r="Q23" s="2"/>
      <c r="R23" s="19"/>
      <c r="S23" s="2"/>
      <c r="T23" s="2">
        <f>--16299.42</f>
        <v>16299.42</v>
      </c>
      <c r="U23" s="2"/>
      <c r="V23" s="19"/>
      <c r="W23" s="2"/>
      <c r="X23" s="2">
        <f t="shared" si="2"/>
        <v>-3.3500000000003638</v>
      </c>
      <c r="Y23" s="2"/>
      <c r="Z23" s="19">
        <f t="shared" si="3"/>
        <v>-2.0552878568687498E-4</v>
      </c>
    </row>
    <row r="24" spans="1:26" s="24" customFormat="1" hidden="1" outlineLevel="1" x14ac:dyDescent="0.25">
      <c r="A24" s="44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>--11722.76</f>
        <v>11722.76</v>
      </c>
      <c r="E24" s="2"/>
      <c r="F24" s="19"/>
      <c r="G24" s="2"/>
      <c r="H24" s="2">
        <f>--10857.34</f>
        <v>10857.34</v>
      </c>
      <c r="I24" s="2"/>
      <c r="J24" s="19"/>
      <c r="K24" s="2"/>
      <c r="L24" s="2">
        <f t="shared" si="0"/>
        <v>865.42000000000007</v>
      </c>
      <c r="M24" s="2"/>
      <c r="N24" s="19">
        <f t="shared" si="1"/>
        <v>7.9708289507374741E-2</v>
      </c>
      <c r="O24" s="11"/>
      <c r="P24" s="2">
        <f>--24499.3</f>
        <v>24499.3</v>
      </c>
      <c r="Q24" s="2"/>
      <c r="R24" s="19"/>
      <c r="S24" s="2"/>
      <c r="T24" s="2">
        <f>--23460.2</f>
        <v>23460.2</v>
      </c>
      <c r="U24" s="2"/>
      <c r="V24" s="19"/>
      <c r="W24" s="2"/>
      <c r="X24" s="2">
        <f t="shared" si="2"/>
        <v>1039.0999999999985</v>
      </c>
      <c r="Y24" s="2"/>
      <c r="Z24" s="19">
        <f t="shared" si="3"/>
        <v>4.4292035021014253E-2</v>
      </c>
    </row>
    <row r="25" spans="1:26" s="24" customFormat="1" hidden="1" outlineLevel="1" x14ac:dyDescent="0.25">
      <c r="A25" s="44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--44221.34</f>
        <v>44221.34</v>
      </c>
      <c r="E25" s="2"/>
      <c r="F25" s="19"/>
      <c r="G25" s="2"/>
      <c r="H25" s="2">
        <f>--41690.67</f>
        <v>41690.67</v>
      </c>
      <c r="I25" s="2"/>
      <c r="J25" s="19"/>
      <c r="K25" s="2"/>
      <c r="L25" s="2">
        <f t="shared" si="0"/>
        <v>2530.6699999999983</v>
      </c>
      <c r="M25" s="2"/>
      <c r="N25" s="19">
        <f t="shared" si="1"/>
        <v>6.070111130380007E-2</v>
      </c>
      <c r="O25" s="11"/>
      <c r="P25" s="2">
        <f>--123320.59</f>
        <v>123320.59</v>
      </c>
      <c r="Q25" s="2"/>
      <c r="R25" s="19"/>
      <c r="S25" s="2"/>
      <c r="T25" s="2">
        <f>--114994.05</f>
        <v>114994.05</v>
      </c>
      <c r="U25" s="2"/>
      <c r="V25" s="19"/>
      <c r="W25" s="2"/>
      <c r="X25" s="2">
        <f t="shared" si="2"/>
        <v>8326.5399999999936</v>
      </c>
      <c r="Y25" s="2"/>
      <c r="Z25" s="19">
        <f t="shared" si="3"/>
        <v>7.2408442001999182E-2</v>
      </c>
    </row>
    <row r="26" spans="1:26" s="24" customFormat="1" hidden="1" outlineLevel="1" x14ac:dyDescent="0.25">
      <c r="A26" s="44"/>
      <c r="B26" s="11" t="str">
        <f>CONCATENATE("          ", "4028", " - ", "TAXABLE SALES-ART/TECH")</f>
        <v xml:space="preserve">          4028 - TAXABLE SALES-ART/TECH</v>
      </c>
      <c r="C26" s="11"/>
      <c r="D26" s="2">
        <f>--51812.13</f>
        <v>51812.13</v>
      </c>
      <c r="E26" s="2"/>
      <c r="F26" s="19"/>
      <c r="G26" s="2"/>
      <c r="H26" s="2">
        <f>--51988.15</f>
        <v>51988.15</v>
      </c>
      <c r="I26" s="2"/>
      <c r="J26" s="19"/>
      <c r="K26" s="2"/>
      <c r="L26" s="2">
        <f t="shared" si="0"/>
        <v>-176.02000000000407</v>
      </c>
      <c r="M26" s="2"/>
      <c r="N26" s="19">
        <f t="shared" si="1"/>
        <v>-3.3857715652510058E-3</v>
      </c>
      <c r="O26" s="11"/>
      <c r="P26" s="2">
        <f>--100727.68</f>
        <v>100727.67999999999</v>
      </c>
      <c r="Q26" s="2"/>
      <c r="R26" s="19"/>
      <c r="S26" s="2"/>
      <c r="T26" s="2">
        <f>--99687.8</f>
        <v>99687.8</v>
      </c>
      <c r="U26" s="2"/>
      <c r="V26" s="19"/>
      <c r="W26" s="2"/>
      <c r="X26" s="2">
        <f t="shared" si="2"/>
        <v>1039.8799999999901</v>
      </c>
      <c r="Y26" s="2"/>
      <c r="Z26" s="19">
        <f t="shared" si="3"/>
        <v>1.0431366726921349E-2</v>
      </c>
    </row>
    <row r="27" spans="1:26" s="24" customFormat="1" hidden="1" outlineLevel="1" x14ac:dyDescent="0.25">
      <c r="A27" s="44"/>
      <c r="B27" s="11" t="str">
        <f>CONCATENATE("          ", "4031", " - ", "TAXABLE SALES-FOOD")</f>
        <v xml:space="preserve">          4031 - TAXABLE SALES-FOOD</v>
      </c>
      <c r="C27" s="11"/>
      <c r="D27" s="2">
        <f>--88.48</f>
        <v>88.48</v>
      </c>
      <c r="E27" s="2"/>
      <c r="F27" s="19"/>
      <c r="G27" s="2"/>
      <c r="H27" s="2">
        <f>--70.12</f>
        <v>70.12</v>
      </c>
      <c r="I27" s="2"/>
      <c r="J27" s="19"/>
      <c r="K27" s="2"/>
      <c r="L27" s="2">
        <f t="shared" si="0"/>
        <v>18.36</v>
      </c>
      <c r="M27" s="2"/>
      <c r="N27" s="19">
        <f t="shared" si="1"/>
        <v>0.26183685111237875</v>
      </c>
      <c r="O27" s="11"/>
      <c r="P27" s="2">
        <f>--120.82</f>
        <v>120.82</v>
      </c>
      <c r="Q27" s="2"/>
      <c r="R27" s="19"/>
      <c r="S27" s="2"/>
      <c r="T27" s="2">
        <f>--115.06</f>
        <v>115.06</v>
      </c>
      <c r="U27" s="2"/>
      <c r="V27" s="19"/>
      <c r="W27" s="2"/>
      <c r="X27" s="2">
        <f t="shared" si="2"/>
        <v>5.7599999999999909</v>
      </c>
      <c r="Y27" s="2"/>
      <c r="Z27" s="19">
        <f t="shared" si="3"/>
        <v>5.0060837823744056E-2</v>
      </c>
    </row>
    <row r="28" spans="1:26" s="24" customFormat="1" hidden="1" outlineLevel="1" x14ac:dyDescent="0.25">
      <c r="A28" s="44"/>
      <c r="B28" s="11" t="str">
        <f>CONCATENATE("          ", "4032", " - ", "TAXABLE SALES-JUICE")</f>
        <v xml:space="preserve">          4032 - TAXABLE SALES-JUICE</v>
      </c>
      <c r="C28" s="11"/>
      <c r="D28" s="2">
        <f>--47924.5</f>
        <v>47924.5</v>
      </c>
      <c r="E28" s="2"/>
      <c r="F28" s="19"/>
      <c r="G28" s="2"/>
      <c r="H28" s="2">
        <f>--50382.09</f>
        <v>50382.09</v>
      </c>
      <c r="I28" s="2"/>
      <c r="J28" s="19"/>
      <c r="K28" s="2"/>
      <c r="L28" s="2">
        <f t="shared" si="0"/>
        <v>-2457.5899999999965</v>
      </c>
      <c r="M28" s="2"/>
      <c r="N28" s="19">
        <f t="shared" si="1"/>
        <v>-4.8779040329609127E-2</v>
      </c>
      <c r="O28" s="11"/>
      <c r="P28" s="2">
        <f>--72677.69</f>
        <v>72677.69</v>
      </c>
      <c r="Q28" s="2"/>
      <c r="R28" s="19"/>
      <c r="S28" s="2"/>
      <c r="T28" s="2">
        <f>--76597.27</f>
        <v>76597.27</v>
      </c>
      <c r="U28" s="2"/>
      <c r="V28" s="19"/>
      <c r="W28" s="2"/>
      <c r="X28" s="2">
        <f t="shared" si="2"/>
        <v>-3919.5800000000017</v>
      </c>
      <c r="Y28" s="2"/>
      <c r="Z28" s="19">
        <f t="shared" si="3"/>
        <v>-5.117127542535134E-2</v>
      </c>
    </row>
    <row r="29" spans="1:26" s="24" customFormat="1" hidden="1" outlineLevel="1" x14ac:dyDescent="0.25">
      <c r="A29" s="44"/>
      <c r="B29" s="11" t="str">
        <f>CONCATENATE("          ", "4033", " - ", "TAXABLE SALES-CANDY")</f>
        <v xml:space="preserve">          4033 - TAXABLE SALES-CANDY</v>
      </c>
      <c r="C29" s="11"/>
      <c r="D29" s="2">
        <f>--27.97</f>
        <v>27.97</v>
      </c>
      <c r="E29" s="2"/>
      <c r="F29" s="19"/>
      <c r="G29" s="2"/>
      <c r="H29" s="2">
        <f>--26.81</f>
        <v>26.81</v>
      </c>
      <c r="I29" s="2"/>
      <c r="J29" s="19"/>
      <c r="K29" s="2"/>
      <c r="L29" s="2">
        <f t="shared" si="0"/>
        <v>1.1600000000000001</v>
      </c>
      <c r="M29" s="2"/>
      <c r="N29" s="19">
        <f t="shared" si="1"/>
        <v>4.3267437523312205E-2</v>
      </c>
      <c r="O29" s="11"/>
      <c r="P29" s="2">
        <f>--40.97</f>
        <v>40.97</v>
      </c>
      <c r="Q29" s="2"/>
      <c r="R29" s="19"/>
      <c r="S29" s="2"/>
      <c r="T29" s="2">
        <f>--29.85</f>
        <v>29.85</v>
      </c>
      <c r="U29" s="2"/>
      <c r="V29" s="19"/>
      <c r="W29" s="2"/>
      <c r="X29" s="2">
        <f t="shared" si="2"/>
        <v>11.119999999999997</v>
      </c>
      <c r="Y29" s="2"/>
      <c r="Z29" s="19">
        <f t="shared" si="3"/>
        <v>0.37252931323283073</v>
      </c>
    </row>
    <row r="30" spans="1:26" s="24" customFormat="1" hidden="1" outlineLevel="1" x14ac:dyDescent="0.25">
      <c r="A30" s="44"/>
      <c r="B30" s="11" t="str">
        <f>CONCATENATE("          ", "4034", " - ", "TAXABLE SALES-SODA")</f>
        <v xml:space="preserve">          4034 - TAXABLE SALES-SODA</v>
      </c>
      <c r="C30" s="11"/>
      <c r="D30" s="2">
        <f>--2047.94</f>
        <v>2047.94</v>
      </c>
      <c r="E30" s="2"/>
      <c r="F30" s="19"/>
      <c r="G30" s="2"/>
      <c r="H30" s="2">
        <f>--1259.39</f>
        <v>1259.3900000000001</v>
      </c>
      <c r="I30" s="2"/>
      <c r="J30" s="19"/>
      <c r="K30" s="2"/>
      <c r="L30" s="2">
        <f t="shared" si="0"/>
        <v>788.55</v>
      </c>
      <c r="M30" s="2"/>
      <c r="N30" s="19">
        <f t="shared" si="1"/>
        <v>0.62613646289076452</v>
      </c>
      <c r="O30" s="11"/>
      <c r="P30" s="2">
        <f>--3009.88</f>
        <v>3009.88</v>
      </c>
      <c r="Q30" s="2"/>
      <c r="R30" s="19"/>
      <c r="S30" s="2"/>
      <c r="T30" s="2">
        <f>--2155.18</f>
        <v>2155.1799999999998</v>
      </c>
      <c r="U30" s="2"/>
      <c r="V30" s="19"/>
      <c r="W30" s="2"/>
      <c r="X30" s="2">
        <f t="shared" si="2"/>
        <v>854.70000000000027</v>
      </c>
      <c r="Y30" s="2"/>
      <c r="Z30" s="19">
        <f t="shared" si="3"/>
        <v>0.39657940404049791</v>
      </c>
    </row>
    <row r="31" spans="1:26" s="24" customFormat="1" hidden="1" outlineLevel="1" x14ac:dyDescent="0.25">
      <c r="A31" s="44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>--339.98</f>
        <v>339.98</v>
      </c>
      <c r="E31" s="2"/>
      <c r="F31" s="19"/>
      <c r="G31" s="2"/>
      <c r="H31" s="2">
        <f>--481.21</f>
        <v>481.21</v>
      </c>
      <c r="I31" s="2"/>
      <c r="J31" s="19"/>
      <c r="K31" s="2"/>
      <c r="L31" s="2">
        <f t="shared" si="0"/>
        <v>-141.22999999999996</v>
      </c>
      <c r="M31" s="2"/>
      <c r="N31" s="19">
        <f t="shared" si="1"/>
        <v>-0.29348932898318814</v>
      </c>
      <c r="O31" s="11"/>
      <c r="P31" s="2">
        <f>--438.43</f>
        <v>438.43</v>
      </c>
      <c r="Q31" s="2"/>
      <c r="R31" s="19"/>
      <c r="S31" s="2"/>
      <c r="T31" s="2">
        <f>--626.84</f>
        <v>626.84</v>
      </c>
      <c r="U31" s="2"/>
      <c r="V31" s="19"/>
      <c r="W31" s="2"/>
      <c r="X31" s="2">
        <f t="shared" si="2"/>
        <v>-188.41000000000003</v>
      </c>
      <c r="Y31" s="2"/>
      <c r="Z31" s="19">
        <f t="shared" si="3"/>
        <v>-0.30057111862676283</v>
      </c>
    </row>
    <row r="32" spans="1:26" s="24" customFormat="1" hidden="1" outlineLevel="1" x14ac:dyDescent="0.25">
      <c r="A32" s="44"/>
      <c r="B32" s="11" t="str">
        <f>CONCATENATE("          ", "4037", " - ", "TAXABLE SALES-WATER")</f>
        <v xml:space="preserve">          4037 - TAXABLE SALES-WATER</v>
      </c>
      <c r="C32" s="11"/>
      <c r="D32" s="2">
        <f>--131.98</f>
        <v>131.97999999999999</v>
      </c>
      <c r="E32" s="2"/>
      <c r="F32" s="19"/>
      <c r="G32" s="2"/>
      <c r="H32" s="2">
        <f>--123.97</f>
        <v>123.97</v>
      </c>
      <c r="I32" s="2"/>
      <c r="J32" s="19"/>
      <c r="K32" s="2"/>
      <c r="L32" s="2">
        <f t="shared" si="0"/>
        <v>8.0099999999999909</v>
      </c>
      <c r="M32" s="2"/>
      <c r="N32" s="19">
        <f t="shared" si="1"/>
        <v>6.4612406227312985E-2</v>
      </c>
      <c r="O32" s="11"/>
      <c r="P32" s="2">
        <f>--174.15</f>
        <v>174.15</v>
      </c>
      <c r="Q32" s="2"/>
      <c r="R32" s="19"/>
      <c r="S32" s="2"/>
      <c r="T32" s="2">
        <f>--157.24</f>
        <v>157.24</v>
      </c>
      <c r="U32" s="2"/>
      <c r="V32" s="19"/>
      <c r="W32" s="2"/>
      <c r="X32" s="2">
        <f t="shared" si="2"/>
        <v>16.909999999999997</v>
      </c>
      <c r="Y32" s="2"/>
      <c r="Z32" s="19">
        <f t="shared" si="3"/>
        <v>0.10754261002289491</v>
      </c>
    </row>
    <row r="33" spans="1:26" s="24" customFormat="1" hidden="1" outlineLevel="1" x14ac:dyDescent="0.25">
      <c r="A33" s="44"/>
      <c r="B33" s="11" t="str">
        <f>CONCATENATE("          ", "4040", " - ", "TAXABLE SALES-LOGO CLOTHING")</f>
        <v xml:space="preserve">          4040 - TAXABLE SALES-LOGO CLOTHING</v>
      </c>
      <c r="C33" s="11"/>
      <c r="D33" s="2">
        <f>--243145.84</f>
        <v>243145.84</v>
      </c>
      <c r="E33" s="2"/>
      <c r="F33" s="19"/>
      <c r="G33" s="2"/>
      <c r="H33" s="2">
        <f>--213321</f>
        <v>213321</v>
      </c>
      <c r="I33" s="2"/>
      <c r="J33" s="19"/>
      <c r="K33" s="2"/>
      <c r="L33" s="2">
        <f t="shared" si="0"/>
        <v>29824.839999999997</v>
      </c>
      <c r="M33" s="2"/>
      <c r="N33" s="19">
        <f t="shared" si="1"/>
        <v>0.13981202038242835</v>
      </c>
      <c r="O33" s="11"/>
      <c r="P33" s="2">
        <f>--632899.52</f>
        <v>632899.52</v>
      </c>
      <c r="Q33" s="2"/>
      <c r="R33" s="19"/>
      <c r="S33" s="2"/>
      <c r="T33" s="2">
        <f>--543157.35</f>
        <v>543157.35</v>
      </c>
      <c r="U33" s="2"/>
      <c r="V33" s="19"/>
      <c r="W33" s="2"/>
      <c r="X33" s="2">
        <f t="shared" si="2"/>
        <v>89742.170000000042</v>
      </c>
      <c r="Y33" s="2"/>
      <c r="Z33" s="19">
        <f t="shared" si="3"/>
        <v>0.16522315310655383</v>
      </c>
    </row>
    <row r="34" spans="1:26" s="24" customFormat="1" hidden="1" outlineLevel="1" x14ac:dyDescent="0.25">
      <c r="A34" s="44"/>
      <c r="B34" s="11" t="str">
        <f>CONCATENATE("          ", "4041", " - ", "TAXABLE SALES-LOGO GIFTS")</f>
        <v xml:space="preserve">          4041 - TAXABLE SALES-LOGO GIFTS</v>
      </c>
      <c r="C34" s="11"/>
      <c r="D34" s="2">
        <f>--49940.2</f>
        <v>49940.2</v>
      </c>
      <c r="E34" s="2"/>
      <c r="F34" s="19"/>
      <c r="G34" s="2"/>
      <c r="H34" s="2">
        <f>--57168.91</f>
        <v>57168.91</v>
      </c>
      <c r="I34" s="2"/>
      <c r="J34" s="19"/>
      <c r="K34" s="2"/>
      <c r="L34" s="2">
        <f t="shared" si="0"/>
        <v>-7228.7100000000064</v>
      </c>
      <c r="M34" s="2"/>
      <c r="N34" s="19">
        <f t="shared" si="1"/>
        <v>-0.12644477566565474</v>
      </c>
      <c r="O34" s="11"/>
      <c r="P34" s="2">
        <f>--201632.61</f>
        <v>201632.61</v>
      </c>
      <c r="Q34" s="2"/>
      <c r="R34" s="19"/>
      <c r="S34" s="2"/>
      <c r="T34" s="2">
        <f>--206952.26</f>
        <v>206952.26</v>
      </c>
      <c r="U34" s="2"/>
      <c r="V34" s="19"/>
      <c r="W34" s="2"/>
      <c r="X34" s="2">
        <f t="shared" si="2"/>
        <v>-5319.6500000000233</v>
      </c>
      <c r="Y34" s="2"/>
      <c r="Z34" s="19">
        <f t="shared" si="3"/>
        <v>-2.5704720499307537E-2</v>
      </c>
    </row>
    <row r="35" spans="1:26" s="24" customFormat="1" hidden="1" outlineLevel="1" x14ac:dyDescent="0.25">
      <c r="A35" s="44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--35079.3</f>
        <v>35079.300000000003</v>
      </c>
      <c r="E35" s="2"/>
      <c r="F35" s="19"/>
      <c r="G35" s="2"/>
      <c r="H35" s="2">
        <f>--29444.47</f>
        <v>29444.47</v>
      </c>
      <c r="I35" s="2"/>
      <c r="J35" s="19"/>
      <c r="K35" s="2"/>
      <c r="L35" s="2">
        <f t="shared" si="0"/>
        <v>5634.8300000000017</v>
      </c>
      <c r="M35" s="2"/>
      <c r="N35" s="19">
        <f t="shared" si="1"/>
        <v>0.19137141880971204</v>
      </c>
      <c r="O35" s="11"/>
      <c r="P35" s="2">
        <f>--95118.27</f>
        <v>95118.27</v>
      </c>
      <c r="Q35" s="2"/>
      <c r="R35" s="19"/>
      <c r="S35" s="2"/>
      <c r="T35" s="2">
        <f>--72510.46</f>
        <v>72510.460000000006</v>
      </c>
      <c r="U35" s="2"/>
      <c r="V35" s="19"/>
      <c r="W35" s="2"/>
      <c r="X35" s="2">
        <f t="shared" si="2"/>
        <v>22607.809999999998</v>
      </c>
      <c r="Y35" s="2"/>
      <c r="Z35" s="19">
        <f t="shared" si="3"/>
        <v>0.31178687874825228</v>
      </c>
    </row>
    <row r="36" spans="1:26" s="24" customFormat="1" hidden="1" outlineLevel="1" x14ac:dyDescent="0.25">
      <c r="A36" s="44"/>
      <c r="B36" s="11" t="str">
        <f>CONCATENATE("          ", "4043", " - ", "TAXABLE SALES-CARDS")</f>
        <v xml:space="preserve">          4043 - TAXABLE SALES-CARDS</v>
      </c>
      <c r="C36" s="11"/>
      <c r="D36" s="2">
        <f>--272.36</f>
        <v>272.36</v>
      </c>
      <c r="E36" s="2"/>
      <c r="F36" s="19"/>
      <c r="G36" s="2"/>
      <c r="H36" s="2">
        <f>--402.42</f>
        <v>402.42</v>
      </c>
      <c r="I36" s="2"/>
      <c r="J36" s="19"/>
      <c r="K36" s="2"/>
      <c r="L36" s="2">
        <f t="shared" si="0"/>
        <v>-130.06</v>
      </c>
      <c r="M36" s="2"/>
      <c r="N36" s="19">
        <f t="shared" si="1"/>
        <v>-0.32319467223299042</v>
      </c>
      <c r="O36" s="11"/>
      <c r="P36" s="2">
        <f>--457.81</f>
        <v>457.81</v>
      </c>
      <c r="Q36" s="2"/>
      <c r="R36" s="19"/>
      <c r="S36" s="2"/>
      <c r="T36" s="2">
        <f>--815.9</f>
        <v>815.9</v>
      </c>
      <c r="U36" s="2"/>
      <c r="V36" s="19"/>
      <c r="W36" s="2"/>
      <c r="X36" s="2">
        <f t="shared" si="2"/>
        <v>-358.09</v>
      </c>
      <c r="Y36" s="2"/>
      <c r="Z36" s="19">
        <f t="shared" si="3"/>
        <v>-0.43888956980022059</v>
      </c>
    </row>
    <row r="37" spans="1:26" s="24" customFormat="1" hidden="1" outlineLevel="1" x14ac:dyDescent="0.25">
      <c r="A37" s="44"/>
      <c r="B37" s="11" t="str">
        <f>CONCATENATE("          ", "4044", " - ", "TAXABLE SALES-ACCESSORIES")</f>
        <v xml:space="preserve">          4044 - TAXABLE SALES-ACCESSORIES</v>
      </c>
      <c r="C37" s="11"/>
      <c r="D37" s="2">
        <f>--6451.34</f>
        <v>6451.34</v>
      </c>
      <c r="E37" s="2"/>
      <c r="F37" s="19"/>
      <c r="G37" s="2"/>
      <c r="H37" s="2">
        <f>--7404.65</f>
        <v>7404.65</v>
      </c>
      <c r="I37" s="2"/>
      <c r="J37" s="19"/>
      <c r="K37" s="2"/>
      <c r="L37" s="2">
        <f t="shared" si="0"/>
        <v>-953.30999999999949</v>
      </c>
      <c r="M37" s="2"/>
      <c r="N37" s="19">
        <f t="shared" si="1"/>
        <v>-0.12874477524258399</v>
      </c>
      <c r="O37" s="11"/>
      <c r="P37" s="2">
        <f>--28228.41</f>
        <v>28228.41</v>
      </c>
      <c r="Q37" s="2"/>
      <c r="R37" s="19"/>
      <c r="S37" s="2"/>
      <c r="T37" s="2">
        <f>--30810.43</f>
        <v>30810.43</v>
      </c>
      <c r="U37" s="2"/>
      <c r="V37" s="19"/>
      <c r="W37" s="2"/>
      <c r="X37" s="2">
        <f t="shared" si="2"/>
        <v>-2582.0200000000004</v>
      </c>
      <c r="Y37" s="2"/>
      <c r="Z37" s="19">
        <f t="shared" si="3"/>
        <v>-8.3803439289876852E-2</v>
      </c>
    </row>
    <row r="38" spans="1:26" s="24" customFormat="1" hidden="1" outlineLevel="1" x14ac:dyDescent="0.25">
      <c r="A38" s="44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--5803.07</f>
        <v>5803.07</v>
      </c>
      <c r="E38" s="2"/>
      <c r="F38" s="19"/>
      <c r="G38" s="2"/>
      <c r="H38" s="2">
        <f>--5627.36</f>
        <v>5627.36</v>
      </c>
      <c r="I38" s="2"/>
      <c r="J38" s="19"/>
      <c r="K38" s="2"/>
      <c r="L38" s="2">
        <f t="shared" si="0"/>
        <v>175.71000000000004</v>
      </c>
      <c r="M38" s="2"/>
      <c r="N38" s="19">
        <f t="shared" si="1"/>
        <v>3.1224233032896429E-2</v>
      </c>
      <c r="O38" s="11"/>
      <c r="P38" s="2">
        <f>--31327.11</f>
        <v>31327.11</v>
      </c>
      <c r="Q38" s="2"/>
      <c r="R38" s="19"/>
      <c r="S38" s="2"/>
      <c r="T38" s="2">
        <f>--48586.84</f>
        <v>48586.84</v>
      </c>
      <c r="U38" s="2"/>
      <c r="V38" s="19"/>
      <c r="W38" s="2"/>
      <c r="X38" s="2">
        <f t="shared" si="2"/>
        <v>-17259.729999999996</v>
      </c>
      <c r="Y38" s="2"/>
      <c r="Z38" s="19">
        <f t="shared" si="3"/>
        <v>-0.35523466848224738</v>
      </c>
    </row>
    <row r="39" spans="1:26" s="24" customFormat="1" hidden="1" outlineLevel="1" x14ac:dyDescent="0.25">
      <c r="A39" s="44"/>
      <c r="B39" s="11" t="str">
        <f>CONCATENATE("          ", "4047", " - ", "TAXABLE SALES-MISC")</f>
        <v xml:space="preserve">          4047 - TAXABLE SALES-MISC</v>
      </c>
      <c r="C39" s="11"/>
      <c r="D39" s="2">
        <f>--488.97</f>
        <v>488.97</v>
      </c>
      <c r="E39" s="2"/>
      <c r="F39" s="19"/>
      <c r="G39" s="2"/>
      <c r="H39" s="2">
        <f>--300.22</f>
        <v>300.22000000000003</v>
      </c>
      <c r="I39" s="2"/>
      <c r="J39" s="19"/>
      <c r="K39" s="2"/>
      <c r="L39" s="2">
        <f t="shared" si="0"/>
        <v>188.75</v>
      </c>
      <c r="M39" s="2"/>
      <c r="N39" s="19">
        <f t="shared" si="1"/>
        <v>0.62870561588168672</v>
      </c>
      <c r="O39" s="11"/>
      <c r="P39" s="2">
        <f>--971.35</f>
        <v>971.35</v>
      </c>
      <c r="Q39" s="2"/>
      <c r="R39" s="19"/>
      <c r="S39" s="2"/>
      <c r="T39" s="2">
        <f>--649.51</f>
        <v>649.51</v>
      </c>
      <c r="U39" s="2"/>
      <c r="V39" s="19"/>
      <c r="W39" s="2"/>
      <c r="X39" s="2">
        <f t="shared" si="2"/>
        <v>321.84000000000003</v>
      </c>
      <c r="Y39" s="2"/>
      <c r="Z39" s="19">
        <f t="shared" si="3"/>
        <v>0.49551200135486756</v>
      </c>
    </row>
    <row r="40" spans="1:26" s="24" customFormat="1" hidden="1" outlineLevel="1" x14ac:dyDescent="0.25">
      <c r="A40" s="44"/>
      <c r="B40" s="11" t="str">
        <f>CONCATENATE("          ", "4051", " - ", "TAXABLE SALES-FOOD")</f>
        <v xml:space="preserve">          4051 - TAXABLE SALES-FOOD</v>
      </c>
      <c r="C40" s="11"/>
      <c r="D40" s="2">
        <f>--27751.99</f>
        <v>27751.99</v>
      </c>
      <c r="E40" s="2"/>
      <c r="F40" s="19"/>
      <c r="G40" s="2"/>
      <c r="H40" s="2">
        <f>--32722.26</f>
        <v>32722.26</v>
      </c>
      <c r="I40" s="2"/>
      <c r="J40" s="19"/>
      <c r="K40" s="2"/>
      <c r="L40" s="2">
        <f t="shared" si="0"/>
        <v>-4970.2699999999968</v>
      </c>
      <c r="M40" s="2"/>
      <c r="N40" s="19">
        <f t="shared" si="1"/>
        <v>-0.15189262599832642</v>
      </c>
      <c r="O40" s="11"/>
      <c r="P40" s="2">
        <f>--38918.87</f>
        <v>38918.870000000003</v>
      </c>
      <c r="Q40" s="2"/>
      <c r="R40" s="19"/>
      <c r="S40" s="2"/>
      <c r="T40" s="2">
        <f>--46825.98</f>
        <v>46825.98</v>
      </c>
      <c r="U40" s="2"/>
      <c r="V40" s="19"/>
      <c r="W40" s="2"/>
      <c r="X40" s="2">
        <f t="shared" si="2"/>
        <v>-7907.1100000000006</v>
      </c>
      <c r="Y40" s="2"/>
      <c r="Z40" s="19">
        <f t="shared" si="3"/>
        <v>-0.16886160204228506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--650.56</f>
        <v>650.55999999999995</v>
      </c>
      <c r="E41" s="2"/>
      <c r="F41" s="19"/>
      <c r="G41" s="2"/>
      <c r="H41" s="2">
        <f>--910.32</f>
        <v>910.32</v>
      </c>
      <c r="I41" s="2"/>
      <c r="J41" s="19"/>
      <c r="K41" s="2"/>
      <c r="L41" s="2">
        <f t="shared" si="0"/>
        <v>-259.7600000000001</v>
      </c>
      <c r="M41" s="2"/>
      <c r="N41" s="19">
        <f t="shared" si="1"/>
        <v>-0.28535020652078402</v>
      </c>
      <c r="O41" s="11"/>
      <c r="P41" s="2">
        <f>--919.42</f>
        <v>919.42</v>
      </c>
      <c r="Q41" s="2"/>
      <c r="R41" s="19"/>
      <c r="S41" s="2"/>
      <c r="T41" s="2">
        <f>--1208.12</f>
        <v>1208.1199999999999</v>
      </c>
      <c r="U41" s="2"/>
      <c r="V41" s="19"/>
      <c r="W41" s="2"/>
      <c r="X41" s="2">
        <f t="shared" si="2"/>
        <v>-288.69999999999993</v>
      </c>
      <c r="Y41" s="2"/>
      <c r="Z41" s="19">
        <f t="shared" si="3"/>
        <v>-0.23896632784822697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--124</f>
        <v>124</v>
      </c>
      <c r="E42" s="2"/>
      <c r="F42" s="19"/>
      <c r="G42" s="2"/>
      <c r="H42" s="2">
        <f>--106</f>
        <v>106</v>
      </c>
      <c r="I42" s="2"/>
      <c r="J42" s="19"/>
      <c r="K42" s="2"/>
      <c r="L42" s="2">
        <f t="shared" si="0"/>
        <v>18</v>
      </c>
      <c r="M42" s="2"/>
      <c r="N42" s="19">
        <f t="shared" si="1"/>
        <v>0.16981132075471697</v>
      </c>
      <c r="O42" s="11"/>
      <c r="P42" s="2">
        <f>--162</f>
        <v>162</v>
      </c>
      <c r="Q42" s="2"/>
      <c r="R42" s="19"/>
      <c r="S42" s="2"/>
      <c r="T42" s="2">
        <f>--135</f>
        <v>135</v>
      </c>
      <c r="U42" s="2"/>
      <c r="V42" s="19"/>
      <c r="W42" s="2"/>
      <c r="X42" s="2">
        <f t="shared" si="2"/>
        <v>27</v>
      </c>
      <c r="Y42" s="2"/>
      <c r="Z42" s="19">
        <f t="shared" si="3"/>
        <v>0.2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--269.82</f>
        <v>269.82</v>
      </c>
      <c r="E43" s="2"/>
      <c r="F43" s="19"/>
      <c r="G43" s="2"/>
      <c r="H43" s="2">
        <f>--254.8</f>
        <v>254.8</v>
      </c>
      <c r="I43" s="2"/>
      <c r="J43" s="19"/>
      <c r="K43" s="2"/>
      <c r="L43" s="2">
        <f t="shared" si="0"/>
        <v>15.019999999999982</v>
      </c>
      <c r="M43" s="2"/>
      <c r="N43" s="19">
        <f t="shared" si="1"/>
        <v>5.8948194662480302E-2</v>
      </c>
      <c r="O43" s="11"/>
      <c r="P43" s="2">
        <f>--299.8</f>
        <v>299.8</v>
      </c>
      <c r="Q43" s="2"/>
      <c r="R43" s="19"/>
      <c r="S43" s="2"/>
      <c r="T43" s="2">
        <f>--389.68</f>
        <v>389.68</v>
      </c>
      <c r="U43" s="2"/>
      <c r="V43" s="19"/>
      <c r="W43" s="2"/>
      <c r="X43" s="2">
        <f t="shared" si="2"/>
        <v>-89.88</v>
      </c>
      <c r="Y43" s="2"/>
      <c r="Z43" s="19">
        <f t="shared" si="3"/>
        <v>-0.23065079039211658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--344.87</f>
        <v>344.87</v>
      </c>
      <c r="E44" s="2"/>
      <c r="F44" s="19"/>
      <c r="G44" s="2"/>
      <c r="H44" s="2">
        <f>--390.79</f>
        <v>390.79</v>
      </c>
      <c r="I44" s="2"/>
      <c r="J44" s="19"/>
      <c r="K44" s="2"/>
      <c r="L44" s="2">
        <f t="shared" si="0"/>
        <v>-45.920000000000016</v>
      </c>
      <c r="M44" s="2"/>
      <c r="N44" s="19">
        <f t="shared" si="1"/>
        <v>-0.11750556564906987</v>
      </c>
      <c r="O44" s="11"/>
      <c r="P44" s="2">
        <f>--453.82</f>
        <v>453.82</v>
      </c>
      <c r="Q44" s="2"/>
      <c r="R44" s="19"/>
      <c r="S44" s="2"/>
      <c r="T44" s="2">
        <f>--560.7</f>
        <v>560.70000000000005</v>
      </c>
      <c r="U44" s="2"/>
      <c r="V44" s="19"/>
      <c r="W44" s="2"/>
      <c r="X44" s="2">
        <f t="shared" si="2"/>
        <v>-106.88000000000005</v>
      </c>
      <c r="Y44" s="2"/>
      <c r="Z44" s="19">
        <f t="shared" si="3"/>
        <v>-0.19061886927055474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>--49.9</f>
        <v>49.9</v>
      </c>
      <c r="E45" s="2"/>
      <c r="F45" s="19"/>
      <c r="G45" s="2"/>
      <c r="H45" s="2">
        <f>--49.9</f>
        <v>49.9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--3872.63</f>
        <v>3872.63</v>
      </c>
      <c r="Q45" s="2"/>
      <c r="R45" s="19"/>
      <c r="S45" s="2"/>
      <c r="T45" s="2">
        <f>--4066.3</f>
        <v>4066.3</v>
      </c>
      <c r="U45" s="2"/>
      <c r="V45" s="19"/>
      <c r="W45" s="2"/>
      <c r="X45" s="2">
        <f t="shared" si="2"/>
        <v>-193.67000000000007</v>
      </c>
      <c r="Y45" s="2"/>
      <c r="Z45" s="19">
        <f t="shared" si="3"/>
        <v>-4.7628064825517069E-2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>--26.83</f>
        <v>26.83</v>
      </c>
      <c r="E46" s="2"/>
      <c r="F46" s="19"/>
      <c r="G46" s="2"/>
      <c r="H46" s="2">
        <f>--106.96</f>
        <v>106.96</v>
      </c>
      <c r="I46" s="2"/>
      <c r="J46" s="19"/>
      <c r="K46" s="2"/>
      <c r="L46" s="2">
        <f t="shared" si="0"/>
        <v>-80.13</v>
      </c>
      <c r="M46" s="2"/>
      <c r="N46" s="19">
        <f t="shared" si="1"/>
        <v>-0.74915856394913982</v>
      </c>
      <c r="O46" s="11"/>
      <c r="P46" s="2">
        <f>--200.85</f>
        <v>200.85</v>
      </c>
      <c r="Q46" s="2"/>
      <c r="R46" s="19"/>
      <c r="S46" s="2"/>
      <c r="T46" s="2">
        <f>--620.77</f>
        <v>620.77</v>
      </c>
      <c r="U46" s="2"/>
      <c r="V46" s="19"/>
      <c r="W46" s="2"/>
      <c r="X46" s="2">
        <f t="shared" si="2"/>
        <v>-419.91999999999996</v>
      </c>
      <c r="Y46" s="2"/>
      <c r="Z46" s="19">
        <f t="shared" si="3"/>
        <v>-0.67645021505549552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--66153.34</f>
        <v>66153.34</v>
      </c>
      <c r="E47" s="2"/>
      <c r="F47" s="19"/>
      <c r="G47" s="2"/>
      <c r="H47" s="2">
        <f>--74429.25</f>
        <v>74429.25</v>
      </c>
      <c r="I47" s="2"/>
      <c r="J47" s="19"/>
      <c r="K47" s="2"/>
      <c r="L47" s="2">
        <f t="shared" si="0"/>
        <v>-8275.9100000000035</v>
      </c>
      <c r="M47" s="2"/>
      <c r="N47" s="19">
        <f t="shared" si="1"/>
        <v>-0.11119163500908585</v>
      </c>
      <c r="O47" s="11"/>
      <c r="P47" s="2">
        <f>--331667.77</f>
        <v>331667.77</v>
      </c>
      <c r="Q47" s="2"/>
      <c r="R47" s="19"/>
      <c r="S47" s="2"/>
      <c r="T47" s="2">
        <f>--385488.41</f>
        <v>385488.41</v>
      </c>
      <c r="U47" s="2"/>
      <c r="V47" s="19"/>
      <c r="W47" s="2"/>
      <c r="X47" s="2">
        <f t="shared" si="2"/>
        <v>-53820.639999999956</v>
      </c>
      <c r="Y47" s="2"/>
      <c r="Z47" s="19">
        <f t="shared" si="3"/>
        <v>-0.13961675268006102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--27999.53</f>
        <v>27999.53</v>
      </c>
      <c r="E48" s="2"/>
      <c r="F48" s="19"/>
      <c r="G48" s="2"/>
      <c r="H48" s="2">
        <f>--51572.49</f>
        <v>51572.49</v>
      </c>
      <c r="I48" s="2"/>
      <c r="J48" s="19"/>
      <c r="K48" s="2"/>
      <c r="L48" s="2">
        <f t="shared" si="0"/>
        <v>-23572.959999999999</v>
      </c>
      <c r="M48" s="2"/>
      <c r="N48" s="19">
        <f t="shared" si="1"/>
        <v>-0.45708399962848412</v>
      </c>
      <c r="O48" s="11"/>
      <c r="P48" s="2">
        <f>--83892.55</f>
        <v>83892.55</v>
      </c>
      <c r="Q48" s="2"/>
      <c r="R48" s="19"/>
      <c r="S48" s="2"/>
      <c r="T48" s="2">
        <f>--141019.7</f>
        <v>141019.70000000001</v>
      </c>
      <c r="U48" s="2"/>
      <c r="V48" s="19"/>
      <c r="W48" s="2"/>
      <c r="X48" s="2">
        <f t="shared" si="2"/>
        <v>-57127.150000000009</v>
      </c>
      <c r="Y48" s="2"/>
      <c r="Z48" s="19">
        <f t="shared" si="3"/>
        <v>-0.40510049305168006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--3969.18</f>
        <v>3969.18</v>
      </c>
      <c r="E49" s="2"/>
      <c r="F49" s="19"/>
      <c r="G49" s="2"/>
      <c r="H49" s="2">
        <f>--7949.5</f>
        <v>7949.5</v>
      </c>
      <c r="I49" s="2"/>
      <c r="J49" s="19"/>
      <c r="K49" s="2"/>
      <c r="L49" s="2">
        <f t="shared" si="0"/>
        <v>-3980.32</v>
      </c>
      <c r="M49" s="2"/>
      <c r="N49" s="19">
        <f t="shared" si="1"/>
        <v>-0.50070067299830179</v>
      </c>
      <c r="O49" s="11"/>
      <c r="P49" s="2">
        <f>--36443.51</f>
        <v>36443.51</v>
      </c>
      <c r="Q49" s="2"/>
      <c r="R49" s="19"/>
      <c r="S49" s="2"/>
      <c r="T49" s="2">
        <f>--49251.93</f>
        <v>49251.93</v>
      </c>
      <c r="U49" s="2"/>
      <c r="V49" s="19"/>
      <c r="W49" s="2"/>
      <c r="X49" s="2">
        <f t="shared" si="2"/>
        <v>-12808.419999999998</v>
      </c>
      <c r="Y49" s="2"/>
      <c r="Z49" s="19">
        <f t="shared" si="3"/>
        <v>-0.26005925046998152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-144.99</f>
        <v>-144.99</v>
      </c>
      <c r="E50" s="2"/>
      <c r="F50" s="19"/>
      <c r="G50" s="2"/>
      <c r="H50" s="2">
        <f>--339.9</f>
        <v>339.9</v>
      </c>
      <c r="I50" s="2"/>
      <c r="J50" s="19"/>
      <c r="K50" s="2"/>
      <c r="L50" s="2">
        <f t="shared" si="0"/>
        <v>-484.89</v>
      </c>
      <c r="M50" s="2"/>
      <c r="N50" s="19">
        <f t="shared" si="1"/>
        <v>-1.4265666372462489</v>
      </c>
      <c r="O50" s="11"/>
      <c r="P50" s="2">
        <f>--329.98</f>
        <v>329.98</v>
      </c>
      <c r="Q50" s="2"/>
      <c r="R50" s="19"/>
      <c r="S50" s="2"/>
      <c r="T50" s="2">
        <f>--509.85</f>
        <v>509.85</v>
      </c>
      <c r="U50" s="2"/>
      <c r="V50" s="19"/>
      <c r="W50" s="2"/>
      <c r="X50" s="2">
        <f t="shared" si="2"/>
        <v>-179.87</v>
      </c>
      <c r="Y50" s="2"/>
      <c r="Z50" s="19">
        <f t="shared" si="3"/>
        <v>-0.35279003628518191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--59065.75</f>
        <v>59065.75</v>
      </c>
      <c r="E51" s="2"/>
      <c r="F51" s="19"/>
      <c r="G51" s="2"/>
      <c r="H51" s="2">
        <f>--69600.97</f>
        <v>69600.97</v>
      </c>
      <c r="I51" s="2"/>
      <c r="J51" s="19"/>
      <c r="K51" s="2"/>
      <c r="L51" s="2">
        <f t="shared" si="0"/>
        <v>-10535.220000000001</v>
      </c>
      <c r="M51" s="2"/>
      <c r="N51" s="19">
        <f t="shared" si="1"/>
        <v>-0.15136599389347594</v>
      </c>
      <c r="O51" s="11"/>
      <c r="P51" s="2">
        <f>--318933.82</f>
        <v>318933.82</v>
      </c>
      <c r="Q51" s="2"/>
      <c r="R51" s="19"/>
      <c r="S51" s="2"/>
      <c r="T51" s="2">
        <f>--334741.53</f>
        <v>334741.53000000003</v>
      </c>
      <c r="U51" s="2"/>
      <c r="V51" s="19"/>
      <c r="W51" s="2"/>
      <c r="X51" s="2">
        <f t="shared" si="2"/>
        <v>-15807.710000000021</v>
      </c>
      <c r="Y51" s="2"/>
      <c r="Z51" s="19">
        <f t="shared" si="3"/>
        <v>-4.7223629526936858E-2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--594.06</f>
        <v>594.05999999999995</v>
      </c>
      <c r="E52" s="2"/>
      <c r="F52" s="19"/>
      <c r="G52" s="2"/>
      <c r="H52" s="2">
        <f>--1921.77</f>
        <v>1921.77</v>
      </c>
      <c r="I52" s="2"/>
      <c r="J52" s="19"/>
      <c r="K52" s="2"/>
      <c r="L52" s="2">
        <f t="shared" si="0"/>
        <v>-1327.71</v>
      </c>
      <c r="M52" s="2"/>
      <c r="N52" s="19">
        <f t="shared" si="1"/>
        <v>-0.69087872117891325</v>
      </c>
      <c r="O52" s="11"/>
      <c r="P52" s="2">
        <f>--6342.17</f>
        <v>6342.17</v>
      </c>
      <c r="Q52" s="2"/>
      <c r="R52" s="19"/>
      <c r="S52" s="2"/>
      <c r="T52" s="2">
        <f>--8589.74</f>
        <v>8589.74</v>
      </c>
      <c r="U52" s="2"/>
      <c r="V52" s="19"/>
      <c r="W52" s="2"/>
      <c r="X52" s="2">
        <f t="shared" si="2"/>
        <v>-2247.5699999999997</v>
      </c>
      <c r="Y52" s="2"/>
      <c r="Z52" s="19">
        <f t="shared" si="3"/>
        <v>-0.26165751233448276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0</f>
        <v>0</v>
      </c>
      <c r="E53" s="2"/>
      <c r="F53" s="19"/>
      <c r="G53" s="2"/>
      <c r="H53" s="2">
        <f t="shared" ref="H53:H54" si="4"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--1146.72</f>
        <v>1146.72</v>
      </c>
      <c r="Q53" s="2"/>
      <c r="R53" s="19"/>
      <c r="S53" s="2"/>
      <c r="T53" s="2">
        <f>--38.23</f>
        <v>38.229999999999997</v>
      </c>
      <c r="U53" s="2"/>
      <c r="V53" s="19"/>
      <c r="W53" s="2"/>
      <c r="X53" s="2">
        <f t="shared" si="2"/>
        <v>1108.49</v>
      </c>
      <c r="Y53" s="2"/>
      <c r="Z53" s="19">
        <f t="shared" si="3"/>
        <v>28.995291655767723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--6.95</f>
        <v>6.95</v>
      </c>
      <c r="E54" s="2"/>
      <c r="F54" s="19"/>
      <c r="G54" s="2"/>
      <c r="H54" s="2">
        <f t="shared" si="4"/>
        <v>0</v>
      </c>
      <c r="I54" s="2"/>
      <c r="J54" s="19"/>
      <c r="K54" s="2"/>
      <c r="L54" s="2">
        <f t="shared" si="0"/>
        <v>6.95</v>
      </c>
      <c r="M54" s="2"/>
      <c r="N54" s="19">
        <f t="shared" si="1"/>
        <v>0</v>
      </c>
      <c r="O54" s="11"/>
      <c r="P54" s="2">
        <f>--20.92</f>
        <v>20.92</v>
      </c>
      <c r="Q54" s="2"/>
      <c r="R54" s="19"/>
      <c r="S54" s="2"/>
      <c r="T54" s="2">
        <f>--111.41</f>
        <v>111.41</v>
      </c>
      <c r="U54" s="2"/>
      <c r="V54" s="19"/>
      <c r="W54" s="2"/>
      <c r="X54" s="2">
        <f t="shared" si="2"/>
        <v>-90.49</v>
      </c>
      <c r="Y54" s="2"/>
      <c r="Z54" s="19">
        <f t="shared" si="3"/>
        <v>-0.81222511444215062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>--42.03</f>
        <v>42.03</v>
      </c>
      <c r="E55" s="2"/>
      <c r="F55" s="19"/>
      <c r="G55" s="2"/>
      <c r="H55" s="2">
        <f>--51.94</f>
        <v>51.94</v>
      </c>
      <c r="I55" s="2"/>
      <c r="J55" s="19"/>
      <c r="K55" s="2"/>
      <c r="L55" s="2">
        <f t="shared" si="0"/>
        <v>-9.9099999999999966</v>
      </c>
      <c r="M55" s="2"/>
      <c r="N55" s="19">
        <f t="shared" si="1"/>
        <v>-0.19079707354639963</v>
      </c>
      <c r="O55" s="11"/>
      <c r="P55" s="2">
        <f>--124.18</f>
        <v>124.18</v>
      </c>
      <c r="Q55" s="2"/>
      <c r="R55" s="19"/>
      <c r="S55" s="2"/>
      <c r="T55" s="2">
        <f>--160.73</f>
        <v>160.72999999999999</v>
      </c>
      <c r="U55" s="2"/>
      <c r="V55" s="19"/>
      <c r="W55" s="2"/>
      <c r="X55" s="2">
        <f t="shared" si="2"/>
        <v>-36.549999999999983</v>
      </c>
      <c r="Y55" s="2"/>
      <c r="Z55" s="19">
        <f t="shared" si="3"/>
        <v>-0.22739998755677213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--332.14</f>
        <v>332.14</v>
      </c>
      <c r="E56" s="2"/>
      <c r="F56" s="19"/>
      <c r="G56" s="2"/>
      <c r="H56" s="2">
        <f>--514.49</f>
        <v>514.49</v>
      </c>
      <c r="I56" s="2"/>
      <c r="J56" s="19"/>
      <c r="K56" s="2"/>
      <c r="L56" s="2">
        <f t="shared" si="0"/>
        <v>-182.35000000000002</v>
      </c>
      <c r="M56" s="2"/>
      <c r="N56" s="19">
        <f t="shared" si="1"/>
        <v>-0.35442865750549091</v>
      </c>
      <c r="O56" s="11"/>
      <c r="P56" s="2">
        <f>--1343.26</f>
        <v>1343.26</v>
      </c>
      <c r="Q56" s="2"/>
      <c r="R56" s="19"/>
      <c r="S56" s="2"/>
      <c r="T56" s="2">
        <f>--1695.46</f>
        <v>1695.46</v>
      </c>
      <c r="U56" s="2"/>
      <c r="V56" s="19"/>
      <c r="W56" s="2"/>
      <c r="X56" s="2">
        <f t="shared" si="2"/>
        <v>-352.20000000000005</v>
      </c>
      <c r="Y56" s="2"/>
      <c r="Z56" s="19">
        <f t="shared" si="3"/>
        <v>-0.20773123518101286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--547.21</f>
        <v>547.21</v>
      </c>
      <c r="E57" s="2"/>
      <c r="F57" s="19"/>
      <c r="G57" s="2"/>
      <c r="H57" s="2">
        <f>--636.96</f>
        <v>636.96</v>
      </c>
      <c r="I57" s="2"/>
      <c r="J57" s="19"/>
      <c r="K57" s="2"/>
      <c r="L57" s="2">
        <f t="shared" si="0"/>
        <v>-89.75</v>
      </c>
      <c r="M57" s="2"/>
      <c r="N57" s="19">
        <f t="shared" si="1"/>
        <v>-0.14090366742024615</v>
      </c>
      <c r="O57" s="11"/>
      <c r="P57" s="2">
        <f>--2417.49</f>
        <v>2417.4899999999998</v>
      </c>
      <c r="Q57" s="2"/>
      <c r="R57" s="19"/>
      <c r="S57" s="2"/>
      <c r="T57" s="2">
        <f>--2536.68</f>
        <v>2536.6799999999998</v>
      </c>
      <c r="U57" s="2"/>
      <c r="V57" s="19"/>
      <c r="W57" s="2"/>
      <c r="X57" s="2">
        <f t="shared" si="2"/>
        <v>-119.19000000000005</v>
      </c>
      <c r="Y57" s="2"/>
      <c r="Z57" s="19">
        <f t="shared" si="3"/>
        <v>-4.6986612422536565E-2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--132.8</f>
        <v>132.80000000000001</v>
      </c>
      <c r="E58" s="2"/>
      <c r="F58" s="19"/>
      <c r="G58" s="2"/>
      <c r="H58" s="2">
        <f>--158.57</f>
        <v>158.57</v>
      </c>
      <c r="I58" s="2"/>
      <c r="J58" s="19"/>
      <c r="K58" s="2"/>
      <c r="L58" s="2">
        <f t="shared" si="0"/>
        <v>-25.769999999999982</v>
      </c>
      <c r="M58" s="2"/>
      <c r="N58" s="19">
        <f t="shared" si="1"/>
        <v>-0.16251497761241082</v>
      </c>
      <c r="O58" s="11"/>
      <c r="P58" s="2">
        <f>--262.9</f>
        <v>262.89999999999998</v>
      </c>
      <c r="Q58" s="2"/>
      <c r="R58" s="19"/>
      <c r="S58" s="2"/>
      <c r="T58" s="2">
        <f>--562.56</f>
        <v>562.55999999999995</v>
      </c>
      <c r="U58" s="2"/>
      <c r="V58" s="19"/>
      <c r="W58" s="2"/>
      <c r="X58" s="2">
        <f t="shared" si="2"/>
        <v>-299.65999999999997</v>
      </c>
      <c r="Y58" s="2"/>
      <c r="Z58" s="19">
        <f t="shared" si="3"/>
        <v>-0.53267207053469856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--10548.09</f>
        <v>10548.09</v>
      </c>
      <c r="E59" s="2"/>
      <c r="F59" s="19"/>
      <c r="G59" s="2"/>
      <c r="H59" s="2">
        <f>--10229.12</f>
        <v>10229.120000000001</v>
      </c>
      <c r="I59" s="2"/>
      <c r="J59" s="19"/>
      <c r="K59" s="2"/>
      <c r="L59" s="2">
        <f t="shared" si="0"/>
        <v>318.96999999999935</v>
      </c>
      <c r="M59" s="2"/>
      <c r="N59" s="19">
        <f t="shared" si="1"/>
        <v>3.1182545517111866E-2</v>
      </c>
      <c r="O59" s="11"/>
      <c r="P59" s="2">
        <f>--13265.29</f>
        <v>13265.29</v>
      </c>
      <c r="Q59" s="2"/>
      <c r="R59" s="19"/>
      <c r="S59" s="2"/>
      <c r="T59" s="2">
        <f>--13183.57</f>
        <v>13183.57</v>
      </c>
      <c r="U59" s="2"/>
      <c r="V59" s="19"/>
      <c r="W59" s="2"/>
      <c r="X59" s="2">
        <f t="shared" si="2"/>
        <v>81.720000000001164</v>
      </c>
      <c r="Y59" s="2"/>
      <c r="Z59" s="19">
        <f t="shared" si="3"/>
        <v>6.1986245000406693E-3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>--184994.61</f>
        <v>184994.61</v>
      </c>
      <c r="E60" s="2"/>
      <c r="F60" s="19"/>
      <c r="G60" s="2"/>
      <c r="H60" s="2">
        <f>--175081.44</f>
        <v>175081.44</v>
      </c>
      <c r="I60" s="2"/>
      <c r="J60" s="19"/>
      <c r="K60" s="2"/>
      <c r="L60" s="2">
        <f t="shared" si="0"/>
        <v>9913.1699999999837</v>
      </c>
      <c r="M60" s="2"/>
      <c r="N60" s="19">
        <f t="shared" si="1"/>
        <v>5.6620336227529218E-2</v>
      </c>
      <c r="O60" s="11"/>
      <c r="P60" s="2">
        <f>--279752.36</f>
        <v>279752.36</v>
      </c>
      <c r="Q60" s="2"/>
      <c r="R60" s="19"/>
      <c r="S60" s="2"/>
      <c r="T60" s="2">
        <f>--268636.8</f>
        <v>268636.79999999999</v>
      </c>
      <c r="U60" s="2"/>
      <c r="V60" s="19"/>
      <c r="W60" s="2"/>
      <c r="X60" s="2">
        <f t="shared" si="2"/>
        <v>11115.559999999998</v>
      </c>
      <c r="Y60" s="2"/>
      <c r="Z60" s="19">
        <f t="shared" si="3"/>
        <v>4.1377651907705863E-2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>--3292.63</f>
        <v>3292.63</v>
      </c>
      <c r="E61" s="2"/>
      <c r="F61" s="19"/>
      <c r="G61" s="2"/>
      <c r="H61" s="2">
        <f>--2613.86</f>
        <v>2613.86</v>
      </c>
      <c r="I61" s="2"/>
      <c r="J61" s="19"/>
      <c r="K61" s="2"/>
      <c r="L61" s="2">
        <f t="shared" si="0"/>
        <v>678.77</v>
      </c>
      <c r="M61" s="2"/>
      <c r="N61" s="19">
        <f t="shared" si="1"/>
        <v>0.25968108467936307</v>
      </c>
      <c r="O61" s="11"/>
      <c r="P61" s="2">
        <f>--4664.98</f>
        <v>4664.9799999999996</v>
      </c>
      <c r="Q61" s="2"/>
      <c r="R61" s="19"/>
      <c r="S61" s="2"/>
      <c r="T61" s="2">
        <f>--3806.67</f>
        <v>3806.67</v>
      </c>
      <c r="U61" s="2"/>
      <c r="V61" s="19"/>
      <c r="W61" s="2"/>
      <c r="X61" s="2">
        <f t="shared" si="2"/>
        <v>858.30999999999949</v>
      </c>
      <c r="Y61" s="2"/>
      <c r="Z61" s="19">
        <f t="shared" si="3"/>
        <v>0.2254752841722554</v>
      </c>
    </row>
    <row r="62" spans="1:26" s="24" customFormat="1" hidden="1" outlineLevel="1" x14ac:dyDescent="0.25">
      <c r="A62" s="44"/>
      <c r="B62" s="11" t="str">
        <f>CONCATENATE("          ", "4134", " - ", "NON-TAXABLE SALES-SODA")</f>
        <v xml:space="preserve">          4134 - NON-TAXABLE SALES-SODA</v>
      </c>
      <c r="C62" s="11"/>
      <c r="D62" s="2">
        <f>--3.78</f>
        <v>3.78</v>
      </c>
      <c r="E62" s="2"/>
      <c r="F62" s="19"/>
      <c r="G62" s="2"/>
      <c r="H62" s="2">
        <f>--60.94</f>
        <v>60.94</v>
      </c>
      <c r="I62" s="2"/>
      <c r="J62" s="19"/>
      <c r="K62" s="2"/>
      <c r="L62" s="2">
        <f t="shared" si="0"/>
        <v>-57.16</v>
      </c>
      <c r="M62" s="2"/>
      <c r="N62" s="19">
        <f t="shared" si="1"/>
        <v>-0.93797177551690181</v>
      </c>
      <c r="O62" s="11"/>
      <c r="P62" s="2">
        <f>--0.39</f>
        <v>0.39</v>
      </c>
      <c r="Q62" s="2"/>
      <c r="R62" s="19"/>
      <c r="S62" s="2"/>
      <c r="T62" s="2">
        <f>--163.41</f>
        <v>163.41</v>
      </c>
      <c r="U62" s="2"/>
      <c r="V62" s="19"/>
      <c r="W62" s="2"/>
      <c r="X62" s="2">
        <f t="shared" si="2"/>
        <v>-163.02000000000001</v>
      </c>
      <c r="Y62" s="2"/>
      <c r="Z62" s="19">
        <f t="shared" si="3"/>
        <v>-0.99761336515513133</v>
      </c>
    </row>
    <row r="63" spans="1:26" s="24" customFormat="1" hidden="1" outlineLevel="1" x14ac:dyDescent="0.25">
      <c r="A63" s="44"/>
      <c r="B63" s="11" t="str">
        <f>CONCATENATE("          ", "4135", " - ", "NON-TAXABLE SALES")</f>
        <v xml:space="preserve">          4135 - NON-TAXABLE SALES</v>
      </c>
      <c r="C63" s="11"/>
      <c r="D63" s="2">
        <f>--32.31</f>
        <v>32.31</v>
      </c>
      <c r="E63" s="2"/>
      <c r="F63" s="19"/>
      <c r="G63" s="2"/>
      <c r="H63" s="2">
        <f>--34.03</f>
        <v>34.03</v>
      </c>
      <c r="I63" s="2"/>
      <c r="J63" s="19"/>
      <c r="K63" s="2"/>
      <c r="L63" s="2">
        <f t="shared" si="0"/>
        <v>-1.7199999999999989</v>
      </c>
      <c r="M63" s="2"/>
      <c r="N63" s="19">
        <f t="shared" si="1"/>
        <v>-5.0543637966500111E-2</v>
      </c>
      <c r="O63" s="11"/>
      <c r="P63" s="2">
        <f>--86.06</f>
        <v>86.06</v>
      </c>
      <c r="Q63" s="2"/>
      <c r="R63" s="19"/>
      <c r="S63" s="2"/>
      <c r="T63" s="2">
        <f>--50.62</f>
        <v>50.62</v>
      </c>
      <c r="U63" s="2"/>
      <c r="V63" s="19"/>
      <c r="W63" s="2"/>
      <c r="X63" s="2">
        <f t="shared" si="2"/>
        <v>35.440000000000005</v>
      </c>
      <c r="Y63" s="2"/>
      <c r="Z63" s="19">
        <f t="shared" si="3"/>
        <v>0.70011853022520754</v>
      </c>
    </row>
    <row r="64" spans="1:26" s="24" customFormat="1" hidden="1" outlineLevel="1" x14ac:dyDescent="0.25">
      <c r="A64" s="44"/>
      <c r="B64" s="11" t="str">
        <f>CONCATENATE("          ", "4137", " - ", "NON-TAXABLE SALES-WATER")</f>
        <v xml:space="preserve">          4137 - NON-TAXABLE SALES-WATER</v>
      </c>
      <c r="C64" s="11"/>
      <c r="D64" s="2">
        <f>--1871.72</f>
        <v>1871.72</v>
      </c>
      <c r="E64" s="2"/>
      <c r="F64" s="19"/>
      <c r="G64" s="2"/>
      <c r="H64" s="2">
        <f>--1591.7</f>
        <v>1591.7</v>
      </c>
      <c r="I64" s="2"/>
      <c r="J64" s="19"/>
      <c r="K64" s="2"/>
      <c r="L64" s="2">
        <f t="shared" si="0"/>
        <v>280.02</v>
      </c>
      <c r="M64" s="2"/>
      <c r="N64" s="19">
        <f t="shared" si="1"/>
        <v>0.17592511151598919</v>
      </c>
      <c r="O64" s="11"/>
      <c r="P64" s="2">
        <f>--2861.96</f>
        <v>2861.96</v>
      </c>
      <c r="Q64" s="2"/>
      <c r="R64" s="19"/>
      <c r="S64" s="2"/>
      <c r="T64" s="2">
        <f>--2591.39</f>
        <v>2591.39</v>
      </c>
      <c r="U64" s="2"/>
      <c r="V64" s="19"/>
      <c r="W64" s="2"/>
      <c r="X64" s="2">
        <f t="shared" si="2"/>
        <v>270.57000000000016</v>
      </c>
      <c r="Y64" s="2"/>
      <c r="Z64" s="19">
        <f t="shared" si="3"/>
        <v>0.10441114614164605</v>
      </c>
    </row>
    <row r="65" spans="1:26" s="24" customFormat="1" hidden="1" outlineLevel="1" x14ac:dyDescent="0.25">
      <c r="A65" s="44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--3114.74</f>
        <v>3114.74</v>
      </c>
      <c r="E65" s="2"/>
      <c r="F65" s="19"/>
      <c r="G65" s="2"/>
      <c r="H65" s="2">
        <f>--2646.49</f>
        <v>2646.49</v>
      </c>
      <c r="I65" s="2"/>
      <c r="J65" s="19"/>
      <c r="K65" s="2"/>
      <c r="L65" s="2">
        <f t="shared" si="0"/>
        <v>468.25</v>
      </c>
      <c r="M65" s="2"/>
      <c r="N65" s="19">
        <f t="shared" si="1"/>
        <v>0.1769324652653137</v>
      </c>
      <c r="O65" s="11"/>
      <c r="P65" s="2">
        <f>--8257.7</f>
        <v>8257.7000000000007</v>
      </c>
      <c r="Q65" s="2"/>
      <c r="R65" s="19"/>
      <c r="S65" s="2"/>
      <c r="T65" s="2">
        <f>--7904.3</f>
        <v>7904.3</v>
      </c>
      <c r="U65" s="2"/>
      <c r="V65" s="19"/>
      <c r="W65" s="2"/>
      <c r="X65" s="2">
        <f t="shared" si="2"/>
        <v>353.40000000000055</v>
      </c>
      <c r="Y65" s="2"/>
      <c r="Z65" s="19">
        <f t="shared" si="3"/>
        <v>4.470984147868888E-2</v>
      </c>
    </row>
    <row r="66" spans="1:26" s="24" customFormat="1" hidden="1" outlineLevel="1" x14ac:dyDescent="0.25">
      <c r="A66" s="44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--120.34</f>
        <v>120.34</v>
      </c>
      <c r="E66" s="2"/>
      <c r="F66" s="19"/>
      <c r="G66" s="2"/>
      <c r="H66" s="2">
        <f>--608.29</f>
        <v>608.29</v>
      </c>
      <c r="I66" s="2"/>
      <c r="J66" s="19"/>
      <c r="K66" s="2"/>
      <c r="L66" s="2">
        <f t="shared" si="0"/>
        <v>-487.94999999999993</v>
      </c>
      <c r="M66" s="2"/>
      <c r="N66" s="19">
        <f t="shared" si="1"/>
        <v>-0.80216672968485425</v>
      </c>
      <c r="O66" s="11"/>
      <c r="P66" s="2">
        <f>--814.64</f>
        <v>814.64</v>
      </c>
      <c r="Q66" s="2"/>
      <c r="R66" s="19"/>
      <c r="S66" s="2"/>
      <c r="T66" s="2">
        <f>--1728.29</f>
        <v>1728.29</v>
      </c>
      <c r="U66" s="2"/>
      <c r="V66" s="19"/>
      <c r="W66" s="2"/>
      <c r="X66" s="2">
        <f t="shared" si="2"/>
        <v>-913.65</v>
      </c>
      <c r="Y66" s="2"/>
      <c r="Z66" s="19">
        <f t="shared" si="3"/>
        <v>-0.5286439197125482</v>
      </c>
    </row>
    <row r="67" spans="1:26" s="24" customFormat="1" hidden="1" outlineLevel="1" x14ac:dyDescent="0.25">
      <c r="A67" s="44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--2116.4</f>
        <v>2116.4</v>
      </c>
      <c r="E67" s="2"/>
      <c r="F67" s="19"/>
      <c r="G67" s="2"/>
      <c r="H67" s="2">
        <f>--1788.77</f>
        <v>1788.77</v>
      </c>
      <c r="I67" s="2"/>
      <c r="J67" s="19"/>
      <c r="K67" s="2"/>
      <c r="L67" s="2">
        <f t="shared" si="0"/>
        <v>327.63000000000011</v>
      </c>
      <c r="M67" s="2"/>
      <c r="N67" s="19">
        <f t="shared" si="1"/>
        <v>0.18315937767292614</v>
      </c>
      <c r="O67" s="11"/>
      <c r="P67" s="2">
        <f>--3036.5</f>
        <v>3036.5</v>
      </c>
      <c r="Q67" s="2"/>
      <c r="R67" s="19"/>
      <c r="S67" s="2"/>
      <c r="T67" s="2">
        <f>--2447.76</f>
        <v>2447.7600000000002</v>
      </c>
      <c r="U67" s="2"/>
      <c r="V67" s="19"/>
      <c r="W67" s="2"/>
      <c r="X67" s="2">
        <f t="shared" si="2"/>
        <v>588.73999999999978</v>
      </c>
      <c r="Y67" s="2"/>
      <c r="Z67" s="19">
        <f t="shared" si="3"/>
        <v>0.2405219465960714</v>
      </c>
    </row>
    <row r="68" spans="1:26" s="24" customFormat="1" hidden="1" outlineLevel="1" x14ac:dyDescent="0.25">
      <c r="A68" s="44"/>
      <c r="B68" s="11" t="str">
        <f>CONCATENATE("          ", "4144", " - ", "NON-TAXABLE SALES-ACCESSORIES")</f>
        <v xml:space="preserve">          4144 - NON-TAXABLE SALES-ACCESSORIES</v>
      </c>
      <c r="C68" s="11"/>
      <c r="D68" s="2">
        <f t="shared" ref="D68:D69" si="5">0</f>
        <v>0</v>
      </c>
      <c r="E68" s="2"/>
      <c r="F68" s="19"/>
      <c r="G68" s="2"/>
      <c r="H68" s="2">
        <f>--89.85</f>
        <v>89.85</v>
      </c>
      <c r="I68" s="2"/>
      <c r="J68" s="19"/>
      <c r="K68" s="2"/>
      <c r="L68" s="2">
        <f t="shared" si="0"/>
        <v>-89.85</v>
      </c>
      <c r="M68" s="2"/>
      <c r="N68" s="19">
        <f t="shared" si="1"/>
        <v>-1</v>
      </c>
      <c r="O68" s="11"/>
      <c r="P68" s="2">
        <f>--139.76</f>
        <v>139.76</v>
      </c>
      <c r="Q68" s="2"/>
      <c r="R68" s="19"/>
      <c r="S68" s="2"/>
      <c r="T68" s="2">
        <f>--174.75</f>
        <v>174.75</v>
      </c>
      <c r="U68" s="2"/>
      <c r="V68" s="19"/>
      <c r="W68" s="2"/>
      <c r="X68" s="2">
        <f t="shared" si="2"/>
        <v>-34.990000000000009</v>
      </c>
      <c r="Y68" s="2"/>
      <c r="Z68" s="19">
        <f t="shared" si="3"/>
        <v>-0.20022889842632338</v>
      </c>
    </row>
    <row r="69" spans="1:26" s="24" customFormat="1" hidden="1" outlineLevel="1" x14ac:dyDescent="0.25">
      <c r="A69" s="44"/>
      <c r="B69" s="11" t="str">
        <f>CONCATENATE("          ", "4145", " - ", "NON-TAXABLE SALES-SPECIAL ORDE")</f>
        <v xml:space="preserve">          4145 - NON-TAXABLE SALES-SPECIAL ORDE</v>
      </c>
      <c r="C69" s="11"/>
      <c r="D69" s="2">
        <f t="shared" si="5"/>
        <v>0</v>
      </c>
      <c r="E69" s="2"/>
      <c r="F69" s="19"/>
      <c r="G69" s="2"/>
      <c r="H69" s="2">
        <f>0</f>
        <v>0</v>
      </c>
      <c r="I69" s="2"/>
      <c r="J69" s="19"/>
      <c r="K69" s="2"/>
      <c r="L69" s="2">
        <f t="shared" si="0"/>
        <v>0</v>
      </c>
      <c r="M69" s="2"/>
      <c r="N69" s="19">
        <f t="shared" si="1"/>
        <v>0</v>
      </c>
      <c r="O69" s="11"/>
      <c r="P69" s="2">
        <f>--90</f>
        <v>90</v>
      </c>
      <c r="Q69" s="2"/>
      <c r="R69" s="19"/>
      <c r="S69" s="2"/>
      <c r="T69" s="2">
        <f>--201.75</f>
        <v>201.75</v>
      </c>
      <c r="U69" s="2"/>
      <c r="V69" s="19"/>
      <c r="W69" s="2"/>
      <c r="X69" s="2">
        <f t="shared" si="2"/>
        <v>-111.75</v>
      </c>
      <c r="Y69" s="2"/>
      <c r="Z69" s="19">
        <f t="shared" si="3"/>
        <v>-0.55390334572490707</v>
      </c>
    </row>
    <row r="70" spans="1:26" s="24" customFormat="1" hidden="1" outlineLevel="1" x14ac:dyDescent="0.25">
      <c r="A70" s="44"/>
      <c r="B70" s="11" t="str">
        <f>CONCATENATE("          ", "4146", " - ", "NON-TAXABLE SALES-COIN OP MACH")</f>
        <v xml:space="preserve">          4146 - NON-TAXABLE SALES-COIN OP MACH</v>
      </c>
      <c r="C70" s="11"/>
      <c r="D70" s="2">
        <f>--34744.75</f>
        <v>34744.75</v>
      </c>
      <c r="E70" s="2"/>
      <c r="F70" s="19"/>
      <c r="G70" s="2"/>
      <c r="H70" s="2">
        <f>--34411.4</f>
        <v>34411.4</v>
      </c>
      <c r="I70" s="2"/>
      <c r="J70" s="19"/>
      <c r="K70" s="2"/>
      <c r="L70" s="2">
        <f t="shared" si="0"/>
        <v>333.34999999999854</v>
      </c>
      <c r="M70" s="2"/>
      <c r="N70" s="19">
        <f t="shared" si="1"/>
        <v>9.6871966848195226E-3</v>
      </c>
      <c r="O70" s="11"/>
      <c r="P70" s="2">
        <f>--50093.5</f>
        <v>50093.5</v>
      </c>
      <c r="Q70" s="2"/>
      <c r="R70" s="19"/>
      <c r="S70" s="2"/>
      <c r="T70" s="2">
        <f>--49114.45</f>
        <v>49114.45</v>
      </c>
      <c r="U70" s="2"/>
      <c r="V70" s="19"/>
      <c r="W70" s="2"/>
      <c r="X70" s="2">
        <f t="shared" si="2"/>
        <v>979.05000000000291</v>
      </c>
      <c r="Y70" s="2"/>
      <c r="Z70" s="19">
        <f t="shared" si="3"/>
        <v>1.9934051994881404E-2</v>
      </c>
    </row>
    <row r="71" spans="1:26" s="24" customFormat="1" hidden="1" outlineLevel="1" x14ac:dyDescent="0.25">
      <c r="A71" s="44"/>
      <c r="B71" s="11" t="str">
        <f>CONCATENATE("          ", "4147", " - ", "NON-TAXABLE SALES-MISC")</f>
        <v xml:space="preserve">          4147 - NON-TAXABLE SALES-MISC</v>
      </c>
      <c r="C71" s="11"/>
      <c r="D71" s="2">
        <f>--344.5</f>
        <v>344.5</v>
      </c>
      <c r="E71" s="2"/>
      <c r="F71" s="19"/>
      <c r="G71" s="2"/>
      <c r="H71" s="2">
        <f>--92</f>
        <v>92</v>
      </c>
      <c r="I71" s="2"/>
      <c r="J71" s="19"/>
      <c r="K71" s="2"/>
      <c r="L71" s="2">
        <f t="shared" si="0"/>
        <v>252.5</v>
      </c>
      <c r="M71" s="2"/>
      <c r="N71" s="19">
        <f t="shared" si="1"/>
        <v>2.7445652173913042</v>
      </c>
      <c r="O71" s="11"/>
      <c r="P71" s="2">
        <f>--414.9</f>
        <v>414.9</v>
      </c>
      <c r="Q71" s="2"/>
      <c r="R71" s="19"/>
      <c r="S71" s="2"/>
      <c r="T71" s="2">
        <f>--190</f>
        <v>190</v>
      </c>
      <c r="U71" s="2"/>
      <c r="V71" s="19"/>
      <c r="W71" s="2"/>
      <c r="X71" s="2">
        <f t="shared" si="2"/>
        <v>224.89999999999998</v>
      </c>
      <c r="Y71" s="2"/>
      <c r="Z71" s="19">
        <f t="shared" si="3"/>
        <v>1.1836842105263157</v>
      </c>
    </row>
    <row r="72" spans="1:26" s="24" customFormat="1" hidden="1" outlineLevel="1" x14ac:dyDescent="0.25">
      <c r="A72" s="44"/>
      <c r="B72" s="11" t="str">
        <f>CONCATENATE("          ", "4151", " - ", "NON-TAXABLE SALES-FOOD")</f>
        <v xml:space="preserve">          4151 - NON-TAXABLE SALES-FOOD</v>
      </c>
      <c r="C72" s="11"/>
      <c r="D72" s="2">
        <f>--140653.16</f>
        <v>140653.16</v>
      </c>
      <c r="E72" s="2"/>
      <c r="F72" s="19"/>
      <c r="G72" s="2"/>
      <c r="H72" s="2">
        <f>--129699.37</f>
        <v>129699.37</v>
      </c>
      <c r="I72" s="2"/>
      <c r="J72" s="19"/>
      <c r="K72" s="2"/>
      <c r="L72" s="2">
        <f t="shared" si="0"/>
        <v>10953.790000000008</v>
      </c>
      <c r="M72" s="2"/>
      <c r="N72" s="19">
        <f t="shared" si="1"/>
        <v>8.4455229042361649E-2</v>
      </c>
      <c r="O72" s="11"/>
      <c r="P72" s="2">
        <f>--196790.33</f>
        <v>196790.33</v>
      </c>
      <c r="Q72" s="2"/>
      <c r="R72" s="19"/>
      <c r="S72" s="2"/>
      <c r="T72" s="2">
        <f>--187791.29</f>
        <v>187791.29</v>
      </c>
      <c r="U72" s="2"/>
      <c r="V72" s="19"/>
      <c r="W72" s="2"/>
      <c r="X72" s="2">
        <f t="shared" si="2"/>
        <v>8999.039999999979</v>
      </c>
      <c r="Y72" s="2"/>
      <c r="Z72" s="19">
        <f t="shared" si="3"/>
        <v>4.7920433370471964E-2</v>
      </c>
    </row>
    <row r="73" spans="1:26" s="24" customFormat="1" hidden="1" outlineLevel="1" x14ac:dyDescent="0.25">
      <c r="A73" s="44"/>
      <c r="B73" s="11" t="str">
        <f>CONCATENATE("          ", "4153", " - ", "NON-TAXABLE SALES-FOOD")</f>
        <v xml:space="preserve">          4153 - NON-TAXABLE SALES-FOOD</v>
      </c>
      <c r="C73" s="11"/>
      <c r="D73" s="2">
        <f>--1942</f>
        <v>1942</v>
      </c>
      <c r="E73" s="2"/>
      <c r="F73" s="19"/>
      <c r="G73" s="2"/>
      <c r="H73" s="2">
        <f>--1485.5</f>
        <v>1485.5</v>
      </c>
      <c r="I73" s="2"/>
      <c r="J73" s="19"/>
      <c r="K73" s="2"/>
      <c r="L73" s="2">
        <f t="shared" si="0"/>
        <v>456.5</v>
      </c>
      <c r="M73" s="2"/>
      <c r="N73" s="19">
        <f t="shared" si="1"/>
        <v>0.30730393806799056</v>
      </c>
      <c r="O73" s="11"/>
      <c r="P73" s="2">
        <f>--2406.5</f>
        <v>2406.5</v>
      </c>
      <c r="Q73" s="2"/>
      <c r="R73" s="19"/>
      <c r="S73" s="2"/>
      <c r="T73" s="2">
        <f>--1986</f>
        <v>1986</v>
      </c>
      <c r="U73" s="2"/>
      <c r="V73" s="19"/>
      <c r="W73" s="2"/>
      <c r="X73" s="2">
        <f t="shared" si="2"/>
        <v>420.5</v>
      </c>
      <c r="Y73" s="2"/>
      <c r="Z73" s="19">
        <f t="shared" si="3"/>
        <v>0.21173212487411883</v>
      </c>
    </row>
    <row r="74" spans="1:26" s="24" customFormat="1" hidden="1" outlineLevel="1" x14ac:dyDescent="0.25">
      <c r="A74" s="44"/>
      <c r="B74" s="11" t="str">
        <f>CONCATENATE("          ", "4186", " - ", "NON-TAXABLE SALES-COMPUTER SUP")</f>
        <v xml:space="preserve">          4186 - NON-TAXABLE SALES-COMPUTER SUP</v>
      </c>
      <c r="C74" s="11"/>
      <c r="D74" s="2">
        <f>-34.98</f>
        <v>-34.979999999999997</v>
      </c>
      <c r="E74" s="2"/>
      <c r="F74" s="19"/>
      <c r="G74" s="2"/>
      <c r="H74" s="2">
        <f>-33.99</f>
        <v>-33.99</v>
      </c>
      <c r="I74" s="2"/>
      <c r="J74" s="19"/>
      <c r="K74" s="2"/>
      <c r="L74" s="2">
        <f t="shared" si="0"/>
        <v>-0.98999999999999488</v>
      </c>
      <c r="M74" s="2"/>
      <c r="N74" s="19">
        <f t="shared" si="1"/>
        <v>2.9126213592232858E-2</v>
      </c>
      <c r="O74" s="11"/>
      <c r="P74" s="2">
        <f>-34.98</f>
        <v>-34.979999999999997</v>
      </c>
      <c r="Q74" s="2"/>
      <c r="R74" s="19"/>
      <c r="S74" s="2"/>
      <c r="T74" s="2">
        <f>-48.98</f>
        <v>-48.98</v>
      </c>
      <c r="U74" s="2"/>
      <c r="V74" s="19"/>
      <c r="W74" s="2"/>
      <c r="X74" s="2">
        <f t="shared" si="2"/>
        <v>14</v>
      </c>
      <c r="Y74" s="2"/>
      <c r="Z74" s="19">
        <f t="shared" si="3"/>
        <v>-0.28583095140873827</v>
      </c>
    </row>
    <row r="75" spans="1:26" s="24" customFormat="1" hidden="1" outlineLevel="1" x14ac:dyDescent="0.25">
      <c r="A75" s="44"/>
      <c r="B75" s="11" t="str">
        <f>CONCATENATE("          ", "4201", " - ", "SALES RETURN TAXABLE-NEW TEXT")</f>
        <v xml:space="preserve">          4201 - SALES RETURN TAXABLE-NEW TEXT</v>
      </c>
      <c r="C75" s="11"/>
      <c r="D75" s="2">
        <f>-14069.34</f>
        <v>-14069.34</v>
      </c>
      <c r="E75" s="2"/>
      <c r="F75" s="19"/>
      <c r="G75" s="2"/>
      <c r="H75" s="2">
        <f>-24266.28</f>
        <v>-24266.28</v>
      </c>
      <c r="I75" s="2"/>
      <c r="J75" s="19"/>
      <c r="K75" s="2"/>
      <c r="L75" s="2">
        <f t="shared" si="0"/>
        <v>10196.939999999999</v>
      </c>
      <c r="M75" s="2"/>
      <c r="N75" s="19">
        <f t="shared" si="1"/>
        <v>-0.42021026708667331</v>
      </c>
      <c r="O75" s="11"/>
      <c r="P75" s="2">
        <f>-73239.75</f>
        <v>-73239.75</v>
      </c>
      <c r="Q75" s="2"/>
      <c r="R75" s="19"/>
      <c r="S75" s="2"/>
      <c r="T75" s="2">
        <f>-98792.22</f>
        <v>-98792.22</v>
      </c>
      <c r="U75" s="2"/>
      <c r="V75" s="19"/>
      <c r="W75" s="2"/>
      <c r="X75" s="2">
        <f t="shared" si="2"/>
        <v>25552.47</v>
      </c>
      <c r="Y75" s="2"/>
      <c r="Z75" s="19">
        <f t="shared" si="3"/>
        <v>-0.25864860613517948</v>
      </c>
    </row>
    <row r="76" spans="1:26" s="24" customFormat="1" hidden="1" outlineLevel="1" x14ac:dyDescent="0.25">
      <c r="A76" s="44"/>
      <c r="B76" s="11" t="str">
        <f>CONCATENATE("          ", "4202", " - ", "SALES RETURN TAXABLE-USED TEXT")</f>
        <v xml:space="preserve">          4202 - SALES RETURN TAXABLE-USED TEXT</v>
      </c>
      <c r="C76" s="11"/>
      <c r="D76" s="2">
        <f>-2096.65</f>
        <v>-2096.65</v>
      </c>
      <c r="E76" s="2"/>
      <c r="F76" s="19"/>
      <c r="G76" s="2"/>
      <c r="H76" s="2">
        <f>-3228.4</f>
        <v>-3228.4</v>
      </c>
      <c r="I76" s="2"/>
      <c r="J76" s="19"/>
      <c r="K76" s="2"/>
      <c r="L76" s="2">
        <f t="shared" si="0"/>
        <v>1131.75</v>
      </c>
      <c r="M76" s="2"/>
      <c r="N76" s="19">
        <f t="shared" si="1"/>
        <v>-0.35056064923801261</v>
      </c>
      <c r="O76" s="11"/>
      <c r="P76" s="2">
        <f>-23351.1</f>
        <v>-23351.1</v>
      </c>
      <c r="Q76" s="2"/>
      <c r="R76" s="19"/>
      <c r="S76" s="2"/>
      <c r="T76" s="2">
        <f>-26655.65</f>
        <v>-26655.65</v>
      </c>
      <c r="U76" s="2"/>
      <c r="V76" s="19"/>
      <c r="W76" s="2"/>
      <c r="X76" s="2">
        <f t="shared" si="2"/>
        <v>3304.5500000000029</v>
      </c>
      <c r="Y76" s="2"/>
      <c r="Z76" s="19">
        <f t="shared" si="3"/>
        <v>-0.12397184086675818</v>
      </c>
    </row>
    <row r="77" spans="1:26" s="24" customFormat="1" hidden="1" outlineLevel="1" x14ac:dyDescent="0.25">
      <c r="A77" s="44"/>
      <c r="B77" s="11" t="str">
        <f>CONCATENATE("          ", "4203", " - ", "SALES RETURN TAXABLE-RENTAL TE")</f>
        <v xml:space="preserve">          4203 - SALES RETURN TAXABLE-RENTAL TE</v>
      </c>
      <c r="C77" s="11"/>
      <c r="D77" s="2">
        <f>-144.99</f>
        <v>-144.99</v>
      </c>
      <c r="E77" s="2"/>
      <c r="F77" s="19"/>
      <c r="G77" s="2"/>
      <c r="H77" s="2">
        <f>-1529.55</f>
        <v>-1529.55</v>
      </c>
      <c r="I77" s="2"/>
      <c r="J77" s="19"/>
      <c r="K77" s="2"/>
      <c r="L77" s="2">
        <f t="shared" si="0"/>
        <v>1384.56</v>
      </c>
      <c r="M77" s="2"/>
      <c r="N77" s="19">
        <f t="shared" si="1"/>
        <v>-0.90520741394527804</v>
      </c>
      <c r="O77" s="11"/>
      <c r="P77" s="2">
        <f>-144.99</f>
        <v>-144.99</v>
      </c>
      <c r="Q77" s="2"/>
      <c r="R77" s="19"/>
      <c r="S77" s="2"/>
      <c r="T77" s="2">
        <f>-1529.55</f>
        <v>-1529.55</v>
      </c>
      <c r="U77" s="2"/>
      <c r="V77" s="19"/>
      <c r="W77" s="2"/>
      <c r="X77" s="2">
        <f t="shared" si="2"/>
        <v>1384.56</v>
      </c>
      <c r="Y77" s="2"/>
      <c r="Z77" s="19">
        <f t="shared" si="3"/>
        <v>-0.90520741394527804</v>
      </c>
    </row>
    <row r="78" spans="1:26" s="24" customFormat="1" hidden="1" outlineLevel="1" x14ac:dyDescent="0.25">
      <c r="A78" s="44"/>
      <c r="B78" s="11" t="str">
        <f>CONCATENATE("          ", "4204", " - ", "SALES RETURN TAXABLE-DIGITAL T")</f>
        <v xml:space="preserve">          4204 - SALES RETURN TAXABLE-DIGITAL T</v>
      </c>
      <c r="C78" s="11"/>
      <c r="D78" s="2">
        <f>-4208.35</f>
        <v>-4208.3500000000004</v>
      </c>
      <c r="E78" s="2"/>
      <c r="F78" s="19"/>
      <c r="G78" s="2"/>
      <c r="H78" s="2">
        <f>-2237.91</f>
        <v>-2237.91</v>
      </c>
      <c r="I78" s="2"/>
      <c r="J78" s="19"/>
      <c r="K78" s="2"/>
      <c r="L78" s="2">
        <f t="shared" si="0"/>
        <v>-1970.4400000000005</v>
      </c>
      <c r="M78" s="2"/>
      <c r="N78" s="19">
        <f t="shared" si="1"/>
        <v>0.88048223565737704</v>
      </c>
      <c r="O78" s="11"/>
      <c r="P78" s="2">
        <f>-11056.72</f>
        <v>-11056.72</v>
      </c>
      <c r="Q78" s="2"/>
      <c r="R78" s="19"/>
      <c r="S78" s="2"/>
      <c r="T78" s="2">
        <f>-15141.64</f>
        <v>-15141.64</v>
      </c>
      <c r="U78" s="2"/>
      <c r="V78" s="19"/>
      <c r="W78" s="2"/>
      <c r="X78" s="2">
        <f t="shared" si="2"/>
        <v>4084.92</v>
      </c>
      <c r="Y78" s="2"/>
      <c r="Z78" s="19">
        <f t="shared" si="3"/>
        <v>-0.2697805521726841</v>
      </c>
    </row>
    <row r="79" spans="1:26" s="24" customFormat="1" hidden="1" outlineLevel="1" x14ac:dyDescent="0.25">
      <c r="A79" s="44"/>
      <c r="B79" s="11" t="str">
        <f>CONCATENATE("          ", "4213", " - ", "NON-TAXABLE SALES-TRADE BOOKS")</f>
        <v xml:space="preserve">          4213 - NON-TAXABLE SALES-TRADE BOOKS</v>
      </c>
      <c r="C79" s="11"/>
      <c r="D79" s="2">
        <f t="shared" ref="D79:D80" si="6">0</f>
        <v>0</v>
      </c>
      <c r="E79" s="2"/>
      <c r="F79" s="19"/>
      <c r="G79" s="2"/>
      <c r="H79" s="2">
        <f t="shared" ref="H79:H80" si="7"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 t="shared" ref="P79:P80" si="8">0</f>
        <v>0</v>
      </c>
      <c r="Q79" s="2"/>
      <c r="R79" s="19"/>
      <c r="S79" s="2"/>
      <c r="T79" s="2">
        <f>-15</f>
        <v>-15</v>
      </c>
      <c r="U79" s="2"/>
      <c r="V79" s="19"/>
      <c r="W79" s="2"/>
      <c r="X79" s="2">
        <f t="shared" si="2"/>
        <v>15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"4217", " - ", "NON-TAXABLE SALES-DORM/HOUSEWA")</f>
        <v xml:space="preserve">          4217 - NON-TAXABLE SALES-DORM/HOUSEWA</v>
      </c>
      <c r="C80" s="11"/>
      <c r="D80" s="2">
        <f t="shared" si="6"/>
        <v>0</v>
      </c>
      <c r="E80" s="2"/>
      <c r="F80" s="19"/>
      <c r="G80" s="2"/>
      <c r="H80" s="2">
        <f t="shared" si="7"/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 t="shared" si="8"/>
        <v>0</v>
      </c>
      <c r="Q80" s="2"/>
      <c r="R80" s="19"/>
      <c r="S80" s="2"/>
      <c r="T80" s="2">
        <f>-1.5</f>
        <v>-1.5</v>
      </c>
      <c r="U80" s="2"/>
      <c r="V80" s="19"/>
      <c r="W80" s="2"/>
      <c r="X80" s="2">
        <f t="shared" si="2"/>
        <v>1.5</v>
      </c>
      <c r="Y80" s="2"/>
      <c r="Z80" s="19">
        <f t="shared" si="3"/>
        <v>-1</v>
      </c>
    </row>
    <row r="81" spans="1:26" s="24" customFormat="1" hidden="1" outlineLevel="1" x14ac:dyDescent="0.25">
      <c r="A81" s="44"/>
      <c r="B81" s="11" t="str">
        <f>CONCATENATE("          ", "4218", " - ", "SALES RETURN TAXABLE-STUDY GUI")</f>
        <v xml:space="preserve">          4218 - SALES RETURN TAXABLE-STUDY GUI</v>
      </c>
      <c r="C81" s="11"/>
      <c r="D81" s="2">
        <f>-5.95</f>
        <v>-5.95</v>
      </c>
      <c r="E81" s="2"/>
      <c r="F81" s="19"/>
      <c r="G81" s="2"/>
      <c r="H81" s="2">
        <f>-6.95</f>
        <v>-6.95</v>
      </c>
      <c r="I81" s="2"/>
      <c r="J81" s="19"/>
      <c r="K81" s="2"/>
      <c r="L81" s="2">
        <f t="shared" si="0"/>
        <v>1</v>
      </c>
      <c r="M81" s="2"/>
      <c r="N81" s="19">
        <f t="shared" si="1"/>
        <v>-0.14388489208633093</v>
      </c>
      <c r="O81" s="11"/>
      <c r="P81" s="2">
        <f>-32.75</f>
        <v>-32.75</v>
      </c>
      <c r="Q81" s="2"/>
      <c r="R81" s="19"/>
      <c r="S81" s="2"/>
      <c r="T81" s="2">
        <f>-22.9</f>
        <v>-22.9</v>
      </c>
      <c r="U81" s="2"/>
      <c r="V81" s="19"/>
      <c r="W81" s="2"/>
      <c r="X81" s="2">
        <f t="shared" si="2"/>
        <v>-9.8500000000000014</v>
      </c>
      <c r="Y81" s="2"/>
      <c r="Z81" s="19">
        <f t="shared" si="3"/>
        <v>0.43013100436681234</v>
      </c>
    </row>
    <row r="82" spans="1:26" s="24" customFormat="1" hidden="1" outlineLevel="1" x14ac:dyDescent="0.25">
      <c r="A82" s="44"/>
      <c r="B82" s="11" t="str">
        <f>CONCATENATE("          ", "4225", " - ", "SALES RETURN TAXABLE-TEST FORM")</f>
        <v xml:space="preserve">          4225 - SALES RETURN TAXABLE-TEST FORM</v>
      </c>
      <c r="C82" s="11"/>
      <c r="D82" s="2">
        <f>-20.41</f>
        <v>-20.41</v>
      </c>
      <c r="E82" s="2"/>
      <c r="F82" s="19"/>
      <c r="G82" s="2"/>
      <c r="H82" s="2">
        <f>-23.53</f>
        <v>-23.53</v>
      </c>
      <c r="I82" s="2"/>
      <c r="J82" s="19"/>
      <c r="K82" s="2"/>
      <c r="L82" s="2">
        <f t="shared" si="0"/>
        <v>3.120000000000001</v>
      </c>
      <c r="M82" s="2"/>
      <c r="N82" s="19">
        <f t="shared" si="1"/>
        <v>-0.13259668508287295</v>
      </c>
      <c r="O82" s="11"/>
      <c r="P82" s="2">
        <f>-33.1</f>
        <v>-33.1</v>
      </c>
      <c r="Q82" s="2"/>
      <c r="R82" s="19"/>
      <c r="S82" s="2"/>
      <c r="T82" s="2">
        <f>-37.33</f>
        <v>-37.33</v>
      </c>
      <c r="U82" s="2"/>
      <c r="V82" s="19"/>
      <c r="W82" s="2"/>
      <c r="X82" s="2">
        <f t="shared" si="2"/>
        <v>4.2299999999999969</v>
      </c>
      <c r="Y82" s="2"/>
      <c r="Z82" s="19">
        <f t="shared" si="3"/>
        <v>-0.11331368872220726</v>
      </c>
    </row>
    <row r="83" spans="1:26" s="24" customFormat="1" hidden="1" outlineLevel="1" x14ac:dyDescent="0.25">
      <c r="A83" s="44"/>
      <c r="B83" s="11" t="str">
        <f>CONCATENATE("          ", "4226", " - ", "SALES RETURN TAXABLE-WRITING I")</f>
        <v xml:space="preserve">          4226 - SALES RETURN TAXABLE-WRITING I</v>
      </c>
      <c r="C83" s="11"/>
      <c r="D83" s="2">
        <f>-184.86</f>
        <v>-184.86</v>
      </c>
      <c r="E83" s="2"/>
      <c r="F83" s="19"/>
      <c r="G83" s="2"/>
      <c r="H83" s="2">
        <f>-48.02</f>
        <v>-48.02</v>
      </c>
      <c r="I83" s="2"/>
      <c r="J83" s="19"/>
      <c r="K83" s="2"/>
      <c r="L83" s="2">
        <f t="shared" si="0"/>
        <v>-136.84</v>
      </c>
      <c r="M83" s="2"/>
      <c r="N83" s="19">
        <f t="shared" si="1"/>
        <v>2.8496459808413159</v>
      </c>
      <c r="O83" s="11"/>
      <c r="P83" s="2">
        <f>-309.07</f>
        <v>-309.07</v>
      </c>
      <c r="Q83" s="2"/>
      <c r="R83" s="19"/>
      <c r="S83" s="2"/>
      <c r="T83" s="2">
        <f>-117.26</f>
        <v>-117.26</v>
      </c>
      <c r="U83" s="2"/>
      <c r="V83" s="19"/>
      <c r="W83" s="2"/>
      <c r="X83" s="2">
        <f t="shared" si="2"/>
        <v>-191.81</v>
      </c>
      <c r="Y83" s="2"/>
      <c r="Z83" s="19">
        <f t="shared" si="3"/>
        <v>1.6357666723520381</v>
      </c>
    </row>
    <row r="84" spans="1:26" s="24" customFormat="1" hidden="1" outlineLevel="1" x14ac:dyDescent="0.25">
      <c r="A84" s="44"/>
      <c r="B84" s="11" t="str">
        <f>CONCATENATE("          ", "4227", " - ", "SALES RETURN TAXABLE-SCHOOL SU")</f>
        <v xml:space="preserve">          4227 - SALES RETURN TAXABLE-SCHOOL SU</v>
      </c>
      <c r="C84" s="11"/>
      <c r="D84" s="2">
        <f>-2805.04</f>
        <v>-2805.04</v>
      </c>
      <c r="E84" s="2"/>
      <c r="F84" s="19"/>
      <c r="G84" s="2"/>
      <c r="H84" s="2">
        <f>-974.33</f>
        <v>-974.33</v>
      </c>
      <c r="I84" s="2"/>
      <c r="J84" s="19"/>
      <c r="K84" s="2"/>
      <c r="L84" s="2">
        <f t="shared" si="0"/>
        <v>-1830.71</v>
      </c>
      <c r="M84" s="2"/>
      <c r="N84" s="19">
        <f t="shared" si="1"/>
        <v>1.878942452762411</v>
      </c>
      <c r="O84" s="11"/>
      <c r="P84" s="2">
        <f>-4501.63</f>
        <v>-4501.63</v>
      </c>
      <c r="Q84" s="2"/>
      <c r="R84" s="19"/>
      <c r="S84" s="2"/>
      <c r="T84" s="2">
        <f>-1946.22</f>
        <v>-1946.22</v>
      </c>
      <c r="U84" s="2"/>
      <c r="V84" s="19"/>
      <c r="W84" s="2"/>
      <c r="X84" s="2">
        <f t="shared" si="2"/>
        <v>-2555.41</v>
      </c>
      <c r="Y84" s="2"/>
      <c r="Z84" s="19">
        <f t="shared" si="3"/>
        <v>1.3130118897144207</v>
      </c>
    </row>
    <row r="85" spans="1:26" s="24" customFormat="1" hidden="1" outlineLevel="1" x14ac:dyDescent="0.25">
      <c r="A85" s="44"/>
      <c r="B85" s="11" t="str">
        <f>CONCATENATE("          ", "4228", " - ", "SALES RETURN TAXABLE-ART/TECH")</f>
        <v xml:space="preserve">          4228 - SALES RETURN TAXABLE-ART/TECH</v>
      </c>
      <c r="C85" s="11"/>
      <c r="D85" s="2">
        <f>-1058.54</f>
        <v>-1058.54</v>
      </c>
      <c r="E85" s="2"/>
      <c r="F85" s="19"/>
      <c r="G85" s="2"/>
      <c r="H85" s="2">
        <f>-1715.94</f>
        <v>-1715.94</v>
      </c>
      <c r="I85" s="2"/>
      <c r="J85" s="19"/>
      <c r="K85" s="2"/>
      <c r="L85" s="2">
        <f t="shared" si="0"/>
        <v>657.40000000000009</v>
      </c>
      <c r="M85" s="2"/>
      <c r="N85" s="19">
        <f t="shared" si="1"/>
        <v>-0.38311362868165555</v>
      </c>
      <c r="O85" s="11"/>
      <c r="P85" s="2">
        <f>-1927.27</f>
        <v>-1927.27</v>
      </c>
      <c r="Q85" s="2"/>
      <c r="R85" s="19"/>
      <c r="S85" s="2"/>
      <c r="T85" s="2">
        <f>-2781.43</f>
        <v>-2781.43</v>
      </c>
      <c r="U85" s="2"/>
      <c r="V85" s="19"/>
      <c r="W85" s="2"/>
      <c r="X85" s="2">
        <f t="shared" si="2"/>
        <v>854.15999999999985</v>
      </c>
      <c r="Y85" s="2"/>
      <c r="Z85" s="19">
        <f t="shared" si="3"/>
        <v>-0.30709383302833432</v>
      </c>
    </row>
    <row r="86" spans="1:26" s="24" customFormat="1" hidden="1" outlineLevel="1" x14ac:dyDescent="0.25">
      <c r="A86" s="44"/>
      <c r="B86" s="11" t="str">
        <f>CONCATENATE("          ", "4233", " - ", "SALES RETURN TAXABLE-CANDY")</f>
        <v xml:space="preserve">          4233 - SALES RETURN TAXABLE-CANDY</v>
      </c>
      <c r="C86" s="11"/>
      <c r="D86" s="2">
        <f>0</f>
        <v>0</v>
      </c>
      <c r="E86" s="2"/>
      <c r="F86" s="19"/>
      <c r="G86" s="2"/>
      <c r="H86" s="2">
        <f>0</f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0</f>
        <v>0</v>
      </c>
      <c r="Q86" s="2"/>
      <c r="R86" s="19"/>
      <c r="S86" s="2"/>
      <c r="T86" s="2">
        <f>-1.69</f>
        <v>-1.69</v>
      </c>
      <c r="U86" s="2"/>
      <c r="V86" s="19"/>
      <c r="W86" s="2"/>
      <c r="X86" s="2">
        <f t="shared" si="2"/>
        <v>1.69</v>
      </c>
      <c r="Y86" s="2"/>
      <c r="Z86" s="19">
        <f t="shared" si="3"/>
        <v>-1</v>
      </c>
    </row>
    <row r="87" spans="1:26" s="24" customFormat="1" hidden="1" outlineLevel="1" x14ac:dyDescent="0.25">
      <c r="A87" s="44"/>
      <c r="B87" s="11" t="str">
        <f>CONCATENATE("          ", "4240", " - ", "SALES RETURN TAXABLE-LOGO CLOT")</f>
        <v xml:space="preserve">          4240 - SALES RETURN TAXABLE-LOGO CLOT</v>
      </c>
      <c r="C87" s="11"/>
      <c r="D87" s="2">
        <f>-9538.49</f>
        <v>-9538.49</v>
      </c>
      <c r="E87" s="2"/>
      <c r="F87" s="19"/>
      <c r="G87" s="2"/>
      <c r="H87" s="2">
        <f>-8956.8</f>
        <v>-8956.7999999999993</v>
      </c>
      <c r="I87" s="2"/>
      <c r="J87" s="19"/>
      <c r="K87" s="2"/>
      <c r="L87" s="2">
        <f t="shared" si="0"/>
        <v>-581.69000000000051</v>
      </c>
      <c r="M87" s="2"/>
      <c r="N87" s="19">
        <f t="shared" si="1"/>
        <v>6.4943953197570625E-2</v>
      </c>
      <c r="O87" s="11"/>
      <c r="P87" s="2">
        <f>-20792.98</f>
        <v>-20792.98</v>
      </c>
      <c r="Q87" s="2"/>
      <c r="R87" s="19"/>
      <c r="S87" s="2"/>
      <c r="T87" s="2">
        <f>-20528.6</f>
        <v>-20528.599999999999</v>
      </c>
      <c r="U87" s="2"/>
      <c r="V87" s="19"/>
      <c r="W87" s="2"/>
      <c r="X87" s="2">
        <f t="shared" si="2"/>
        <v>-264.38000000000102</v>
      </c>
      <c r="Y87" s="2"/>
      <c r="Z87" s="19">
        <f t="shared" si="3"/>
        <v>1.2878618123008926E-2</v>
      </c>
    </row>
    <row r="88" spans="1:26" s="24" customFormat="1" hidden="1" outlineLevel="1" x14ac:dyDescent="0.25">
      <c r="A88" s="44"/>
      <c r="B88" s="11" t="str">
        <f>CONCATENATE("          ", "4241", " - ", "SALES RETURN TAXABLE-LOGO GIFT")</f>
        <v xml:space="preserve">          4241 - SALES RETURN TAXABLE-LOGO GIFT</v>
      </c>
      <c r="C88" s="11"/>
      <c r="D88" s="2">
        <f>-700.87</f>
        <v>-700.87</v>
      </c>
      <c r="E88" s="2"/>
      <c r="F88" s="19"/>
      <c r="G88" s="2"/>
      <c r="H88" s="2">
        <f>-1002.83</f>
        <v>-1002.83</v>
      </c>
      <c r="I88" s="2"/>
      <c r="J88" s="19"/>
      <c r="K88" s="2"/>
      <c r="L88" s="2">
        <f t="shared" si="0"/>
        <v>301.96000000000004</v>
      </c>
      <c r="M88" s="2"/>
      <c r="N88" s="19">
        <f t="shared" si="1"/>
        <v>-0.30110786474277795</v>
      </c>
      <c r="O88" s="11"/>
      <c r="P88" s="2">
        <f>-2390.88</f>
        <v>-2390.88</v>
      </c>
      <c r="Q88" s="2"/>
      <c r="R88" s="19"/>
      <c r="S88" s="2"/>
      <c r="T88" s="2">
        <f>-2600.74</f>
        <v>-2600.7399999999998</v>
      </c>
      <c r="U88" s="2"/>
      <c r="V88" s="19"/>
      <c r="W88" s="2"/>
      <c r="X88" s="2">
        <f t="shared" si="2"/>
        <v>209.85999999999967</v>
      </c>
      <c r="Y88" s="2"/>
      <c r="Z88" s="19">
        <f t="shared" si="3"/>
        <v>-8.0692418311711159E-2</v>
      </c>
    </row>
    <row r="89" spans="1:26" s="24" customFormat="1" hidden="1" outlineLevel="1" x14ac:dyDescent="0.25">
      <c r="A89" s="44"/>
      <c r="B89" s="11" t="str">
        <f>CONCATENATE("          ", "4242", " - ", "SALES RETURN TAXABLE-EVERYDAY")</f>
        <v xml:space="preserve">          4242 - SALES RETURN TAXABLE-EVERYDAY</v>
      </c>
      <c r="C89" s="11"/>
      <c r="D89" s="2">
        <f>-169.66</f>
        <v>-169.66</v>
      </c>
      <c r="E89" s="2"/>
      <c r="F89" s="19"/>
      <c r="G89" s="2"/>
      <c r="H89" s="2">
        <f>-316.56</f>
        <v>-316.56</v>
      </c>
      <c r="I89" s="2"/>
      <c r="J89" s="19"/>
      <c r="K89" s="2"/>
      <c r="L89" s="2">
        <f t="shared" si="0"/>
        <v>146.9</v>
      </c>
      <c r="M89" s="2"/>
      <c r="N89" s="19">
        <f t="shared" si="1"/>
        <v>-0.46405104877432402</v>
      </c>
      <c r="O89" s="11"/>
      <c r="P89" s="2">
        <f>-994.47</f>
        <v>-994.47</v>
      </c>
      <c r="Q89" s="2"/>
      <c r="R89" s="19"/>
      <c r="S89" s="2"/>
      <c r="T89" s="2">
        <f>-738.35</f>
        <v>-738.35</v>
      </c>
      <c r="U89" s="2"/>
      <c r="V89" s="19"/>
      <c r="W89" s="2"/>
      <c r="X89" s="2">
        <f t="shared" si="2"/>
        <v>-256.12</v>
      </c>
      <c r="Y89" s="2"/>
      <c r="Z89" s="19">
        <f t="shared" si="3"/>
        <v>0.34688156023566058</v>
      </c>
    </row>
    <row r="90" spans="1:26" s="24" customFormat="1" hidden="1" outlineLevel="1" x14ac:dyDescent="0.25">
      <c r="A90" s="44"/>
      <c r="B90" s="11" t="str">
        <f>CONCATENATE("          ", "4243", " - ", "SALES RETURN TAXABLE-CARDS")</f>
        <v xml:space="preserve">          4243 - SALES RETURN TAXABLE-CARDS</v>
      </c>
      <c r="C90" s="11"/>
      <c r="D90" s="2">
        <f>-4.5</f>
        <v>-4.5</v>
      </c>
      <c r="E90" s="2"/>
      <c r="F90" s="19"/>
      <c r="G90" s="2"/>
      <c r="H90" s="2">
        <f>-12.95</f>
        <v>-12.95</v>
      </c>
      <c r="I90" s="2"/>
      <c r="J90" s="19"/>
      <c r="K90" s="2"/>
      <c r="L90" s="2">
        <f t="shared" si="0"/>
        <v>8.4499999999999993</v>
      </c>
      <c r="M90" s="2"/>
      <c r="N90" s="19">
        <f t="shared" si="1"/>
        <v>-0.65250965250965254</v>
      </c>
      <c r="O90" s="11"/>
      <c r="P90" s="2">
        <f>-4.5</f>
        <v>-4.5</v>
      </c>
      <c r="Q90" s="2"/>
      <c r="R90" s="19"/>
      <c r="S90" s="2"/>
      <c r="T90" s="2">
        <f>-12.95</f>
        <v>-12.95</v>
      </c>
      <c r="U90" s="2"/>
      <c r="V90" s="19"/>
      <c r="W90" s="2"/>
      <c r="X90" s="2">
        <f t="shared" si="2"/>
        <v>8.4499999999999993</v>
      </c>
      <c r="Y90" s="2"/>
      <c r="Z90" s="19">
        <f t="shared" si="3"/>
        <v>-0.65250965250965254</v>
      </c>
    </row>
    <row r="91" spans="1:26" s="24" customFormat="1" hidden="1" outlineLevel="1" x14ac:dyDescent="0.25">
      <c r="A91" s="44"/>
      <c r="B91" s="11" t="str">
        <f>CONCATENATE("          ", "4244", " - ", "SALES RETURN TAXABLE-ACCESSORI")</f>
        <v xml:space="preserve">          4244 - SALES RETURN TAXABLE-ACCESSORI</v>
      </c>
      <c r="C91" s="11"/>
      <c r="D91" s="2">
        <f>-704.04</f>
        <v>-704.04</v>
      </c>
      <c r="E91" s="2"/>
      <c r="F91" s="19"/>
      <c r="G91" s="2"/>
      <c r="H91" s="2">
        <f>-264.1</f>
        <v>-264.10000000000002</v>
      </c>
      <c r="I91" s="2"/>
      <c r="J91" s="19"/>
      <c r="K91" s="2"/>
      <c r="L91" s="2">
        <f t="shared" si="0"/>
        <v>-439.93999999999994</v>
      </c>
      <c r="M91" s="2"/>
      <c r="N91" s="19">
        <f t="shared" si="1"/>
        <v>1.6658084059068532</v>
      </c>
      <c r="O91" s="11"/>
      <c r="P91" s="2">
        <f>-1254.51</f>
        <v>-1254.51</v>
      </c>
      <c r="Q91" s="2"/>
      <c r="R91" s="19"/>
      <c r="S91" s="2"/>
      <c r="T91" s="2">
        <f>-2023.36</f>
        <v>-2023.36</v>
      </c>
      <c r="U91" s="2"/>
      <c r="V91" s="19"/>
      <c r="W91" s="2"/>
      <c r="X91" s="2">
        <f t="shared" si="2"/>
        <v>768.84999999999991</v>
      </c>
      <c r="Y91" s="2"/>
      <c r="Z91" s="19">
        <f t="shared" si="3"/>
        <v>-0.37998675470504506</v>
      </c>
    </row>
    <row r="92" spans="1:26" s="24" customFormat="1" hidden="1" outlineLevel="1" x14ac:dyDescent="0.25">
      <c r="A92" s="44"/>
      <c r="B92" s="11" t="str">
        <f>CONCATENATE("          ", "4245", " - ", "SALES RETURN TAXABLE-SPECIAL O")</f>
        <v xml:space="preserve">          4245 - SALES RETURN TAXABLE-SPECIAL O</v>
      </c>
      <c r="C92" s="11"/>
      <c r="D92" s="2">
        <f>-71.98</f>
        <v>-71.98</v>
      </c>
      <c r="E92" s="2"/>
      <c r="F92" s="19"/>
      <c r="G92" s="2"/>
      <c r="H92" s="2">
        <f t="shared" ref="H92:H95" si="9">0</f>
        <v>0</v>
      </c>
      <c r="I92" s="2"/>
      <c r="J92" s="19"/>
      <c r="K92" s="2"/>
      <c r="L92" s="2">
        <f t="shared" si="0"/>
        <v>-71.98</v>
      </c>
      <c r="M92" s="2"/>
      <c r="N92" s="19">
        <f t="shared" si="1"/>
        <v>0</v>
      </c>
      <c r="O92" s="11"/>
      <c r="P92" s="2">
        <f>-91.96</f>
        <v>-91.96</v>
      </c>
      <c r="Q92" s="2"/>
      <c r="R92" s="19"/>
      <c r="S92" s="2"/>
      <c r="T92" s="2">
        <f>-174.85</f>
        <v>-174.85</v>
      </c>
      <c r="U92" s="2"/>
      <c r="V92" s="19"/>
      <c r="W92" s="2"/>
      <c r="X92" s="2">
        <f t="shared" si="2"/>
        <v>82.89</v>
      </c>
      <c r="Y92" s="2"/>
      <c r="Z92" s="19">
        <f t="shared" si="3"/>
        <v>-0.47406348298541606</v>
      </c>
    </row>
    <row r="93" spans="1:26" s="24" customFormat="1" hidden="1" outlineLevel="1" x14ac:dyDescent="0.25">
      <c r="A93" s="44"/>
      <c r="B93" s="11" t="str">
        <f>CONCATENATE("          ", "4281", " - ", "SALES RETURN TAXABLE-ELECTRONI")</f>
        <v xml:space="preserve">          4281 - SALES RETURN TAXABLE-ELECTRONI</v>
      </c>
      <c r="C93" s="11"/>
      <c r="D93" s="2">
        <f>-24.99</f>
        <v>-24.99</v>
      </c>
      <c r="E93" s="2"/>
      <c r="F93" s="19"/>
      <c r="G93" s="2"/>
      <c r="H93" s="2">
        <f t="shared" si="9"/>
        <v>0</v>
      </c>
      <c r="I93" s="2"/>
      <c r="J93" s="19"/>
      <c r="K93" s="2"/>
      <c r="L93" s="2">
        <f t="shared" si="0"/>
        <v>-24.99</v>
      </c>
      <c r="M93" s="2"/>
      <c r="N93" s="19">
        <f t="shared" si="1"/>
        <v>0</v>
      </c>
      <c r="O93" s="11"/>
      <c r="P93" s="2">
        <f>-24.99</f>
        <v>-24.99</v>
      </c>
      <c r="Q93" s="2"/>
      <c r="R93" s="19"/>
      <c r="S93" s="2"/>
      <c r="T93" s="2">
        <f>0</f>
        <v>0</v>
      </c>
      <c r="U93" s="2"/>
      <c r="V93" s="19"/>
      <c r="W93" s="2"/>
      <c r="X93" s="2">
        <f t="shared" si="2"/>
        <v>-24.99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"4292", " - ", "SALES RETURN TAXABLE-GRAD MERC")</f>
        <v xml:space="preserve">          4292 - SALES RETURN TAXABLE-GRAD MERC</v>
      </c>
      <c r="C94" s="11"/>
      <c r="D94" s="2">
        <f t="shared" ref="D94:D95" si="10">0</f>
        <v>0</v>
      </c>
      <c r="E94" s="2"/>
      <c r="F94" s="19"/>
      <c r="G94" s="2"/>
      <c r="H94" s="2">
        <f t="shared" si="9"/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-369.15</f>
        <v>-369.15</v>
      </c>
      <c r="Q94" s="2"/>
      <c r="R94" s="19"/>
      <c r="S94" s="2"/>
      <c r="T94" s="2">
        <f>-478.25</f>
        <v>-478.25</v>
      </c>
      <c r="U94" s="2"/>
      <c r="V94" s="19"/>
      <c r="W94" s="2"/>
      <c r="X94" s="2">
        <f t="shared" si="2"/>
        <v>109.10000000000002</v>
      </c>
      <c r="Y94" s="2"/>
      <c r="Z94" s="19">
        <f t="shared" si="3"/>
        <v>-0.22812336644014641</v>
      </c>
    </row>
    <row r="95" spans="1:26" s="24" customFormat="1" hidden="1" outlineLevel="1" x14ac:dyDescent="0.25">
      <c r="A95" s="44"/>
      <c r="B95" s="11" t="str">
        <f>CONCATENATE("          ", "4295", " - ", "SALES RETURN TAXABLE-CUSTOMER")</f>
        <v xml:space="preserve">          4295 - SALES RETURN TAXABLE-CUSTOMER</v>
      </c>
      <c r="C95" s="11"/>
      <c r="D95" s="2">
        <f t="shared" si="10"/>
        <v>0</v>
      </c>
      <c r="E95" s="2"/>
      <c r="F95" s="19"/>
      <c r="G95" s="2"/>
      <c r="H95" s="2">
        <f t="shared" si="9"/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--0.99</f>
        <v>0.99</v>
      </c>
      <c r="Q95" s="2"/>
      <c r="R95" s="19"/>
      <c r="S95" s="2"/>
      <c r="T95" s="2">
        <f>-99</f>
        <v>-99</v>
      </c>
      <c r="U95" s="2"/>
      <c r="V95" s="19"/>
      <c r="W95" s="2"/>
      <c r="X95" s="2">
        <f t="shared" si="2"/>
        <v>99.99</v>
      </c>
      <c r="Y95" s="2"/>
      <c r="Z95" s="19">
        <f t="shared" si="3"/>
        <v>-1.01</v>
      </c>
    </row>
    <row r="96" spans="1:26" s="24" customFormat="1" hidden="1" outlineLevel="1" x14ac:dyDescent="0.25">
      <c r="A96" s="44"/>
      <c r="B96" s="11" t="str">
        <f>CONCATENATE("          ", "4301", " - ", "SALES RETURN NON TAXABLE-NEW T")</f>
        <v xml:space="preserve">          4301 - SALES RETURN NON TAXABLE-NEW T</v>
      </c>
      <c r="C96" s="11"/>
      <c r="D96" s="2">
        <f>-3805.44</f>
        <v>-3805.44</v>
      </c>
      <c r="E96" s="2"/>
      <c r="F96" s="19"/>
      <c r="G96" s="2"/>
      <c r="H96" s="2">
        <f>-18193.09</f>
        <v>-18193.09</v>
      </c>
      <c r="I96" s="2"/>
      <c r="J96" s="19"/>
      <c r="K96" s="2"/>
      <c r="L96" s="2">
        <f t="shared" si="0"/>
        <v>14387.65</v>
      </c>
      <c r="M96" s="2"/>
      <c r="N96" s="19">
        <f t="shared" si="1"/>
        <v>-0.79083047464724243</v>
      </c>
      <c r="O96" s="11"/>
      <c r="P96" s="2">
        <f>-6725.22</f>
        <v>-6725.22</v>
      </c>
      <c r="Q96" s="2"/>
      <c r="R96" s="19"/>
      <c r="S96" s="2"/>
      <c r="T96" s="2">
        <f>-21042.19</f>
        <v>-21042.19</v>
      </c>
      <c r="U96" s="2"/>
      <c r="V96" s="19"/>
      <c r="W96" s="2"/>
      <c r="X96" s="2">
        <f t="shared" si="2"/>
        <v>14316.969999999998</v>
      </c>
      <c r="Y96" s="2"/>
      <c r="Z96" s="19">
        <f t="shared" si="3"/>
        <v>-0.68039353318262019</v>
      </c>
    </row>
    <row r="97" spans="1:26" s="24" customFormat="1" hidden="1" outlineLevel="1" x14ac:dyDescent="0.25">
      <c r="A97" s="44"/>
      <c r="B97" s="11" t="str">
        <f>CONCATENATE("          ", "4302", " - ", "SALES RETURN NON TAXABLE-TEXT")</f>
        <v xml:space="preserve">          4302 - SALES RETURN NON TAXABLE-TEXT</v>
      </c>
      <c r="C97" s="11"/>
      <c r="D97" s="2">
        <f>-398.45</f>
        <v>-398.45</v>
      </c>
      <c r="E97" s="2"/>
      <c r="F97" s="19"/>
      <c r="G97" s="2"/>
      <c r="H97" s="2">
        <f>-1424.51</f>
        <v>-1424.51</v>
      </c>
      <c r="I97" s="2"/>
      <c r="J97" s="19"/>
      <c r="K97" s="2"/>
      <c r="L97" s="2">
        <f t="shared" si="0"/>
        <v>1026.06</v>
      </c>
      <c r="M97" s="2"/>
      <c r="N97" s="19">
        <f t="shared" si="1"/>
        <v>-0.72028978385550113</v>
      </c>
      <c r="O97" s="11"/>
      <c r="P97" s="2">
        <f>-648.7</f>
        <v>-648.70000000000005</v>
      </c>
      <c r="Q97" s="2"/>
      <c r="R97" s="19"/>
      <c r="S97" s="2"/>
      <c r="T97" s="2">
        <f>-2092.04</f>
        <v>-2092.04</v>
      </c>
      <c r="U97" s="2"/>
      <c r="V97" s="19"/>
      <c r="W97" s="2"/>
      <c r="X97" s="2">
        <f t="shared" si="2"/>
        <v>1443.34</v>
      </c>
      <c r="Y97" s="2"/>
      <c r="Z97" s="19">
        <f t="shared" si="3"/>
        <v>-0.68991988680904759</v>
      </c>
    </row>
    <row r="98" spans="1:26" s="24" customFormat="1" hidden="1" outlineLevel="1" x14ac:dyDescent="0.25">
      <c r="A98" s="44"/>
      <c r="B98" s="11" t="str">
        <f>CONCATENATE("          ", "4303", " - ", "SALES RETURN NON-TAXABLE-RENTA")</f>
        <v xml:space="preserve">          4303 - SALES RETURN NON-TAXABLE-RENTA</v>
      </c>
      <c r="C98" s="11"/>
      <c r="D98" s="2">
        <f>-184.99</f>
        <v>-184.99</v>
      </c>
      <c r="E98" s="2"/>
      <c r="F98" s="19"/>
      <c r="G98" s="2"/>
      <c r="H98" s="2">
        <f>-509.85</f>
        <v>-509.85</v>
      </c>
      <c r="I98" s="2"/>
      <c r="J98" s="19"/>
      <c r="K98" s="2"/>
      <c r="L98" s="2">
        <f t="shared" si="0"/>
        <v>324.86</v>
      </c>
      <c r="M98" s="2"/>
      <c r="N98" s="19">
        <f t="shared" si="1"/>
        <v>-0.63716779444934779</v>
      </c>
      <c r="O98" s="11"/>
      <c r="P98" s="2">
        <f>-184.99</f>
        <v>-184.99</v>
      </c>
      <c r="Q98" s="2"/>
      <c r="R98" s="19"/>
      <c r="S98" s="2"/>
      <c r="T98" s="2">
        <f>-509.85</f>
        <v>-509.85</v>
      </c>
      <c r="U98" s="2"/>
      <c r="V98" s="19"/>
      <c r="W98" s="2"/>
      <c r="X98" s="2">
        <f t="shared" si="2"/>
        <v>324.86</v>
      </c>
      <c r="Y98" s="2"/>
      <c r="Z98" s="19">
        <f t="shared" si="3"/>
        <v>-0.63716779444934779</v>
      </c>
    </row>
    <row r="99" spans="1:26" s="24" customFormat="1" hidden="1" outlineLevel="1" x14ac:dyDescent="0.25">
      <c r="A99" s="44"/>
      <c r="B99" s="11" t="str">
        <f>CONCATENATE("          ", "4304", " - ", "SALES RETURN NON TAXABLE-DIGIT")</f>
        <v xml:space="preserve">          4304 - SALES RETURN NON TAXABLE-DIGIT</v>
      </c>
      <c r="C99" s="11"/>
      <c r="D99" s="2">
        <f>-4048.76</f>
        <v>-4048.76</v>
      </c>
      <c r="E99" s="2"/>
      <c r="F99" s="19"/>
      <c r="G99" s="2"/>
      <c r="H99" s="2">
        <f>-3459.28</f>
        <v>-3459.28</v>
      </c>
      <c r="I99" s="2"/>
      <c r="J99" s="19"/>
      <c r="K99" s="2"/>
      <c r="L99" s="2">
        <f t="shared" si="0"/>
        <v>-589.48</v>
      </c>
      <c r="M99" s="2"/>
      <c r="N99" s="19">
        <f t="shared" si="1"/>
        <v>0.17040540228024328</v>
      </c>
      <c r="O99" s="11"/>
      <c r="P99" s="2">
        <f>-12515.31</f>
        <v>-12515.31</v>
      </c>
      <c r="Q99" s="2"/>
      <c r="R99" s="19"/>
      <c r="S99" s="2"/>
      <c r="T99" s="2">
        <f>-3743.75</f>
        <v>-3743.75</v>
      </c>
      <c r="U99" s="2"/>
      <c r="V99" s="19"/>
      <c r="W99" s="2"/>
      <c r="X99" s="2">
        <f t="shared" si="2"/>
        <v>-8771.56</v>
      </c>
      <c r="Y99" s="2"/>
      <c r="Z99" s="19">
        <f t="shared" si="3"/>
        <v>2.3429876460767947</v>
      </c>
    </row>
    <row r="100" spans="1:26" s="24" customFormat="1" hidden="1" outlineLevel="1" x14ac:dyDescent="0.25">
      <c r="A100" s="44"/>
      <c r="B100" s="11" t="str">
        <f>CONCATENATE("          ", "4311", " - ", "SALES RETURN NON TAXABLE-NO VA")</f>
        <v xml:space="preserve">          4311 - SALES RETURN NON TAXABLE-NO VA</v>
      </c>
      <c r="C100" s="11"/>
      <c r="D100" s="2">
        <f>-276.9</f>
        <v>-276.89999999999998</v>
      </c>
      <c r="E100" s="2"/>
      <c r="F100" s="19"/>
      <c r="G100" s="2"/>
      <c r="H100" s="2">
        <f>-145.04</f>
        <v>-145.04</v>
      </c>
      <c r="I100" s="2"/>
      <c r="J100" s="19"/>
      <c r="K100" s="2"/>
      <c r="L100" s="2">
        <f t="shared" si="0"/>
        <v>-131.85999999999999</v>
      </c>
      <c r="M100" s="2"/>
      <c r="N100" s="19">
        <f t="shared" si="1"/>
        <v>0.90912851627137337</v>
      </c>
      <c r="O100" s="11"/>
      <c r="P100" s="2">
        <f>-387.94</f>
        <v>-387.94</v>
      </c>
      <c r="Q100" s="2"/>
      <c r="R100" s="19"/>
      <c r="S100" s="2"/>
      <c r="T100" s="2">
        <f>-357.92</f>
        <v>-357.92</v>
      </c>
      <c r="U100" s="2"/>
      <c r="V100" s="19"/>
      <c r="W100" s="2"/>
      <c r="X100" s="2">
        <f t="shared" si="2"/>
        <v>-30.019999999999982</v>
      </c>
      <c r="Y100" s="2"/>
      <c r="Z100" s="19">
        <f t="shared" si="3"/>
        <v>8.3873491282968213E-2</v>
      </c>
    </row>
    <row r="101" spans="1:26" s="24" customFormat="1" hidden="1" outlineLevel="1" x14ac:dyDescent="0.25">
      <c r="A101" s="44"/>
      <c r="B101" s="11" t="str">
        <f>CONCATENATE("          ", "4326", " - ", "SALES RETURN NON TAXABLE-WRITI")</f>
        <v xml:space="preserve">          4326 - SALES RETURN NON TAXABLE-WRITI</v>
      </c>
      <c r="C101" s="11"/>
      <c r="D101" s="2">
        <f>0</f>
        <v>0</v>
      </c>
      <c r="E101" s="2"/>
      <c r="F101" s="19"/>
      <c r="G101" s="2"/>
      <c r="H101" s="2">
        <f t="shared" ref="H101:H102" si="11"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0</f>
        <v>0</v>
      </c>
      <c r="Q101" s="2"/>
      <c r="R101" s="19"/>
      <c r="S101" s="2"/>
      <c r="T101" s="2">
        <f>-5.58</f>
        <v>-5.58</v>
      </c>
      <c r="U101" s="2"/>
      <c r="V101" s="19"/>
      <c r="W101" s="2"/>
      <c r="X101" s="2">
        <f t="shared" si="2"/>
        <v>5.58</v>
      </c>
      <c r="Y101" s="2"/>
      <c r="Z101" s="19">
        <f t="shared" si="3"/>
        <v>-1</v>
      </c>
    </row>
    <row r="102" spans="1:26" s="24" customFormat="1" hidden="1" outlineLevel="1" x14ac:dyDescent="0.25">
      <c r="A102" s="44"/>
      <c r="B102" s="11" t="str">
        <f>CONCATENATE("          ", "4327", " - ", "SALES RETURN NON TAXABLE-SCHOO")</f>
        <v xml:space="preserve">          4327 - SALES RETURN NON TAXABLE-SCHOO</v>
      </c>
      <c r="C102" s="11"/>
      <c r="D102" s="2">
        <f>-8.29</f>
        <v>-8.2899999999999991</v>
      </c>
      <c r="E102" s="2"/>
      <c r="F102" s="19"/>
      <c r="G102" s="2"/>
      <c r="H102" s="2">
        <f t="shared" si="11"/>
        <v>0</v>
      </c>
      <c r="I102" s="2"/>
      <c r="J102" s="19"/>
      <c r="K102" s="2"/>
      <c r="L102" s="2">
        <f t="shared" si="0"/>
        <v>-8.2899999999999991</v>
      </c>
      <c r="M102" s="2"/>
      <c r="N102" s="19">
        <f t="shared" si="1"/>
        <v>0</v>
      </c>
      <c r="O102" s="11"/>
      <c r="P102" s="2">
        <f>-21.87</f>
        <v>-21.87</v>
      </c>
      <c r="Q102" s="2"/>
      <c r="R102" s="19"/>
      <c r="S102" s="2"/>
      <c r="T102" s="2">
        <f>0</f>
        <v>0</v>
      </c>
      <c r="U102" s="2"/>
      <c r="V102" s="19"/>
      <c r="W102" s="2"/>
      <c r="X102" s="2">
        <f t="shared" si="2"/>
        <v>-21.87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"4340", " - ", "SALES RETURN NON TAXABLE-LOGO")</f>
        <v xml:space="preserve">          4340 - SALES RETURN NON TAXABLE-LOGO</v>
      </c>
      <c r="C103" s="11"/>
      <c r="D103" s="2">
        <f>-24.95</f>
        <v>-24.95</v>
      </c>
      <c r="E103" s="2"/>
      <c r="F103" s="19"/>
      <c r="G103" s="2"/>
      <c r="H103" s="2">
        <f>-34.95</f>
        <v>-34.950000000000003</v>
      </c>
      <c r="I103" s="2"/>
      <c r="J103" s="19"/>
      <c r="K103" s="2"/>
      <c r="L103" s="2">
        <f t="shared" si="0"/>
        <v>10.000000000000004</v>
      </c>
      <c r="M103" s="2"/>
      <c r="N103" s="19">
        <f t="shared" si="1"/>
        <v>-0.28612303290414887</v>
      </c>
      <c r="O103" s="11"/>
      <c r="P103" s="2">
        <f>-293.45</f>
        <v>-293.45</v>
      </c>
      <c r="Q103" s="2"/>
      <c r="R103" s="19"/>
      <c r="S103" s="2"/>
      <c r="T103" s="2">
        <f>-226.69</f>
        <v>-226.69</v>
      </c>
      <c r="U103" s="2"/>
      <c r="V103" s="19"/>
      <c r="W103" s="2"/>
      <c r="X103" s="2">
        <f t="shared" si="2"/>
        <v>-66.759999999999991</v>
      </c>
      <c r="Y103" s="2"/>
      <c r="Z103" s="19">
        <f t="shared" si="3"/>
        <v>0.29449909568132687</v>
      </c>
    </row>
    <row r="104" spans="1:26" s="24" customFormat="1" hidden="1" outlineLevel="1" x14ac:dyDescent="0.25">
      <c r="A104" s="44"/>
      <c r="B104" s="11" t="str">
        <f>CONCATENATE("          ", "4341", " - ", "SALES RETURN NON TAXABLE-LOGO")</f>
        <v xml:space="preserve">          4341 - SALES RETURN NON TAXABLE-LOGO</v>
      </c>
      <c r="C104" s="11"/>
      <c r="D104" s="2">
        <f>0</f>
        <v>0</v>
      </c>
      <c r="E104" s="2"/>
      <c r="F104" s="19"/>
      <c r="G104" s="2"/>
      <c r="H104" s="2">
        <f>-39.95</f>
        <v>-39.950000000000003</v>
      </c>
      <c r="I104" s="2"/>
      <c r="J104" s="19"/>
      <c r="K104" s="2"/>
      <c r="L104" s="2">
        <f t="shared" si="0"/>
        <v>39.950000000000003</v>
      </c>
      <c r="M104" s="2"/>
      <c r="N104" s="19">
        <f t="shared" si="1"/>
        <v>-1</v>
      </c>
      <c r="O104" s="11"/>
      <c r="P104" s="2">
        <f>-3.95</f>
        <v>-3.95</v>
      </c>
      <c r="Q104" s="2"/>
      <c r="R104" s="19"/>
      <c r="S104" s="2"/>
      <c r="T104" s="2">
        <f>-48.1</f>
        <v>-48.1</v>
      </c>
      <c r="U104" s="2"/>
      <c r="V104" s="19"/>
      <c r="W104" s="2"/>
      <c r="X104" s="2">
        <f t="shared" si="2"/>
        <v>44.15</v>
      </c>
      <c r="Y104" s="2"/>
      <c r="Z104" s="19">
        <f t="shared" si="3"/>
        <v>-0.91787941787941785</v>
      </c>
    </row>
    <row r="105" spans="1:26" s="24" customFormat="1" hidden="1" outlineLevel="1" x14ac:dyDescent="0.25">
      <c r="A105" s="44"/>
      <c r="B105" s="11" t="str">
        <f>CONCATENATE("          ", "4342", " - ", "SALES RETURN NON TAXABLE-EVERY")</f>
        <v xml:space="preserve">          4342 - SALES RETURN NON TAXABLE-EVERY</v>
      </c>
      <c r="C105" s="11"/>
      <c r="D105" s="2">
        <f>-10</f>
        <v>-10</v>
      </c>
      <c r="E105" s="2"/>
      <c r="F105" s="19"/>
      <c r="G105" s="2"/>
      <c r="H105" s="2">
        <f t="shared" ref="H105:H106" si="12">0</f>
        <v>0</v>
      </c>
      <c r="I105" s="2"/>
      <c r="J105" s="19"/>
      <c r="K105" s="2"/>
      <c r="L105" s="2">
        <f t="shared" si="0"/>
        <v>-10</v>
      </c>
      <c r="M105" s="2"/>
      <c r="N105" s="19">
        <f t="shared" si="1"/>
        <v>0</v>
      </c>
      <c r="O105" s="11"/>
      <c r="P105" s="2">
        <f>-10</f>
        <v>-10</v>
      </c>
      <c r="Q105" s="2"/>
      <c r="R105" s="19"/>
      <c r="S105" s="2"/>
      <c r="T105" s="2">
        <f t="shared" ref="T105:T106" si="13">0</f>
        <v>0</v>
      </c>
      <c r="U105" s="2"/>
      <c r="V105" s="19"/>
      <c r="W105" s="2"/>
      <c r="X105" s="2">
        <f t="shared" si="2"/>
        <v>-10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"4346", " - ", "SALES RETURN NON TAXABLE-COIN-")</f>
        <v xml:space="preserve">          4346 - SALES RETURN NON TAXABLE-COIN-</v>
      </c>
      <c r="C106" s="11"/>
      <c r="D106" s="2">
        <f>0</f>
        <v>0</v>
      </c>
      <c r="E106" s="2"/>
      <c r="F106" s="19"/>
      <c r="G106" s="2"/>
      <c r="H106" s="2">
        <f t="shared" si="12"/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-8.15</f>
        <v>-8.15</v>
      </c>
      <c r="Q106" s="2"/>
      <c r="R106" s="19"/>
      <c r="S106" s="2"/>
      <c r="T106" s="2">
        <f t="shared" si="13"/>
        <v>0</v>
      </c>
      <c r="U106" s="2"/>
      <c r="V106" s="19"/>
      <c r="W106" s="2"/>
      <c r="X106" s="2">
        <f t="shared" si="2"/>
        <v>-8.15</v>
      </c>
      <c r="Y106" s="2"/>
      <c r="Z106" s="19">
        <f t="shared" si="3"/>
        <v>0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collapsed="1" x14ac:dyDescent="0.25">
      <c r="A108" s="10"/>
      <c r="B108" s="25" t="s">
        <v>8</v>
      </c>
      <c r="C108" s="10"/>
      <c r="D108" s="4">
        <f>SUM(OSRRefD16x_0)</f>
        <v>820475.03000000049</v>
      </c>
      <c r="E108" s="4"/>
      <c r="F108" s="12">
        <f t="shared" ref="F108:F158" si="14">IF(D$12=0,0,D108/D$12)</f>
        <v>0.55139384239992228</v>
      </c>
      <c r="G108" s="4"/>
      <c r="H108" s="4">
        <f>SUM(OSRRefH16x_0)</f>
        <v>883181.37999999989</v>
      </c>
      <c r="I108" s="4"/>
      <c r="J108" s="12">
        <f t="shared" ref="J108:J158" si="15">IF(H$12=0,0,H108/H$12)</f>
        <v>0.57902241608110272</v>
      </c>
      <c r="K108" s="4"/>
      <c r="L108" s="4">
        <f t="shared" ref="L108:L158" si="16">+D108-H108</f>
        <v>-62706.349999999395</v>
      </c>
      <c r="M108" s="4"/>
      <c r="N108" s="12">
        <f t="shared" ref="N108:N158" si="17">IF(H108=0,0,L108/H108)</f>
        <v>-7.1000534454201694E-2</v>
      </c>
      <c r="O108" s="10"/>
      <c r="P108" s="4">
        <f>SUM(OSRRefP16x_0)</f>
        <v>2876140.1099999994</v>
      </c>
      <c r="Q108" s="4"/>
      <c r="R108" s="12">
        <f t="shared" ref="R108:R158" si="18">IF(P$12=0,0,P108/P$12)</f>
        <v>0.60800056963242144</v>
      </c>
      <c r="S108" s="4"/>
      <c r="T108" s="4">
        <f>SUM(OSRRefT16x_0)</f>
        <v>3213253.81</v>
      </c>
      <c r="U108" s="4"/>
      <c r="V108" s="12">
        <f t="shared" ref="V108:V158" si="19">IF(T$12=0,0,T108/T$12)</f>
        <v>0.62618433933464102</v>
      </c>
      <c r="W108" s="4"/>
      <c r="X108" s="4">
        <f t="shared" ref="X108:X158" si="20">+P108-T108</f>
        <v>-337113.70000000065</v>
      </c>
      <c r="Y108" s="4"/>
      <c r="Z108" s="12">
        <f t="shared" ref="Z108:Z158" si="21">IF(T108=0,0,X108/T108)</f>
        <v>-0.1049134988810612</v>
      </c>
    </row>
    <row r="109" spans="1:26" s="24" customFormat="1" hidden="1" outlineLevel="1" x14ac:dyDescent="0.25">
      <c r="A109" s="44"/>
      <c r="B109" s="11" t="str">
        <f>CONCATENATE("          ", "5001", " - ", "PURCHASES @ COST-NEW TEXT")</f>
        <v xml:space="preserve">          5001 - PURCHASES @ COST-NEW TEXT</v>
      </c>
      <c r="C109" s="11"/>
      <c r="D109" s="2">
        <v>104892.25</v>
      </c>
      <c r="E109" s="2"/>
      <c r="F109" s="19">
        <f t="shared" si="14"/>
        <v>7.0492018222020988E-2</v>
      </c>
      <c r="G109" s="2"/>
      <c r="H109" s="2">
        <v>297306.68</v>
      </c>
      <c r="I109" s="2"/>
      <c r="J109" s="19">
        <f t="shared" si="15"/>
        <v>0.19491718923088172</v>
      </c>
      <c r="K109" s="2"/>
      <c r="L109" s="2">
        <f t="shared" si="16"/>
        <v>-192414.43</v>
      </c>
      <c r="M109" s="2"/>
      <c r="N109" s="19">
        <f t="shared" si="17"/>
        <v>-0.64719174826478842</v>
      </c>
      <c r="O109" s="11"/>
      <c r="P109" s="2">
        <v>1932650.95</v>
      </c>
      <c r="Q109" s="2"/>
      <c r="R109" s="19">
        <f t="shared" si="18"/>
        <v>0.40855202930313456</v>
      </c>
      <c r="S109" s="2"/>
      <c r="T109" s="2">
        <v>2052477.64</v>
      </c>
      <c r="U109" s="2"/>
      <c r="V109" s="19">
        <f t="shared" si="19"/>
        <v>0.39997754021258691</v>
      </c>
      <c r="W109" s="2"/>
      <c r="X109" s="2">
        <f t="shared" si="20"/>
        <v>-119826.68999999994</v>
      </c>
      <c r="Y109" s="2"/>
      <c r="Z109" s="19">
        <f t="shared" si="21"/>
        <v>-5.8381483756383308E-2</v>
      </c>
    </row>
    <row r="110" spans="1:26" s="24" customFormat="1" hidden="1" outlineLevel="1" x14ac:dyDescent="0.25">
      <c r="A110" s="44"/>
      <c r="B110" s="11" t="str">
        <f>CONCATENATE("          ", "5002", " - ", "PURCHASES @ COST-USED TEXT")</f>
        <v xml:space="preserve">          5002 - PURCHASES @ COST-USED TEXT</v>
      </c>
      <c r="C110" s="11"/>
      <c r="D110" s="2">
        <v>18830.57</v>
      </c>
      <c r="E110" s="2"/>
      <c r="F110" s="19">
        <f t="shared" si="14"/>
        <v>1.2654937648596935E-2</v>
      </c>
      <c r="G110" s="2"/>
      <c r="H110" s="2">
        <v>144475.76</v>
      </c>
      <c r="I110" s="2"/>
      <c r="J110" s="19">
        <f t="shared" si="15"/>
        <v>9.4719731999279189E-2</v>
      </c>
      <c r="K110" s="2"/>
      <c r="L110" s="2">
        <f t="shared" si="16"/>
        <v>-125645.19</v>
      </c>
      <c r="M110" s="2"/>
      <c r="N110" s="19">
        <f t="shared" si="17"/>
        <v>-0.86966277249553836</v>
      </c>
      <c r="O110" s="11"/>
      <c r="P110" s="2">
        <v>353811.24</v>
      </c>
      <c r="Q110" s="2"/>
      <c r="R110" s="19">
        <f t="shared" si="18"/>
        <v>7.4793795585415143E-2</v>
      </c>
      <c r="S110" s="2"/>
      <c r="T110" s="2">
        <v>315050.18</v>
      </c>
      <c r="U110" s="2"/>
      <c r="V110" s="19">
        <f t="shared" si="19"/>
        <v>6.1395551203146236E-2</v>
      </c>
      <c r="W110" s="2"/>
      <c r="X110" s="2">
        <f t="shared" si="20"/>
        <v>38761.06</v>
      </c>
      <c r="Y110" s="2"/>
      <c r="Z110" s="19">
        <f t="shared" si="21"/>
        <v>0.1230313850320606</v>
      </c>
    </row>
    <row r="111" spans="1:26" s="24" customFormat="1" hidden="1" outlineLevel="1" x14ac:dyDescent="0.25">
      <c r="A111" s="44"/>
      <c r="B111" s="11" t="str">
        <f>CONCATENATE("          ", "5003", " - ", "PURCHASES @ COST-RENTAL TEXT")</f>
        <v xml:space="preserve">          5003 - PURCHASES @ COST-RENTAL TEXT</v>
      </c>
      <c r="C111" s="11"/>
      <c r="D111" s="2"/>
      <c r="E111" s="2"/>
      <c r="F111" s="19">
        <f t="shared" si="14"/>
        <v>0</v>
      </c>
      <c r="G111" s="2"/>
      <c r="H111" s="2">
        <v>-2966.4</v>
      </c>
      <c r="I111" s="2"/>
      <c r="J111" s="19">
        <f t="shared" si="15"/>
        <v>-1.9448010725305184E-3</v>
      </c>
      <c r="K111" s="2"/>
      <c r="L111" s="2">
        <f t="shared" si="16"/>
        <v>2966.4</v>
      </c>
      <c r="M111" s="2"/>
      <c r="N111" s="19">
        <f t="shared" si="17"/>
        <v>-1</v>
      </c>
      <c r="O111" s="11"/>
      <c r="P111" s="2">
        <v>-78.400000000000006</v>
      </c>
      <c r="Q111" s="2"/>
      <c r="R111" s="19">
        <f t="shared" si="18"/>
        <v>-1.6573338862543056E-5</v>
      </c>
      <c r="S111" s="2"/>
      <c r="T111" s="2">
        <v>-522.1</v>
      </c>
      <c r="U111" s="2"/>
      <c r="V111" s="19">
        <f t="shared" si="19"/>
        <v>-1.0174448173037912E-4</v>
      </c>
      <c r="W111" s="2"/>
      <c r="X111" s="2">
        <f t="shared" si="20"/>
        <v>443.70000000000005</v>
      </c>
      <c r="Y111" s="2"/>
      <c r="Z111" s="19">
        <f t="shared" si="21"/>
        <v>-0.84983719593947527</v>
      </c>
    </row>
    <row r="112" spans="1:26" s="24" customFormat="1" hidden="1" outlineLevel="1" x14ac:dyDescent="0.25">
      <c r="A112" s="44"/>
      <c r="B112" s="11" t="str">
        <f>CONCATENATE("          ", "5004", " - ", "PURCHASES @ COST-DIGITAL TEXT")</f>
        <v xml:space="preserve">          5004 - PURCHASES @ COST-DIGITAL TEXT</v>
      </c>
      <c r="C112" s="11"/>
      <c r="D112" s="2">
        <v>50761.9</v>
      </c>
      <c r="E112" s="2"/>
      <c r="F112" s="19">
        <f t="shared" si="14"/>
        <v>3.4114138840423455E-2</v>
      </c>
      <c r="G112" s="2"/>
      <c r="H112" s="2">
        <v>37466.380000000005</v>
      </c>
      <c r="I112" s="2"/>
      <c r="J112" s="19">
        <f t="shared" si="15"/>
        <v>2.456332794223165E-2</v>
      </c>
      <c r="K112" s="2"/>
      <c r="L112" s="2">
        <f t="shared" si="16"/>
        <v>13295.519999999997</v>
      </c>
      <c r="M112" s="2"/>
      <c r="N112" s="19">
        <f t="shared" si="17"/>
        <v>0.35486534861387714</v>
      </c>
      <c r="O112" s="11"/>
      <c r="P112" s="2">
        <v>353728.39</v>
      </c>
      <c r="Q112" s="2"/>
      <c r="R112" s="19">
        <f t="shared" si="18"/>
        <v>7.4776281540456457E-2</v>
      </c>
      <c r="S112" s="2"/>
      <c r="T112" s="2">
        <v>239679.49000000002</v>
      </c>
      <c r="U112" s="2"/>
      <c r="V112" s="19">
        <f t="shared" si="19"/>
        <v>4.6707652732142474E-2</v>
      </c>
      <c r="W112" s="2"/>
      <c r="X112" s="2">
        <f t="shared" si="20"/>
        <v>114048.9</v>
      </c>
      <c r="Y112" s="2"/>
      <c r="Z112" s="19">
        <f t="shared" si="21"/>
        <v>0.47583921344291907</v>
      </c>
    </row>
    <row r="113" spans="1:26" s="24" customFormat="1" hidden="1" outlineLevel="1" x14ac:dyDescent="0.25">
      <c r="A113" s="44"/>
      <c r="B113" s="11" t="str">
        <f>CONCATENATE("          ", "5011", " - ", "PURCHASES @ COST-NO VALUE TEXT")</f>
        <v xml:space="preserve">          5011 - PURCHASES @ COST-NO VALUE TEXT</v>
      </c>
      <c r="C113" s="11"/>
      <c r="D113" s="2">
        <v>2928</v>
      </c>
      <c r="E113" s="2"/>
      <c r="F113" s="19">
        <f t="shared" si="14"/>
        <v>1.9677395551537646E-3</v>
      </c>
      <c r="G113" s="2"/>
      <c r="H113" s="2">
        <v>126</v>
      </c>
      <c r="I113" s="2"/>
      <c r="J113" s="19">
        <f t="shared" si="15"/>
        <v>8.2606841673019585E-5</v>
      </c>
      <c r="K113" s="2"/>
      <c r="L113" s="2">
        <f t="shared" si="16"/>
        <v>2802</v>
      </c>
      <c r="M113" s="2"/>
      <c r="N113" s="19">
        <f t="shared" si="17"/>
        <v>22.238095238095237</v>
      </c>
      <c r="O113" s="11"/>
      <c r="P113" s="2">
        <v>3585</v>
      </c>
      <c r="Q113" s="2"/>
      <c r="R113" s="19">
        <f t="shared" si="18"/>
        <v>7.5784974263031694E-4</v>
      </c>
      <c r="S113" s="2"/>
      <c r="T113" s="2">
        <v>1083</v>
      </c>
      <c r="U113" s="2"/>
      <c r="V113" s="19">
        <f t="shared" si="19"/>
        <v>2.1105013161080364E-4</v>
      </c>
      <c r="W113" s="2"/>
      <c r="X113" s="2">
        <f t="shared" si="20"/>
        <v>2502</v>
      </c>
      <c r="Y113" s="2"/>
      <c r="Z113" s="19">
        <f t="shared" si="21"/>
        <v>2.3102493074792245</v>
      </c>
    </row>
    <row r="114" spans="1:26" s="24" customFormat="1" hidden="1" outlineLevel="1" x14ac:dyDescent="0.25">
      <c r="A114" s="44"/>
      <c r="B114" s="11" t="str">
        <f>CONCATENATE("          ", "5013", " - ", "PURCHASES @ COST-TRADE BOOKS")</f>
        <v xml:space="preserve">          5013 - PURCHASES @ COST-TRADE BOOKS</v>
      </c>
      <c r="C114" s="11"/>
      <c r="D114" s="2">
        <v>269.89</v>
      </c>
      <c r="E114" s="2"/>
      <c r="F114" s="19">
        <f t="shared" si="14"/>
        <v>1.8137746876381472E-4</v>
      </c>
      <c r="G114" s="2"/>
      <c r="H114" s="2">
        <v>-1023.61</v>
      </c>
      <c r="I114" s="2"/>
      <c r="J114" s="19">
        <f t="shared" si="15"/>
        <v>-6.7108880321364742E-4</v>
      </c>
      <c r="K114" s="2"/>
      <c r="L114" s="2">
        <f t="shared" si="16"/>
        <v>1293.5</v>
      </c>
      <c r="M114" s="2"/>
      <c r="N114" s="19">
        <f t="shared" si="17"/>
        <v>-1.2636648723634978</v>
      </c>
      <c r="O114" s="11"/>
      <c r="P114" s="2">
        <v>474.79</v>
      </c>
      <c r="Q114" s="2"/>
      <c r="R114" s="19">
        <f t="shared" si="18"/>
        <v>1.0036805559370939E-4</v>
      </c>
      <c r="S114" s="2"/>
      <c r="T114" s="2">
        <v>579.38</v>
      </c>
      <c r="U114" s="2"/>
      <c r="V114" s="19">
        <f t="shared" si="19"/>
        <v>1.1290694852508532E-4</v>
      </c>
      <c r="W114" s="2"/>
      <c r="X114" s="2">
        <f t="shared" si="20"/>
        <v>-104.58999999999997</v>
      </c>
      <c r="Y114" s="2"/>
      <c r="Z114" s="19">
        <f t="shared" si="21"/>
        <v>-0.18052055645690215</v>
      </c>
    </row>
    <row r="115" spans="1:26" s="24" customFormat="1" hidden="1" outlineLevel="1" x14ac:dyDescent="0.25">
      <c r="A115" s="44"/>
      <c r="B115" s="11" t="str">
        <f>CONCATENATE("          ", "5014", " - ", "PURCHASES @ COST-REMAINDERS")</f>
        <v xml:space="preserve">          5014 - PURCHASES @ COST-REMAINDERS</v>
      </c>
      <c r="C115" s="11"/>
      <c r="D115" s="2">
        <v>55.65</v>
      </c>
      <c r="E115" s="2"/>
      <c r="F115" s="19">
        <f t="shared" si="14"/>
        <v>3.7399148307481895E-5</v>
      </c>
      <c r="G115" s="2"/>
      <c r="H115" s="2">
        <v>197.26</v>
      </c>
      <c r="I115" s="2"/>
      <c r="J115" s="19">
        <f t="shared" si="15"/>
        <v>1.29325599908094E-4</v>
      </c>
      <c r="K115" s="2"/>
      <c r="L115" s="2">
        <f t="shared" si="16"/>
        <v>-141.60999999999999</v>
      </c>
      <c r="M115" s="2"/>
      <c r="N115" s="19">
        <f t="shared" si="17"/>
        <v>-0.71788502484031225</v>
      </c>
      <c r="O115" s="11"/>
      <c r="P115" s="2">
        <v>289.97000000000003</v>
      </c>
      <c r="Q115" s="2"/>
      <c r="R115" s="19">
        <f t="shared" si="18"/>
        <v>6.1298100382290935E-5</v>
      </c>
      <c r="S115" s="2"/>
      <c r="T115" s="2">
        <v>401.26</v>
      </c>
      <c r="U115" s="2"/>
      <c r="V115" s="19">
        <f t="shared" si="19"/>
        <v>7.8195730203278911E-5</v>
      </c>
      <c r="W115" s="2"/>
      <c r="X115" s="2">
        <f t="shared" si="20"/>
        <v>-111.28999999999996</v>
      </c>
      <c r="Y115" s="2"/>
      <c r="Z115" s="19">
        <f t="shared" si="21"/>
        <v>-0.27735134326870348</v>
      </c>
    </row>
    <row r="116" spans="1:26" s="24" customFormat="1" hidden="1" outlineLevel="1" x14ac:dyDescent="0.25">
      <c r="A116" s="44"/>
      <c r="B116" s="11" t="str">
        <f>CONCATENATE("          ", "5017", " - ", "PURCHASES @ COST-DORM/HOUSEWAR")</f>
        <v xml:space="preserve">          5017 - PURCHASES @ COST-DORM/HOUSEWAR</v>
      </c>
      <c r="C116" s="11"/>
      <c r="D116" s="2">
        <v>-139.86000000000001</v>
      </c>
      <c r="E116" s="2"/>
      <c r="F116" s="19">
        <f t="shared" si="14"/>
        <v>-9.3991821784086582E-5</v>
      </c>
      <c r="G116" s="2"/>
      <c r="H116" s="2">
        <v>-959.6</v>
      </c>
      <c r="I116" s="2"/>
      <c r="J116" s="19">
        <f t="shared" si="15"/>
        <v>-6.2912321642404447E-4</v>
      </c>
      <c r="K116" s="2"/>
      <c r="L116" s="2">
        <f t="shared" si="16"/>
        <v>819.74</v>
      </c>
      <c r="M116" s="2"/>
      <c r="N116" s="19">
        <f t="shared" si="17"/>
        <v>-0.85425177157148813</v>
      </c>
      <c r="O116" s="11"/>
      <c r="P116" s="2">
        <v>0</v>
      </c>
      <c r="Q116" s="2"/>
      <c r="R116" s="19">
        <f t="shared" si="18"/>
        <v>0</v>
      </c>
      <c r="S116" s="2"/>
      <c r="T116" s="2">
        <v>0</v>
      </c>
      <c r="U116" s="2"/>
      <c r="V116" s="19">
        <f t="shared" si="19"/>
        <v>0</v>
      </c>
      <c r="W116" s="2"/>
      <c r="X116" s="2">
        <f t="shared" si="20"/>
        <v>0</v>
      </c>
      <c r="Y116" s="2"/>
      <c r="Z116" s="19">
        <f t="shared" si="21"/>
        <v>0</v>
      </c>
    </row>
    <row r="117" spans="1:26" s="24" customFormat="1" hidden="1" outlineLevel="1" x14ac:dyDescent="0.25">
      <c r="A117" s="44"/>
      <c r="B117" s="11" t="str">
        <f>CONCATENATE("          ", "5018", " - ", "PURCHASES @ COST-STUDY GUIDES")</f>
        <v xml:space="preserve">          5018 - PURCHASES @ COST-STUDY GUIDES</v>
      </c>
      <c r="C117" s="11"/>
      <c r="D117" s="2"/>
      <c r="E117" s="2"/>
      <c r="F117" s="19">
        <f t="shared" si="14"/>
        <v>0</v>
      </c>
      <c r="G117" s="2"/>
      <c r="H117" s="2">
        <v>216.04</v>
      </c>
      <c r="I117" s="2"/>
      <c r="J117" s="19">
        <f t="shared" si="15"/>
        <v>1.4163795297650119E-4</v>
      </c>
      <c r="K117" s="2"/>
      <c r="L117" s="2">
        <f t="shared" si="16"/>
        <v>-216.04</v>
      </c>
      <c r="M117" s="2"/>
      <c r="N117" s="19">
        <f t="shared" si="17"/>
        <v>-1</v>
      </c>
      <c r="O117" s="11"/>
      <c r="P117" s="2">
        <v>503.93</v>
      </c>
      <c r="Q117" s="2"/>
      <c r="R117" s="19">
        <f t="shared" si="18"/>
        <v>1.0652809506379236E-4</v>
      </c>
      <c r="S117" s="2"/>
      <c r="T117" s="2">
        <v>1034.67</v>
      </c>
      <c r="U117" s="2"/>
      <c r="V117" s="19">
        <f t="shared" si="19"/>
        <v>2.0163180025277027E-4</v>
      </c>
      <c r="W117" s="2"/>
      <c r="X117" s="2">
        <f t="shared" si="20"/>
        <v>-530.74</v>
      </c>
      <c r="Y117" s="2"/>
      <c r="Z117" s="19">
        <f t="shared" si="21"/>
        <v>-0.51295582166294562</v>
      </c>
    </row>
    <row r="118" spans="1:26" s="24" customFormat="1" hidden="1" outlineLevel="1" x14ac:dyDescent="0.25">
      <c r="A118" s="44"/>
      <c r="B118" s="11" t="str">
        <f>CONCATENATE("          ", "5025", " - ", "PURCHASES @ COST-TEST FORMS")</f>
        <v xml:space="preserve">          5025 - PURCHASES @ COST-TEST FORMS</v>
      </c>
      <c r="C118" s="11"/>
      <c r="D118" s="2">
        <v>1495.25</v>
      </c>
      <c r="E118" s="2"/>
      <c r="F118" s="19">
        <f t="shared" si="14"/>
        <v>1.0048710962580827E-3</v>
      </c>
      <c r="G118" s="2"/>
      <c r="H118" s="2">
        <v>0</v>
      </c>
      <c r="I118" s="2"/>
      <c r="J118" s="19">
        <f t="shared" si="15"/>
        <v>0</v>
      </c>
      <c r="K118" s="2"/>
      <c r="L118" s="2">
        <f t="shared" si="16"/>
        <v>1495.25</v>
      </c>
      <c r="M118" s="2"/>
      <c r="N118" s="19">
        <f t="shared" si="17"/>
        <v>0</v>
      </c>
      <c r="O118" s="11"/>
      <c r="P118" s="2">
        <v>3252.39</v>
      </c>
      <c r="Q118" s="2"/>
      <c r="R118" s="19">
        <f t="shared" si="18"/>
        <v>6.875377752952347E-4</v>
      </c>
      <c r="S118" s="2"/>
      <c r="T118" s="2">
        <v>1050</v>
      </c>
      <c r="U118" s="2"/>
      <c r="V118" s="19">
        <f t="shared" si="19"/>
        <v>2.0461924117390933E-4</v>
      </c>
      <c r="W118" s="2"/>
      <c r="X118" s="2">
        <f t="shared" si="20"/>
        <v>2202.39</v>
      </c>
      <c r="Y118" s="2"/>
      <c r="Z118" s="19">
        <f t="shared" si="21"/>
        <v>2.0975142857142854</v>
      </c>
    </row>
    <row r="119" spans="1:26" s="24" customFormat="1" hidden="1" outlineLevel="1" x14ac:dyDescent="0.25">
      <c r="A119" s="44"/>
      <c r="B119" s="11" t="str">
        <f>CONCATENATE("          ", "5026", " - ", "PURCHASES @ COST-WRITING INSTR")</f>
        <v xml:space="preserve">          5026 - PURCHASES @ COST-WRITING INSTR</v>
      </c>
      <c r="C119" s="11"/>
      <c r="D119" s="2">
        <v>2250.85</v>
      </c>
      <c r="E119" s="2"/>
      <c r="F119" s="19">
        <f t="shared" si="14"/>
        <v>1.5126661809145665E-3</v>
      </c>
      <c r="G119" s="2"/>
      <c r="H119" s="2">
        <v>18243.670000000002</v>
      </c>
      <c r="I119" s="2"/>
      <c r="J119" s="19">
        <f t="shared" si="15"/>
        <v>1.1960729835117598E-2</v>
      </c>
      <c r="K119" s="2"/>
      <c r="L119" s="2">
        <f t="shared" si="16"/>
        <v>-15992.820000000002</v>
      </c>
      <c r="M119" s="2"/>
      <c r="N119" s="19">
        <f t="shared" si="17"/>
        <v>-0.87662296018290176</v>
      </c>
      <c r="O119" s="11"/>
      <c r="P119" s="2">
        <v>14787.38</v>
      </c>
      <c r="Q119" s="2"/>
      <c r="R119" s="19">
        <f t="shared" si="18"/>
        <v>3.1259726993519373E-3</v>
      </c>
      <c r="S119" s="2"/>
      <c r="T119" s="2">
        <v>22840.489999999998</v>
      </c>
      <c r="U119" s="2"/>
      <c r="V119" s="19">
        <f t="shared" si="19"/>
        <v>4.4510511731812039E-3</v>
      </c>
      <c r="W119" s="2"/>
      <c r="X119" s="2">
        <f t="shared" si="20"/>
        <v>-8053.1099999999988</v>
      </c>
      <c r="Y119" s="2"/>
      <c r="Z119" s="19">
        <f t="shared" si="21"/>
        <v>-0.3525804393863704</v>
      </c>
    </row>
    <row r="120" spans="1:26" s="24" customFormat="1" hidden="1" outlineLevel="1" x14ac:dyDescent="0.25">
      <c r="A120" s="44"/>
      <c r="B120" s="11" t="str">
        <f>CONCATENATE("          ", "5027", " - ", "PURCHASES @ COST-SCHOOL SUPPLI")</f>
        <v xml:space="preserve">          5027 - PURCHASES @ COST-SCHOOL SUPPLI</v>
      </c>
      <c r="C120" s="11"/>
      <c r="D120" s="2">
        <v>12655.95</v>
      </c>
      <c r="E120" s="2"/>
      <c r="F120" s="19">
        <f t="shared" si="14"/>
        <v>8.5053324532268736E-3</v>
      </c>
      <c r="G120" s="2"/>
      <c r="H120" s="2">
        <v>15062.04</v>
      </c>
      <c r="I120" s="2"/>
      <c r="J120" s="19">
        <f t="shared" si="15"/>
        <v>9.8748218535927614E-3</v>
      </c>
      <c r="K120" s="2"/>
      <c r="L120" s="2">
        <f t="shared" si="16"/>
        <v>-2406.09</v>
      </c>
      <c r="M120" s="2"/>
      <c r="N120" s="19">
        <f t="shared" si="17"/>
        <v>-0.15974529346622371</v>
      </c>
      <c r="O120" s="11"/>
      <c r="P120" s="2">
        <v>62182.680000000008</v>
      </c>
      <c r="Q120" s="2"/>
      <c r="R120" s="19">
        <f t="shared" si="18"/>
        <v>1.3145084528330086E-2</v>
      </c>
      <c r="S120" s="2"/>
      <c r="T120" s="2">
        <v>58732.23</v>
      </c>
      <c r="U120" s="2"/>
      <c r="V120" s="19">
        <f t="shared" si="19"/>
        <v>1.1445470795287157E-2</v>
      </c>
      <c r="W120" s="2"/>
      <c r="X120" s="2">
        <f t="shared" si="20"/>
        <v>3450.4500000000044</v>
      </c>
      <c r="Y120" s="2"/>
      <c r="Z120" s="19">
        <f t="shared" si="21"/>
        <v>5.8748833476951312E-2</v>
      </c>
    </row>
    <row r="121" spans="1:26" s="24" customFormat="1" hidden="1" outlineLevel="1" x14ac:dyDescent="0.25">
      <c r="A121" s="44"/>
      <c r="B121" s="11" t="str">
        <f>CONCATENATE("          ", "5028", " - ", "PURCHASES @ COST-ART/TECH")</f>
        <v xml:space="preserve">          5028 - PURCHASES @ COST-ART/TECH</v>
      </c>
      <c r="C121" s="11"/>
      <c r="D121" s="2">
        <v>14830.009999999998</v>
      </c>
      <c r="E121" s="2"/>
      <c r="F121" s="19">
        <f t="shared" si="14"/>
        <v>9.9663925137724978E-3</v>
      </c>
      <c r="G121" s="2"/>
      <c r="H121" s="2">
        <v>15579.26</v>
      </c>
      <c r="I121" s="2"/>
      <c r="J121" s="19">
        <f t="shared" si="15"/>
        <v>1.0213916382561961E-2</v>
      </c>
      <c r="K121" s="2"/>
      <c r="L121" s="2">
        <f t="shared" si="16"/>
        <v>-749.25000000000182</v>
      </c>
      <c r="M121" s="2"/>
      <c r="N121" s="19">
        <f t="shared" si="17"/>
        <v>-4.8092784894789728E-2</v>
      </c>
      <c r="O121" s="11"/>
      <c r="P121" s="2">
        <v>70844.78</v>
      </c>
      <c r="Q121" s="2"/>
      <c r="R121" s="19">
        <f t="shared" si="18"/>
        <v>1.4976205938549909E-2</v>
      </c>
      <c r="S121" s="2"/>
      <c r="T121" s="2">
        <v>53175.57</v>
      </c>
      <c r="U121" s="2"/>
      <c r="V121" s="19">
        <f t="shared" si="19"/>
        <v>1.036261407846676E-2</v>
      </c>
      <c r="W121" s="2"/>
      <c r="X121" s="2">
        <f t="shared" si="20"/>
        <v>17669.21</v>
      </c>
      <c r="Y121" s="2"/>
      <c r="Z121" s="19">
        <f t="shared" si="21"/>
        <v>0.3322805942653741</v>
      </c>
    </row>
    <row r="122" spans="1:26" s="24" customFormat="1" hidden="1" outlineLevel="1" x14ac:dyDescent="0.25">
      <c r="A122" s="44"/>
      <c r="B122" s="11" t="str">
        <f>CONCATENATE("          ", "5031", " - ", "PURCHASES @ COST-FOOD")</f>
        <v xml:space="preserve">          5031 - PURCHASES @ COST-FOOD</v>
      </c>
      <c r="C122" s="11"/>
      <c r="D122" s="2">
        <v>5471.01</v>
      </c>
      <c r="E122" s="2"/>
      <c r="F122" s="19">
        <f t="shared" si="14"/>
        <v>3.6767495845771167E-3</v>
      </c>
      <c r="G122" s="2"/>
      <c r="H122" s="2">
        <v>4130.26</v>
      </c>
      <c r="I122" s="2"/>
      <c r="J122" s="19">
        <f t="shared" si="15"/>
        <v>2.707839157844491E-3</v>
      </c>
      <c r="K122" s="2"/>
      <c r="L122" s="2">
        <f t="shared" si="16"/>
        <v>1340.75</v>
      </c>
      <c r="M122" s="2"/>
      <c r="N122" s="19">
        <f t="shared" si="17"/>
        <v>0.32461636797683435</v>
      </c>
      <c r="O122" s="11"/>
      <c r="P122" s="2">
        <v>8150.05</v>
      </c>
      <c r="Q122" s="2"/>
      <c r="R122" s="19">
        <f t="shared" si="18"/>
        <v>1.7228767907738396E-3</v>
      </c>
      <c r="S122" s="2"/>
      <c r="T122" s="2">
        <v>7093.43</v>
      </c>
      <c r="U122" s="2"/>
      <c r="V122" s="19">
        <f t="shared" si="19"/>
        <v>1.3823354894478511E-3</v>
      </c>
      <c r="W122" s="2"/>
      <c r="X122" s="2">
        <f t="shared" si="20"/>
        <v>1056.6199999999999</v>
      </c>
      <c r="Y122" s="2"/>
      <c r="Z122" s="19">
        <f t="shared" si="21"/>
        <v>0.14895755649946499</v>
      </c>
    </row>
    <row r="123" spans="1:26" s="24" customFormat="1" hidden="1" outlineLevel="1" x14ac:dyDescent="0.25">
      <c r="A123" s="44"/>
      <c r="B123" s="11" t="str">
        <f>CONCATENATE("          ", "5032", " - ", "PURCHASES @ COST-JUICE")</f>
        <v xml:space="preserve">          5032 - PURCHASES @ COST-JUICE</v>
      </c>
      <c r="C123" s="11"/>
      <c r="D123" s="2">
        <v>477.55</v>
      </c>
      <c r="E123" s="2"/>
      <c r="F123" s="19">
        <f t="shared" si="14"/>
        <v>3.2093375155863398E-4</v>
      </c>
      <c r="G123" s="2"/>
      <c r="H123" s="2">
        <v>1045.49</v>
      </c>
      <c r="I123" s="2"/>
      <c r="J123" s="19">
        <f t="shared" si="15"/>
        <v>6.8543354683115278E-4</v>
      </c>
      <c r="K123" s="2"/>
      <c r="L123" s="2">
        <f t="shared" si="16"/>
        <v>-567.94000000000005</v>
      </c>
      <c r="M123" s="2"/>
      <c r="N123" s="19">
        <f t="shared" si="17"/>
        <v>-0.54322853398884741</v>
      </c>
      <c r="O123" s="11"/>
      <c r="P123" s="2">
        <v>819.15</v>
      </c>
      <c r="Q123" s="2"/>
      <c r="R123" s="19">
        <f t="shared" si="18"/>
        <v>1.7316390981188956E-4</v>
      </c>
      <c r="S123" s="2"/>
      <c r="T123" s="2">
        <v>2027.58</v>
      </c>
      <c r="U123" s="2"/>
      <c r="V123" s="19">
        <f t="shared" si="19"/>
        <v>3.9512560097085248E-4</v>
      </c>
      <c r="W123" s="2"/>
      <c r="X123" s="2">
        <f t="shared" si="20"/>
        <v>-1208.4299999999998</v>
      </c>
      <c r="Y123" s="2"/>
      <c r="Z123" s="19">
        <f t="shared" si="21"/>
        <v>-0.59599621223330268</v>
      </c>
    </row>
    <row r="124" spans="1:26" s="24" customFormat="1" hidden="1" outlineLevel="1" x14ac:dyDescent="0.25">
      <c r="A124" s="44"/>
      <c r="B124" s="11" t="str">
        <f>CONCATENATE("          ", "5033", " - ", "PURCHASES @ COST-CANDY")</f>
        <v xml:space="preserve">          5033 - PURCHASES @ COST-CANDY</v>
      </c>
      <c r="C124" s="11"/>
      <c r="D124" s="2">
        <v>1366.65</v>
      </c>
      <c r="E124" s="2"/>
      <c r="F124" s="19">
        <f t="shared" si="14"/>
        <v>9.1844646962120646E-4</v>
      </c>
      <c r="G124" s="2"/>
      <c r="H124" s="2">
        <v>682.94</v>
      </c>
      <c r="I124" s="2"/>
      <c r="J124" s="19">
        <f t="shared" si="15"/>
        <v>4.4774219406485717E-4</v>
      </c>
      <c r="K124" s="2"/>
      <c r="L124" s="2">
        <f t="shared" si="16"/>
        <v>683.71</v>
      </c>
      <c r="M124" s="2"/>
      <c r="N124" s="19">
        <f t="shared" si="17"/>
        <v>1.0011274782557764</v>
      </c>
      <c r="O124" s="11"/>
      <c r="P124" s="2">
        <v>2353.11</v>
      </c>
      <c r="Q124" s="2"/>
      <c r="R124" s="19">
        <f t="shared" si="18"/>
        <v>4.974348139137587E-4</v>
      </c>
      <c r="S124" s="2"/>
      <c r="T124" s="2">
        <v>1772.86</v>
      </c>
      <c r="U124" s="2"/>
      <c r="V124" s="19">
        <f t="shared" si="19"/>
        <v>3.454869218167399E-4</v>
      </c>
      <c r="W124" s="2"/>
      <c r="X124" s="2">
        <f t="shared" si="20"/>
        <v>580.25000000000023</v>
      </c>
      <c r="Y124" s="2"/>
      <c r="Z124" s="19">
        <f t="shared" si="21"/>
        <v>0.32729600758097099</v>
      </c>
    </row>
    <row r="125" spans="1:26" s="24" customFormat="1" hidden="1" outlineLevel="1" x14ac:dyDescent="0.25">
      <c r="A125" s="44"/>
      <c r="B125" s="11" t="str">
        <f>CONCATENATE("          ", "5034", " - ", "PURCHASES @ COST-SODA")</f>
        <v xml:space="preserve">          5034 - PURCHASES @ COST-SODA</v>
      </c>
      <c r="C125" s="11"/>
      <c r="D125" s="2">
        <v>330.04</v>
      </c>
      <c r="E125" s="2"/>
      <c r="F125" s="19">
        <f t="shared" si="14"/>
        <v>2.218008069613895E-4</v>
      </c>
      <c r="G125" s="2"/>
      <c r="H125" s="2">
        <v>148.22</v>
      </c>
      <c r="I125" s="2"/>
      <c r="J125" s="19">
        <f t="shared" si="15"/>
        <v>9.7174492641071141E-5</v>
      </c>
      <c r="K125" s="2"/>
      <c r="L125" s="2">
        <f t="shared" si="16"/>
        <v>181.82000000000002</v>
      </c>
      <c r="M125" s="2"/>
      <c r="N125" s="19">
        <f t="shared" si="17"/>
        <v>1.2266900553231683</v>
      </c>
      <c r="O125" s="11"/>
      <c r="P125" s="2">
        <v>618.54</v>
      </c>
      <c r="Q125" s="2"/>
      <c r="R125" s="19">
        <f t="shared" si="18"/>
        <v>1.3075603341884413E-4</v>
      </c>
      <c r="S125" s="2"/>
      <c r="T125" s="2">
        <v>687.16</v>
      </c>
      <c r="U125" s="2"/>
      <c r="V125" s="19">
        <f t="shared" si="19"/>
        <v>1.3391062644291764E-4</v>
      </c>
      <c r="W125" s="2"/>
      <c r="X125" s="2">
        <f t="shared" si="20"/>
        <v>-68.62</v>
      </c>
      <c r="Y125" s="2"/>
      <c r="Z125" s="19">
        <f t="shared" si="21"/>
        <v>-9.9860294545666237E-2</v>
      </c>
    </row>
    <row r="126" spans="1:26" s="24" customFormat="1" hidden="1" outlineLevel="1" x14ac:dyDescent="0.25">
      <c r="A126" s="44"/>
      <c r="B126" s="11" t="str">
        <f>CONCATENATE("          ", "5035", " - ", "PURCHASES @ COST-HEALTH &amp; BEAU")</f>
        <v xml:space="preserve">          5035 - PURCHASES @ COST-HEALTH &amp; BEAU</v>
      </c>
      <c r="C126" s="11"/>
      <c r="D126" s="2">
        <v>210.83</v>
      </c>
      <c r="E126" s="2"/>
      <c r="F126" s="19">
        <f t="shared" si="14"/>
        <v>1.4168665656184024E-4</v>
      </c>
      <c r="G126" s="2"/>
      <c r="H126" s="2">
        <v>81.03</v>
      </c>
      <c r="I126" s="2"/>
      <c r="J126" s="19">
        <f t="shared" si="15"/>
        <v>5.3124066514006171E-5</v>
      </c>
      <c r="K126" s="2"/>
      <c r="L126" s="2">
        <f t="shared" si="16"/>
        <v>129.80000000000001</v>
      </c>
      <c r="M126" s="2"/>
      <c r="N126" s="19">
        <f t="shared" si="17"/>
        <v>1.601875848451191</v>
      </c>
      <c r="O126" s="11"/>
      <c r="P126" s="2">
        <v>287.56</v>
      </c>
      <c r="Q126" s="2"/>
      <c r="R126" s="19">
        <f t="shared" si="18"/>
        <v>6.0788639327970415E-5</v>
      </c>
      <c r="S126" s="2"/>
      <c r="T126" s="2">
        <v>125.52</v>
      </c>
      <c r="U126" s="2"/>
      <c r="V126" s="19">
        <f t="shared" si="19"/>
        <v>2.4460768716332474E-5</v>
      </c>
      <c r="W126" s="2"/>
      <c r="X126" s="2">
        <f t="shared" si="20"/>
        <v>162.04000000000002</v>
      </c>
      <c r="Y126" s="2"/>
      <c r="Z126" s="19">
        <f t="shared" si="21"/>
        <v>1.290949649458254</v>
      </c>
    </row>
    <row r="127" spans="1:26" s="24" customFormat="1" hidden="1" outlineLevel="1" x14ac:dyDescent="0.25">
      <c r="A127" s="44"/>
      <c r="B127" s="11" t="str">
        <f>CONCATENATE("          ", "5037", " - ", "PURCHASES @ COST-WATER")</f>
        <v xml:space="preserve">          5037 - PURCHASES @ COST-WATER</v>
      </c>
      <c r="C127" s="11"/>
      <c r="D127" s="2">
        <v>896.64</v>
      </c>
      <c r="E127" s="2"/>
      <c r="F127" s="19">
        <f t="shared" si="14"/>
        <v>6.0257991623397249E-4</v>
      </c>
      <c r="G127" s="2"/>
      <c r="H127" s="2">
        <v>615.67999999999995</v>
      </c>
      <c r="I127" s="2"/>
      <c r="J127" s="19">
        <f t="shared" si="15"/>
        <v>4.0364587524797376E-4</v>
      </c>
      <c r="K127" s="2"/>
      <c r="L127" s="2">
        <f t="shared" si="16"/>
        <v>280.96000000000004</v>
      </c>
      <c r="M127" s="2"/>
      <c r="N127" s="19">
        <f t="shared" si="17"/>
        <v>0.45634095634095645</v>
      </c>
      <c r="O127" s="11"/>
      <c r="P127" s="2">
        <v>1392.58</v>
      </c>
      <c r="Q127" s="2"/>
      <c r="R127" s="19">
        <f t="shared" si="18"/>
        <v>2.9438393154592097E-4</v>
      </c>
      <c r="S127" s="2"/>
      <c r="T127" s="2">
        <v>1206.74</v>
      </c>
      <c r="U127" s="2"/>
      <c r="V127" s="19">
        <f t="shared" si="19"/>
        <v>2.3516402199447937E-4</v>
      </c>
      <c r="W127" s="2"/>
      <c r="X127" s="2">
        <f t="shared" si="20"/>
        <v>185.83999999999992</v>
      </c>
      <c r="Y127" s="2"/>
      <c r="Z127" s="19">
        <f t="shared" si="21"/>
        <v>0.15400169050499687</v>
      </c>
    </row>
    <row r="128" spans="1:26" s="24" customFormat="1" hidden="1" outlineLevel="1" x14ac:dyDescent="0.25">
      <c r="A128" s="44"/>
      <c r="B128" s="11" t="str">
        <f>CONCATENATE("          ", "5040", " - ", "PURCHASES @ COST-LOGO CLOTHING")</f>
        <v xml:space="preserve">          5040 - PURCHASES @ COST-LOGO CLOTHING</v>
      </c>
      <c r="C128" s="11"/>
      <c r="D128" s="2">
        <v>150282.89000000001</v>
      </c>
      <c r="E128" s="2"/>
      <c r="F128" s="19">
        <f t="shared" si="14"/>
        <v>0.10099644368709773</v>
      </c>
      <c r="G128" s="2"/>
      <c r="H128" s="2">
        <v>126875.2</v>
      </c>
      <c r="I128" s="2"/>
      <c r="J128" s="19">
        <f t="shared" si="15"/>
        <v>8.3180631417719794E-2</v>
      </c>
      <c r="K128" s="2"/>
      <c r="L128" s="2">
        <f t="shared" si="16"/>
        <v>23407.690000000017</v>
      </c>
      <c r="M128" s="2"/>
      <c r="N128" s="19">
        <f t="shared" si="17"/>
        <v>0.1844938175466917</v>
      </c>
      <c r="O128" s="11"/>
      <c r="P128" s="2">
        <v>335851.86000000004</v>
      </c>
      <c r="Q128" s="2"/>
      <c r="R128" s="19">
        <f t="shared" si="18"/>
        <v>7.0997279124940943E-2</v>
      </c>
      <c r="S128" s="2"/>
      <c r="T128" s="2">
        <v>295122.42</v>
      </c>
      <c r="U128" s="2"/>
      <c r="V128" s="19">
        <f t="shared" si="19"/>
        <v>5.7512119651245489E-2</v>
      </c>
      <c r="W128" s="2"/>
      <c r="X128" s="2">
        <f t="shared" si="20"/>
        <v>40729.440000000061</v>
      </c>
      <c r="Y128" s="2"/>
      <c r="Z128" s="19">
        <f t="shared" si="21"/>
        <v>0.13800862706398268</v>
      </c>
    </row>
    <row r="129" spans="1:26" s="24" customFormat="1" hidden="1" outlineLevel="1" x14ac:dyDescent="0.25">
      <c r="A129" s="44"/>
      <c r="B129" s="11" t="str">
        <f>CONCATENATE("          ", "5041", " - ", "PURCHASES @ COST-LOGO GIFTS")</f>
        <v xml:space="preserve">          5041 - PURCHASES @ COST-LOGO GIFTS</v>
      </c>
      <c r="C129" s="11"/>
      <c r="D129" s="2">
        <v>14167.32</v>
      </c>
      <c r="E129" s="2"/>
      <c r="F129" s="19">
        <f t="shared" si="14"/>
        <v>9.5210368697134663E-3</v>
      </c>
      <c r="G129" s="2"/>
      <c r="H129" s="2">
        <v>2643.64</v>
      </c>
      <c r="I129" s="2"/>
      <c r="J129" s="19">
        <f t="shared" si="15"/>
        <v>1.7331964358766785E-3</v>
      </c>
      <c r="K129" s="2"/>
      <c r="L129" s="2">
        <f t="shared" si="16"/>
        <v>11523.68</v>
      </c>
      <c r="M129" s="2"/>
      <c r="N129" s="19">
        <f t="shared" si="17"/>
        <v>4.359020138899397</v>
      </c>
      <c r="O129" s="11"/>
      <c r="P129" s="2">
        <v>42696.480000000003</v>
      </c>
      <c r="Q129" s="2"/>
      <c r="R129" s="19">
        <f t="shared" si="18"/>
        <v>9.0258065214004115E-3</v>
      </c>
      <c r="S129" s="2"/>
      <c r="T129" s="2">
        <v>43498.54</v>
      </c>
      <c r="U129" s="2"/>
      <c r="V129" s="19">
        <f t="shared" si="19"/>
        <v>8.4767983304504212E-3</v>
      </c>
      <c r="W129" s="2"/>
      <c r="X129" s="2">
        <f t="shared" si="20"/>
        <v>-802.05999999999767</v>
      </c>
      <c r="Y129" s="2"/>
      <c r="Z129" s="19">
        <f t="shared" si="21"/>
        <v>-1.8438779784332938E-2</v>
      </c>
    </row>
    <row r="130" spans="1:26" s="24" customFormat="1" hidden="1" outlineLevel="1" x14ac:dyDescent="0.25">
      <c r="A130" s="44"/>
      <c r="B130" s="11" t="str">
        <f>CONCATENATE("          ", "5042", " - ", "PURCHASES @ COST-EVERYDAY GIFT")</f>
        <v xml:space="preserve">          5042 - PURCHASES @ COST-EVERYDAY GIFT</v>
      </c>
      <c r="C130" s="11"/>
      <c r="D130" s="2">
        <v>11559.46</v>
      </c>
      <c r="E130" s="2"/>
      <c r="F130" s="19">
        <f t="shared" si="14"/>
        <v>7.7684449037628868E-3</v>
      </c>
      <c r="G130" s="2"/>
      <c r="H130" s="2">
        <v>11737.22</v>
      </c>
      <c r="I130" s="2"/>
      <c r="J130" s="19">
        <f t="shared" si="15"/>
        <v>7.6950370969952296E-3</v>
      </c>
      <c r="K130" s="2"/>
      <c r="L130" s="2">
        <f t="shared" si="16"/>
        <v>-177.76000000000022</v>
      </c>
      <c r="M130" s="2"/>
      <c r="N130" s="19">
        <f t="shared" si="17"/>
        <v>-1.5144983224306968E-2</v>
      </c>
      <c r="O130" s="11"/>
      <c r="P130" s="2">
        <v>35291.68</v>
      </c>
      <c r="Q130" s="2"/>
      <c r="R130" s="19">
        <f t="shared" si="18"/>
        <v>7.4604715774034876E-3</v>
      </c>
      <c r="S130" s="2"/>
      <c r="T130" s="2">
        <v>35271.049999999996</v>
      </c>
      <c r="U130" s="2"/>
      <c r="V130" s="19">
        <f t="shared" si="19"/>
        <v>6.8734623680066801E-3</v>
      </c>
      <c r="W130" s="2"/>
      <c r="X130" s="2">
        <f t="shared" si="20"/>
        <v>20.630000000004657</v>
      </c>
      <c r="Y130" s="2"/>
      <c r="Z130" s="19">
        <f t="shared" si="21"/>
        <v>5.8489894687015719E-4</v>
      </c>
    </row>
    <row r="131" spans="1:26" s="24" customFormat="1" hidden="1" outlineLevel="1" x14ac:dyDescent="0.25">
      <c r="A131" s="44"/>
      <c r="B131" s="11" t="str">
        <f>CONCATENATE("          ", "5043", " - ", "PURCHASES @ COST-CARDS")</f>
        <v xml:space="preserve">          5043 - PURCHASES @ COST-CARDS</v>
      </c>
      <c r="C131" s="11"/>
      <c r="D131" s="2">
        <v>495.49</v>
      </c>
      <c r="E131" s="2"/>
      <c r="F131" s="19">
        <f t="shared" si="14"/>
        <v>3.3299018858713757E-4</v>
      </c>
      <c r="G131" s="2"/>
      <c r="H131" s="2">
        <v>674.24</v>
      </c>
      <c r="I131" s="2"/>
      <c r="J131" s="19">
        <f t="shared" si="15"/>
        <v>4.4203838833029149E-4</v>
      </c>
      <c r="K131" s="2"/>
      <c r="L131" s="2">
        <f t="shared" si="16"/>
        <v>-178.75</v>
      </c>
      <c r="M131" s="2"/>
      <c r="N131" s="19">
        <f t="shared" si="17"/>
        <v>-0.26511331276696726</v>
      </c>
      <c r="O131" s="11"/>
      <c r="P131" s="2">
        <v>1008.99</v>
      </c>
      <c r="Q131" s="2"/>
      <c r="R131" s="19">
        <f t="shared" si="18"/>
        <v>2.1329506605761883E-4</v>
      </c>
      <c r="S131" s="2"/>
      <c r="T131" s="2">
        <v>1138.05</v>
      </c>
      <c r="U131" s="2"/>
      <c r="V131" s="19">
        <f t="shared" si="19"/>
        <v>2.2177802611235E-4</v>
      </c>
      <c r="W131" s="2"/>
      <c r="X131" s="2">
        <f t="shared" si="20"/>
        <v>-129.05999999999995</v>
      </c>
      <c r="Y131" s="2"/>
      <c r="Z131" s="19">
        <f t="shared" si="21"/>
        <v>-0.11340450771055749</v>
      </c>
    </row>
    <row r="132" spans="1:26" s="24" customFormat="1" hidden="1" outlineLevel="1" x14ac:dyDescent="0.25">
      <c r="A132" s="44"/>
      <c r="B132" s="11" t="str">
        <f>CONCATENATE("          ", "5044", " - ", "PURCHASES @ COST-ACCESSORIES")</f>
        <v xml:space="preserve">          5044 - PURCHASES @ COST-ACCESSORIES</v>
      </c>
      <c r="C132" s="11"/>
      <c r="D132" s="2">
        <v>2315.5300000000002</v>
      </c>
      <c r="E132" s="2"/>
      <c r="F132" s="19">
        <f t="shared" si="14"/>
        <v>1.5561338702681682E-3</v>
      </c>
      <c r="G132" s="2"/>
      <c r="H132" s="2">
        <v>5340.7</v>
      </c>
      <c r="I132" s="2"/>
      <c r="J132" s="19">
        <f t="shared" si="15"/>
        <v>3.501415550183299E-3</v>
      </c>
      <c r="K132" s="2"/>
      <c r="L132" s="2">
        <f t="shared" si="16"/>
        <v>-3025.1699999999996</v>
      </c>
      <c r="M132" s="2"/>
      <c r="N132" s="19">
        <f t="shared" si="17"/>
        <v>-0.56643698391596597</v>
      </c>
      <c r="O132" s="11"/>
      <c r="P132" s="2">
        <v>20403.649999999998</v>
      </c>
      <c r="Q132" s="2"/>
      <c r="R132" s="19">
        <f t="shared" si="18"/>
        <v>4.3132220087082462E-3</v>
      </c>
      <c r="S132" s="2"/>
      <c r="T132" s="2">
        <v>13536.29</v>
      </c>
      <c r="U132" s="2"/>
      <c r="V132" s="19">
        <f t="shared" si="19"/>
        <v>2.6378908458190259E-3</v>
      </c>
      <c r="W132" s="2"/>
      <c r="X132" s="2">
        <f t="shared" si="20"/>
        <v>6867.3599999999969</v>
      </c>
      <c r="Y132" s="2"/>
      <c r="Z132" s="19">
        <f t="shared" si="21"/>
        <v>0.50732955632599452</v>
      </c>
    </row>
    <row r="133" spans="1:26" s="24" customFormat="1" hidden="1" outlineLevel="1" x14ac:dyDescent="0.25">
      <c r="A133" s="44"/>
      <c r="B133" s="11" t="str">
        <f>CONCATENATE("          ", "5045", " - ", "PURCHASES @ COST-SPECIAL ORDER")</f>
        <v xml:space="preserve">          5045 - PURCHASES @ COST-SPECIAL ORDER</v>
      </c>
      <c r="C133" s="11"/>
      <c r="D133" s="2">
        <v>4318.3999999999996</v>
      </c>
      <c r="E133" s="2"/>
      <c r="F133" s="19">
        <f t="shared" si="14"/>
        <v>2.9021470269726831E-3</v>
      </c>
      <c r="G133" s="2"/>
      <c r="H133" s="2">
        <v>3127.05</v>
      </c>
      <c r="I133" s="2"/>
      <c r="J133" s="19">
        <f t="shared" si="15"/>
        <v>2.0501247956636183E-3</v>
      </c>
      <c r="K133" s="2"/>
      <c r="L133" s="2">
        <f t="shared" si="16"/>
        <v>1191.3499999999995</v>
      </c>
      <c r="M133" s="2"/>
      <c r="N133" s="19">
        <f t="shared" si="17"/>
        <v>0.38098207575830234</v>
      </c>
      <c r="O133" s="11"/>
      <c r="P133" s="2">
        <v>24464.030000000002</v>
      </c>
      <c r="Q133" s="2"/>
      <c r="R133" s="19">
        <f t="shared" si="18"/>
        <v>5.171564529763E-3</v>
      </c>
      <c r="S133" s="2"/>
      <c r="T133" s="2">
        <v>33137.03</v>
      </c>
      <c r="U133" s="2"/>
      <c r="V133" s="19">
        <f t="shared" si="19"/>
        <v>6.4575942222448272E-3</v>
      </c>
      <c r="W133" s="2"/>
      <c r="X133" s="2">
        <f t="shared" si="20"/>
        <v>-8672.9999999999964</v>
      </c>
      <c r="Y133" s="2"/>
      <c r="Z133" s="19">
        <f t="shared" si="21"/>
        <v>-0.26173136216492537</v>
      </c>
    </row>
    <row r="134" spans="1:26" s="24" customFormat="1" hidden="1" outlineLevel="1" x14ac:dyDescent="0.25">
      <c r="A134" s="44"/>
      <c r="B134" s="11" t="str">
        <f>CONCATENATE("          ", "5053", " - ", "PURCHASES @ COST-FOOD")</f>
        <v xml:space="preserve">          5053 - PURCHASES @ COST-FOOD</v>
      </c>
      <c r="C134" s="11"/>
      <c r="D134" s="2">
        <v>195283.21000000002</v>
      </c>
      <c r="E134" s="2"/>
      <c r="F134" s="19">
        <f t="shared" si="14"/>
        <v>0.13123855764152978</v>
      </c>
      <c r="G134" s="2"/>
      <c r="H134" s="2">
        <v>182833.75</v>
      </c>
      <c r="I134" s="2"/>
      <c r="J134" s="19">
        <f t="shared" si="15"/>
        <v>0.11986760824392416</v>
      </c>
      <c r="K134" s="2"/>
      <c r="L134" s="2">
        <f t="shared" si="16"/>
        <v>12449.460000000021</v>
      </c>
      <c r="M134" s="2"/>
      <c r="N134" s="19">
        <f t="shared" si="17"/>
        <v>6.8091695324304299E-2</v>
      </c>
      <c r="O134" s="11"/>
      <c r="P134" s="2">
        <v>332788.87</v>
      </c>
      <c r="Q134" s="2"/>
      <c r="R134" s="19">
        <f t="shared" si="18"/>
        <v>7.0349779492254946E-2</v>
      </c>
      <c r="S134" s="2"/>
      <c r="T134" s="2">
        <v>318007.3</v>
      </c>
      <c r="U134" s="2"/>
      <c r="V134" s="19">
        <f t="shared" si="19"/>
        <v>6.1971821346441656E-2</v>
      </c>
      <c r="W134" s="2"/>
      <c r="X134" s="2">
        <f t="shared" si="20"/>
        <v>14781.570000000007</v>
      </c>
      <c r="Y134" s="2"/>
      <c r="Z134" s="19">
        <f t="shared" si="21"/>
        <v>4.6481857491950683E-2</v>
      </c>
    </row>
    <row r="135" spans="1:26" s="24" customFormat="1" hidden="1" outlineLevel="1" x14ac:dyDescent="0.25">
      <c r="A135" s="44"/>
      <c r="B135" s="11" t="str">
        <f>CONCATENATE("          ", "5059", " - ", "PURCHASES @ COST-FOOD")</f>
        <v xml:space="preserve">          5059 - PURCHASES @ COST-FOOD</v>
      </c>
      <c r="C135" s="11"/>
      <c r="D135" s="2">
        <v>-12710.54</v>
      </c>
      <c r="E135" s="2"/>
      <c r="F135" s="19">
        <f t="shared" si="14"/>
        <v>-8.5420192368046901E-3</v>
      </c>
      <c r="G135" s="2"/>
      <c r="H135" s="2">
        <v>-870.49</v>
      </c>
      <c r="I135" s="2"/>
      <c r="J135" s="19">
        <f t="shared" si="15"/>
        <v>-5.7070182228529222E-4</v>
      </c>
      <c r="K135" s="2"/>
      <c r="L135" s="2">
        <f t="shared" si="16"/>
        <v>-11840.050000000001</v>
      </c>
      <c r="M135" s="2"/>
      <c r="N135" s="19">
        <f t="shared" si="17"/>
        <v>13.601592206688188</v>
      </c>
      <c r="O135" s="11"/>
      <c r="P135" s="2">
        <v>-58751.38</v>
      </c>
      <c r="Q135" s="2"/>
      <c r="R135" s="19">
        <f t="shared" si="18"/>
        <v>-1.2419726140076973E-2</v>
      </c>
      <c r="S135" s="2"/>
      <c r="T135" s="2">
        <v>-52863.32</v>
      </c>
      <c r="U135" s="2"/>
      <c r="V135" s="19">
        <f t="shared" si="19"/>
        <v>-1.0301764213650996E-2</v>
      </c>
      <c r="W135" s="2"/>
      <c r="X135" s="2">
        <f t="shared" si="20"/>
        <v>-5888.0599999999977</v>
      </c>
      <c r="Y135" s="2"/>
      <c r="Z135" s="19">
        <f t="shared" si="21"/>
        <v>0.11138271300402619</v>
      </c>
    </row>
    <row r="136" spans="1:26" s="24" customFormat="1" hidden="1" outlineLevel="1" x14ac:dyDescent="0.25">
      <c r="A136" s="44"/>
      <c r="B136" s="11" t="str">
        <f>CONCATENATE("          ", "5081", " - ", "PURCHASES @ COST-ELECTRONICS")</f>
        <v xml:space="preserve">          5081 - PURCHASES @ COST-ELECTRONICS</v>
      </c>
      <c r="C136" s="11"/>
      <c r="D136" s="2">
        <v>167.92</v>
      </c>
      <c r="E136" s="2"/>
      <c r="F136" s="19">
        <f t="shared" si="14"/>
        <v>1.1284932585431014E-4</v>
      </c>
      <c r="G136" s="2"/>
      <c r="H136" s="2">
        <v>746.04</v>
      </c>
      <c r="I136" s="2"/>
      <c r="J136" s="19">
        <f t="shared" si="15"/>
        <v>4.8911117588682168E-4</v>
      </c>
      <c r="K136" s="2"/>
      <c r="L136" s="2">
        <f t="shared" si="16"/>
        <v>-578.12</v>
      </c>
      <c r="M136" s="2"/>
      <c r="N136" s="19">
        <f t="shared" si="17"/>
        <v>-0.77491823494718781</v>
      </c>
      <c r="O136" s="11"/>
      <c r="P136" s="2">
        <v>472.08</v>
      </c>
      <c r="Q136" s="2"/>
      <c r="R136" s="19">
        <f t="shared" si="18"/>
        <v>9.9795176150884233E-5</v>
      </c>
      <c r="S136" s="2"/>
      <c r="T136" s="2">
        <v>902.56</v>
      </c>
      <c r="U136" s="2"/>
      <c r="V136" s="19">
        <f t="shared" si="19"/>
        <v>1.7588680220373675E-4</v>
      </c>
      <c r="W136" s="2"/>
      <c r="X136" s="2">
        <f t="shared" si="20"/>
        <v>-430.47999999999996</v>
      </c>
      <c r="Y136" s="2"/>
      <c r="Z136" s="19">
        <f t="shared" si="21"/>
        <v>-0.47695444070200316</v>
      </c>
    </row>
    <row r="137" spans="1:26" s="24" customFormat="1" hidden="1" outlineLevel="1" x14ac:dyDescent="0.25">
      <c r="A137" s="44"/>
      <c r="B137" s="11" t="str">
        <f>CONCATENATE("          ", "5082", " - ", "PURCHASES @ COST-COMPUTER HARD")</f>
        <v xml:space="preserve">          5082 - PURCHASES @ COST-COMPUTER HARD</v>
      </c>
      <c r="C137" s="11"/>
      <c r="D137" s="2">
        <v>19</v>
      </c>
      <c r="E137" s="2"/>
      <c r="F137" s="19">
        <f t="shared" si="14"/>
        <v>1.2768801758169919E-5</v>
      </c>
      <c r="G137" s="2"/>
      <c r="H137" s="2">
        <v>135</v>
      </c>
      <c r="I137" s="2"/>
      <c r="J137" s="19">
        <f t="shared" si="15"/>
        <v>8.850733036394956E-5</v>
      </c>
      <c r="K137" s="2"/>
      <c r="L137" s="2">
        <f t="shared" si="16"/>
        <v>-116</v>
      </c>
      <c r="M137" s="2"/>
      <c r="N137" s="19">
        <f t="shared" si="17"/>
        <v>-0.85925925925925928</v>
      </c>
      <c r="O137" s="11"/>
      <c r="P137" s="2">
        <v>149.6</v>
      </c>
      <c r="Q137" s="2"/>
      <c r="R137" s="19">
        <f t="shared" si="18"/>
        <v>3.162463640097501E-5</v>
      </c>
      <c r="S137" s="2"/>
      <c r="T137" s="2">
        <v>193</v>
      </c>
      <c r="U137" s="2"/>
      <c r="V137" s="19">
        <f t="shared" si="19"/>
        <v>3.7610965282442385E-5</v>
      </c>
      <c r="W137" s="2"/>
      <c r="X137" s="2">
        <f t="shared" si="20"/>
        <v>-43.400000000000006</v>
      </c>
      <c r="Y137" s="2"/>
      <c r="Z137" s="19">
        <f t="shared" si="21"/>
        <v>-0.22487046632124355</v>
      </c>
    </row>
    <row r="138" spans="1:26" s="24" customFormat="1" hidden="1" outlineLevel="1" x14ac:dyDescent="0.25">
      <c r="A138" s="44"/>
      <c r="B138" s="11" t="str">
        <f>CONCATENATE("          ", "5083", " - ", "PURCHASES @ COST-COMPUTER EQUI")</f>
        <v xml:space="preserve">          5083 - PURCHASES @ COST-COMPUTER EQUI</v>
      </c>
      <c r="C138" s="11"/>
      <c r="D138" s="2">
        <v>74.55</v>
      </c>
      <c r="E138" s="2"/>
      <c r="F138" s="19">
        <f t="shared" si="14"/>
        <v>5.0100745845871973E-5</v>
      </c>
      <c r="G138" s="2"/>
      <c r="H138" s="2">
        <v>112.51</v>
      </c>
      <c r="I138" s="2"/>
      <c r="J138" s="19">
        <f t="shared" si="15"/>
        <v>7.3762664735170109E-5</v>
      </c>
      <c r="K138" s="2"/>
      <c r="L138" s="2">
        <f t="shared" si="16"/>
        <v>-37.960000000000008</v>
      </c>
      <c r="M138" s="2"/>
      <c r="N138" s="19">
        <f t="shared" si="17"/>
        <v>-0.3373922318016177</v>
      </c>
      <c r="O138" s="11"/>
      <c r="P138" s="2">
        <v>156</v>
      </c>
      <c r="Q138" s="2"/>
      <c r="R138" s="19">
        <f t="shared" si="18"/>
        <v>3.2977562022407095E-5</v>
      </c>
      <c r="S138" s="2"/>
      <c r="T138" s="2">
        <v>198.56</v>
      </c>
      <c r="U138" s="2"/>
      <c r="V138" s="19">
        <f t="shared" si="19"/>
        <v>3.8694472883325182E-5</v>
      </c>
      <c r="W138" s="2"/>
      <c r="X138" s="2">
        <f t="shared" si="20"/>
        <v>-42.56</v>
      </c>
      <c r="Y138" s="2"/>
      <c r="Z138" s="19">
        <f t="shared" si="21"/>
        <v>-0.21434327155519742</v>
      </c>
    </row>
    <row r="139" spans="1:26" s="24" customFormat="1" hidden="1" outlineLevel="1" x14ac:dyDescent="0.25">
      <c r="A139" s="44"/>
      <c r="B139" s="11" t="str">
        <f>CONCATENATE("          ", "5086", " - ", "PURCHASES @ COST-COMPUTER SUPP")</f>
        <v xml:space="preserve">          5086 - PURCHASES @ COST-COMPUTER SUPP</v>
      </c>
      <c r="C139" s="11"/>
      <c r="D139" s="2">
        <v>29</v>
      </c>
      <c r="E139" s="2"/>
      <c r="F139" s="19">
        <f t="shared" si="14"/>
        <v>1.9489223736154087E-5</v>
      </c>
      <c r="G139" s="2"/>
      <c r="H139" s="2">
        <v>150.44</v>
      </c>
      <c r="I139" s="2"/>
      <c r="J139" s="19">
        <f t="shared" si="15"/>
        <v>9.8629946518167196E-5</v>
      </c>
      <c r="K139" s="2"/>
      <c r="L139" s="2">
        <f t="shared" si="16"/>
        <v>-121.44</v>
      </c>
      <c r="M139" s="2"/>
      <c r="N139" s="19">
        <f t="shared" si="17"/>
        <v>-0.80723211911725601</v>
      </c>
      <c r="O139" s="11"/>
      <c r="P139" s="2">
        <v>87</v>
      </c>
      <c r="Q139" s="2"/>
      <c r="R139" s="19">
        <f t="shared" si="18"/>
        <v>1.8391332666342417E-5</v>
      </c>
      <c r="S139" s="2"/>
      <c r="T139" s="2">
        <v>242.91</v>
      </c>
      <c r="U139" s="2"/>
      <c r="V139" s="19">
        <f t="shared" si="19"/>
        <v>4.7337199879575542E-5</v>
      </c>
      <c r="W139" s="2"/>
      <c r="X139" s="2">
        <f t="shared" si="20"/>
        <v>-155.91</v>
      </c>
      <c r="Y139" s="2"/>
      <c r="Z139" s="19">
        <f t="shared" si="21"/>
        <v>-0.64184265777448435</v>
      </c>
    </row>
    <row r="140" spans="1:26" s="24" customFormat="1" hidden="1" outlineLevel="1" x14ac:dyDescent="0.25">
      <c r="A140" s="44"/>
      <c r="B140" s="11" t="str">
        <f>CONCATENATE("          ", "5092", " - ", "PURCHASES @ COST-GRAD MERCH")</f>
        <v xml:space="preserve">          5092 - PURCHASES @ COST-GRAD MERCH</v>
      </c>
      <c r="C140" s="11"/>
      <c r="D140" s="2">
        <v>-628</v>
      </c>
      <c r="E140" s="2"/>
      <c r="F140" s="19">
        <f t="shared" si="14"/>
        <v>-4.2204250021740577E-4</v>
      </c>
      <c r="G140" s="2"/>
      <c r="H140" s="2">
        <v>-525.4</v>
      </c>
      <c r="I140" s="2"/>
      <c r="J140" s="19">
        <f t="shared" si="15"/>
        <v>-3.4445741757940069E-4</v>
      </c>
      <c r="K140" s="2"/>
      <c r="L140" s="2">
        <f t="shared" si="16"/>
        <v>-102.60000000000002</v>
      </c>
      <c r="M140" s="2"/>
      <c r="N140" s="19">
        <f t="shared" si="17"/>
        <v>0.19527978682908265</v>
      </c>
      <c r="O140" s="11"/>
      <c r="P140" s="2">
        <v>0</v>
      </c>
      <c r="Q140" s="2"/>
      <c r="R140" s="19">
        <f t="shared" si="18"/>
        <v>0</v>
      </c>
      <c r="S140" s="2"/>
      <c r="T140" s="2">
        <v>-3270.44</v>
      </c>
      <c r="U140" s="2"/>
      <c r="V140" s="19">
        <f t="shared" si="19"/>
        <v>-6.3732852486171436E-4</v>
      </c>
      <c r="W140" s="2"/>
      <c r="X140" s="2">
        <f t="shared" si="20"/>
        <v>3270.44</v>
      </c>
      <c r="Y140" s="2"/>
      <c r="Z140" s="19">
        <f t="shared" si="21"/>
        <v>-1</v>
      </c>
    </row>
    <row r="141" spans="1:26" s="24" customFormat="1" hidden="1" outlineLevel="1" x14ac:dyDescent="0.25">
      <c r="A141" s="44"/>
      <c r="B141" s="11" t="str">
        <f>CONCATENATE("          ", "5095", " - ", "PURCHASES @ COST-CUSTOMER SERV")</f>
        <v xml:space="preserve">          5095 - PURCHASES @ COST-CUSTOMER SERV</v>
      </c>
      <c r="C141" s="11"/>
      <c r="D141" s="2"/>
      <c r="E141" s="2"/>
      <c r="F141" s="19">
        <f t="shared" si="14"/>
        <v>0</v>
      </c>
      <c r="G141" s="2"/>
      <c r="H141" s="2"/>
      <c r="I141" s="2"/>
      <c r="J141" s="19">
        <f t="shared" si="15"/>
        <v>0</v>
      </c>
      <c r="K141" s="2"/>
      <c r="L141" s="2">
        <f t="shared" si="16"/>
        <v>0</v>
      </c>
      <c r="M141" s="2"/>
      <c r="N141" s="19">
        <f t="shared" si="17"/>
        <v>0</v>
      </c>
      <c r="O141" s="11"/>
      <c r="P141" s="2">
        <v>0</v>
      </c>
      <c r="Q141" s="2"/>
      <c r="R141" s="19">
        <f t="shared" si="18"/>
        <v>0</v>
      </c>
      <c r="S141" s="2"/>
      <c r="T141" s="2"/>
      <c r="U141" s="2"/>
      <c r="V141" s="19">
        <f t="shared" si="19"/>
        <v>0</v>
      </c>
      <c r="W141" s="2"/>
      <c r="X141" s="2">
        <f t="shared" si="20"/>
        <v>0</v>
      </c>
      <c r="Y141" s="2"/>
      <c r="Z141" s="19">
        <f t="shared" si="21"/>
        <v>0</v>
      </c>
    </row>
    <row r="142" spans="1:26" s="24" customFormat="1" hidden="1" outlineLevel="1" x14ac:dyDescent="0.25">
      <c r="A142" s="44"/>
      <c r="B142" s="11" t="str">
        <f>CONCATENATE("          ", "5200", " - ", "PURCHASES OFFSET")</f>
        <v xml:space="preserve">          5200 - PURCHASES OFFSET</v>
      </c>
      <c r="C142" s="11"/>
      <c r="D142" s="2">
        <v>-279973</v>
      </c>
      <c r="E142" s="2"/>
      <c r="F142" s="19">
        <f t="shared" si="14"/>
        <v>-0.18815367024421614</v>
      </c>
      <c r="G142" s="2"/>
      <c r="H142" s="2">
        <v>-540573</v>
      </c>
      <c r="I142" s="2"/>
      <c r="J142" s="19">
        <f t="shared" si="15"/>
        <v>-0.35440498590245412</v>
      </c>
      <c r="K142" s="2"/>
      <c r="L142" s="2">
        <f t="shared" si="16"/>
        <v>260600</v>
      </c>
      <c r="M142" s="2"/>
      <c r="N142" s="19">
        <f t="shared" si="17"/>
        <v>-0.48208105103288545</v>
      </c>
      <c r="O142" s="11"/>
      <c r="P142" s="2">
        <v>-2636284</v>
      </c>
      <c r="Q142" s="2"/>
      <c r="R142" s="19">
        <f t="shared" si="18"/>
        <v>-0.55729627640179147</v>
      </c>
      <c r="S142" s="2"/>
      <c r="T142" s="2">
        <v>-2436097</v>
      </c>
      <c r="U142" s="2"/>
      <c r="V142" s="19">
        <f t="shared" si="19"/>
        <v>-0.47473554244384475</v>
      </c>
      <c r="W142" s="2"/>
      <c r="X142" s="2">
        <f t="shared" si="20"/>
        <v>-200187</v>
      </c>
      <c r="Y142" s="2"/>
      <c r="Z142" s="19">
        <f t="shared" si="21"/>
        <v>8.2175299259430151E-2</v>
      </c>
    </row>
    <row r="143" spans="1:26" s="24" customFormat="1" hidden="1" outlineLevel="1" x14ac:dyDescent="0.25">
      <c r="A143" s="44"/>
      <c r="B143" s="11" t="str">
        <f>CONCATENATE("          ", "5300", " - ", "COG$ OFFSET")</f>
        <v xml:space="preserve">          5300 - COG$ OFFSET</v>
      </c>
      <c r="C143" s="11"/>
      <c r="D143" s="2">
        <v>498314.00000000006</v>
      </c>
      <c r="E143" s="2"/>
      <c r="F143" s="19">
        <f t="shared" si="14"/>
        <v>0.33488803575372034</v>
      </c>
      <c r="G143" s="2"/>
      <c r="H143" s="2">
        <v>533469</v>
      </c>
      <c r="I143" s="2"/>
      <c r="J143" s="19">
        <f t="shared" si="15"/>
        <v>0.34974753349574672</v>
      </c>
      <c r="K143" s="2"/>
      <c r="L143" s="2">
        <f t="shared" si="16"/>
        <v>-35154.999999999942</v>
      </c>
      <c r="M143" s="2"/>
      <c r="N143" s="19">
        <f t="shared" si="17"/>
        <v>-6.5898861976984496E-2</v>
      </c>
      <c r="O143" s="11"/>
      <c r="P143" s="2">
        <v>1927748</v>
      </c>
      <c r="Q143" s="2"/>
      <c r="R143" s="19">
        <f t="shared" si="18"/>
        <v>0.40751557201007199</v>
      </c>
      <c r="S143" s="2"/>
      <c r="T143" s="2">
        <v>2161294</v>
      </c>
      <c r="U143" s="2"/>
      <c r="V143" s="19">
        <f t="shared" si="19"/>
        <v>0.42118317927021259</v>
      </c>
      <c r="W143" s="2"/>
      <c r="X143" s="2">
        <f t="shared" si="20"/>
        <v>-233546</v>
      </c>
      <c r="Y143" s="2"/>
      <c r="Z143" s="19">
        <f t="shared" si="21"/>
        <v>-0.1080584131543418</v>
      </c>
    </row>
    <row r="144" spans="1:26" s="24" customFormat="1" hidden="1" outlineLevel="1" x14ac:dyDescent="0.25">
      <c r="A144" s="44"/>
      <c r="B144" s="11" t="str">
        <f>CONCATENATE("          ", "5500", " - ", "FREIGHT-IN")</f>
        <v xml:space="preserve">          5500 - FREIGHT-IN</v>
      </c>
      <c r="C144" s="11"/>
      <c r="D144" s="2">
        <v>-49</v>
      </c>
      <c r="E144" s="2"/>
      <c r="F144" s="19">
        <f t="shared" si="14"/>
        <v>-3.2930067692122427E-5</v>
      </c>
      <c r="G144" s="2"/>
      <c r="H144" s="2">
        <v>103.39</v>
      </c>
      <c r="I144" s="2"/>
      <c r="J144" s="19">
        <f t="shared" si="15"/>
        <v>6.7783502861694408E-5</v>
      </c>
      <c r="K144" s="2"/>
      <c r="L144" s="2">
        <f t="shared" si="16"/>
        <v>-152.38999999999999</v>
      </c>
      <c r="M144" s="2"/>
      <c r="N144" s="19">
        <f t="shared" si="17"/>
        <v>-1.4739336492890993</v>
      </c>
      <c r="O144" s="11"/>
      <c r="P144" s="2">
        <v>0</v>
      </c>
      <c r="Q144" s="2"/>
      <c r="R144" s="19">
        <f t="shared" si="18"/>
        <v>0</v>
      </c>
      <c r="S144" s="2"/>
      <c r="T144" s="2">
        <v>317.36</v>
      </c>
      <c r="U144" s="2"/>
      <c r="V144" s="19">
        <f t="shared" si="19"/>
        <v>6.1845678456144633E-5</v>
      </c>
      <c r="W144" s="2"/>
      <c r="X144" s="2">
        <f t="shared" si="20"/>
        <v>-317.36</v>
      </c>
      <c r="Y144" s="2"/>
      <c r="Z144" s="19">
        <f t="shared" si="21"/>
        <v>-1</v>
      </c>
    </row>
    <row r="145" spans="1:26" s="24" customFormat="1" hidden="1" outlineLevel="1" x14ac:dyDescent="0.25">
      <c r="A145" s="44"/>
      <c r="B145" s="11" t="str">
        <f>CONCATENATE("          ", "5501", " - ", "FREIGHT-IN-NEW TEXT")</f>
        <v xml:space="preserve">          5501 - FREIGHT-IN-NEW TEXT</v>
      </c>
      <c r="C145" s="11"/>
      <c r="D145" s="2">
        <v>13859.22</v>
      </c>
      <c r="E145" s="2"/>
      <c r="F145" s="19">
        <f t="shared" si="14"/>
        <v>9.3139806685717738E-3</v>
      </c>
      <c r="G145" s="2"/>
      <c r="H145" s="2">
        <v>17256.72</v>
      </c>
      <c r="I145" s="2"/>
      <c r="J145" s="19">
        <f t="shared" si="15"/>
        <v>1.1313675689171672E-2</v>
      </c>
      <c r="K145" s="2"/>
      <c r="L145" s="2">
        <f t="shared" si="16"/>
        <v>-3397.5000000000018</v>
      </c>
      <c r="M145" s="2"/>
      <c r="N145" s="19">
        <f t="shared" si="17"/>
        <v>-0.19687982420761313</v>
      </c>
      <c r="O145" s="11"/>
      <c r="P145" s="2">
        <v>26583.46</v>
      </c>
      <c r="Q145" s="2"/>
      <c r="R145" s="19">
        <f t="shared" si="18"/>
        <v>5.6196006469242188E-3</v>
      </c>
      <c r="S145" s="2"/>
      <c r="T145" s="2">
        <v>26255.8</v>
      </c>
      <c r="U145" s="2"/>
      <c r="V145" s="19">
        <f t="shared" si="19"/>
        <v>5.1166113070608846E-3</v>
      </c>
      <c r="W145" s="2"/>
      <c r="X145" s="2">
        <f t="shared" si="20"/>
        <v>327.65999999999985</v>
      </c>
      <c r="Y145" s="2"/>
      <c r="Z145" s="19">
        <f t="shared" si="21"/>
        <v>1.2479528332787418E-2</v>
      </c>
    </row>
    <row r="146" spans="1:26" s="24" customFormat="1" hidden="1" outlineLevel="1" x14ac:dyDescent="0.25">
      <c r="A146" s="44"/>
      <c r="B146" s="11" t="str">
        <f>CONCATENATE("          ", "5502", " - ", "FREIGHT-IN-USED TEXT")</f>
        <v xml:space="preserve">          5502 - FREIGHT-IN-USED TEXT</v>
      </c>
      <c r="C146" s="11"/>
      <c r="D146" s="2">
        <v>1998.66</v>
      </c>
      <c r="E146" s="2"/>
      <c r="F146" s="19">
        <f t="shared" si="14"/>
        <v>1.3431838590517839E-3</v>
      </c>
      <c r="G146" s="2"/>
      <c r="H146" s="2">
        <v>4462.3100000000004</v>
      </c>
      <c r="I146" s="2"/>
      <c r="J146" s="19">
        <f t="shared" si="15"/>
        <v>2.9255344100470797E-3</v>
      </c>
      <c r="K146" s="2"/>
      <c r="L146" s="2">
        <f t="shared" si="16"/>
        <v>-2463.6500000000005</v>
      </c>
      <c r="M146" s="2"/>
      <c r="N146" s="19">
        <f t="shared" si="17"/>
        <v>-0.55210193823378484</v>
      </c>
      <c r="O146" s="11"/>
      <c r="P146" s="2">
        <v>6261.17</v>
      </c>
      <c r="Q146" s="2"/>
      <c r="R146" s="19">
        <f t="shared" si="18"/>
        <v>1.3235777051784272E-3</v>
      </c>
      <c r="S146" s="2"/>
      <c r="T146" s="2">
        <v>6257.15</v>
      </c>
      <c r="U146" s="2"/>
      <c r="V146" s="19">
        <f t="shared" si="19"/>
        <v>1.2193650332488826E-3</v>
      </c>
      <c r="W146" s="2"/>
      <c r="X146" s="2">
        <f t="shared" si="20"/>
        <v>4.0200000000004366</v>
      </c>
      <c r="Y146" s="2"/>
      <c r="Z146" s="19">
        <f t="shared" si="21"/>
        <v>6.4246502001717026E-4</v>
      </c>
    </row>
    <row r="147" spans="1:26" s="24" customFormat="1" hidden="1" outlineLevel="1" x14ac:dyDescent="0.25">
      <c r="A147" s="44"/>
      <c r="B147" s="11" t="str">
        <f>CONCATENATE("          ", "5504", " - ", "FREIGHT-IN-DIGITAL TEXT")</f>
        <v xml:space="preserve">          5504 - FREIGHT-IN-DIGITAL TEXT</v>
      </c>
      <c r="C147" s="11"/>
      <c r="D147" s="2"/>
      <c r="E147" s="2"/>
      <c r="F147" s="19">
        <f t="shared" si="14"/>
        <v>0</v>
      </c>
      <c r="G147" s="2"/>
      <c r="H147" s="2">
        <v>163.72</v>
      </c>
      <c r="I147" s="2"/>
      <c r="J147" s="19">
        <f t="shared" si="15"/>
        <v>1.0733644538656163E-4</v>
      </c>
      <c r="K147" s="2"/>
      <c r="L147" s="2">
        <f t="shared" si="16"/>
        <v>-163.72</v>
      </c>
      <c r="M147" s="2"/>
      <c r="N147" s="19">
        <f t="shared" si="17"/>
        <v>-1</v>
      </c>
      <c r="O147" s="11"/>
      <c r="P147" s="2">
        <v>7.03</v>
      </c>
      <c r="Q147" s="2"/>
      <c r="R147" s="19">
        <f t="shared" si="18"/>
        <v>1.4861042372918069E-6</v>
      </c>
      <c r="S147" s="2"/>
      <c r="T147" s="2">
        <v>166.22</v>
      </c>
      <c r="U147" s="2"/>
      <c r="V147" s="19">
        <f t="shared" si="19"/>
        <v>3.2392200255168768E-5</v>
      </c>
      <c r="W147" s="2"/>
      <c r="X147" s="2">
        <f t="shared" si="20"/>
        <v>-159.19</v>
      </c>
      <c r="Y147" s="2"/>
      <c r="Z147" s="19">
        <f t="shared" si="21"/>
        <v>-0.95770665383227049</v>
      </c>
    </row>
    <row r="148" spans="1:26" s="24" customFormat="1" hidden="1" outlineLevel="1" x14ac:dyDescent="0.25">
      <c r="A148" s="44"/>
      <c r="B148" s="11" t="str">
        <f>CONCATENATE("          ", "5513", " - ", "FREIGHT-IN-TRADE BOOKS")</f>
        <v xml:space="preserve">          5513 - FREIGHT-IN-TRADE BOOKS</v>
      </c>
      <c r="C148" s="11"/>
      <c r="D148" s="2"/>
      <c r="E148" s="2"/>
      <c r="F148" s="19">
        <f t="shared" si="14"/>
        <v>0</v>
      </c>
      <c r="G148" s="2"/>
      <c r="H148" s="2">
        <v>4.95</v>
      </c>
      <c r="I148" s="2"/>
      <c r="J148" s="19">
        <f t="shared" si="15"/>
        <v>3.245268780011484E-6</v>
      </c>
      <c r="K148" s="2"/>
      <c r="L148" s="2">
        <f t="shared" si="16"/>
        <v>-4.95</v>
      </c>
      <c r="M148" s="2"/>
      <c r="N148" s="19">
        <f t="shared" si="17"/>
        <v>-1</v>
      </c>
      <c r="O148" s="11"/>
      <c r="P148" s="2"/>
      <c r="Q148" s="2"/>
      <c r="R148" s="19">
        <f t="shared" si="18"/>
        <v>0</v>
      </c>
      <c r="S148" s="2"/>
      <c r="T148" s="2">
        <v>12.22</v>
      </c>
      <c r="U148" s="2"/>
      <c r="V148" s="19">
        <f t="shared" si="19"/>
        <v>2.3813782163287355E-6</v>
      </c>
      <c r="W148" s="2"/>
      <c r="X148" s="2">
        <f t="shared" si="20"/>
        <v>-12.22</v>
      </c>
      <c r="Y148" s="2"/>
      <c r="Z148" s="19">
        <f t="shared" si="21"/>
        <v>-1</v>
      </c>
    </row>
    <row r="149" spans="1:26" s="24" customFormat="1" hidden="1" outlineLevel="1" x14ac:dyDescent="0.25">
      <c r="A149" s="44"/>
      <c r="B149" s="11" t="str">
        <f>CONCATENATE("          ", "5526", " - ", "FREIGHT-IN-WRITING INSTRUMENTS")</f>
        <v xml:space="preserve">          5526 - FREIGHT-IN-WRITING INSTRUMENTS</v>
      </c>
      <c r="C149" s="11"/>
      <c r="D149" s="2"/>
      <c r="E149" s="2"/>
      <c r="F149" s="19">
        <f t="shared" si="14"/>
        <v>0</v>
      </c>
      <c r="G149" s="2"/>
      <c r="H149" s="2"/>
      <c r="I149" s="2"/>
      <c r="J149" s="19">
        <f t="shared" si="15"/>
        <v>0</v>
      </c>
      <c r="K149" s="2"/>
      <c r="L149" s="2">
        <f t="shared" si="16"/>
        <v>0</v>
      </c>
      <c r="M149" s="2"/>
      <c r="N149" s="19">
        <f t="shared" si="17"/>
        <v>0</v>
      </c>
      <c r="O149" s="11"/>
      <c r="P149" s="2">
        <v>56.57</v>
      </c>
      <c r="Q149" s="2"/>
      <c r="R149" s="19">
        <f t="shared" si="18"/>
        <v>1.1958594125689548E-5</v>
      </c>
      <c r="S149" s="2"/>
      <c r="T149" s="2">
        <v>42.74</v>
      </c>
      <c r="U149" s="2"/>
      <c r="V149" s="19">
        <f t="shared" si="19"/>
        <v>8.3289774931170335E-6</v>
      </c>
      <c r="W149" s="2"/>
      <c r="X149" s="2">
        <f t="shared" si="20"/>
        <v>13.829999999999998</v>
      </c>
      <c r="Y149" s="2"/>
      <c r="Z149" s="19">
        <f t="shared" si="21"/>
        <v>0.32358446420215248</v>
      </c>
    </row>
    <row r="150" spans="1:26" s="24" customFormat="1" hidden="1" outlineLevel="1" x14ac:dyDescent="0.25">
      <c r="A150" s="44"/>
      <c r="B150" s="11" t="str">
        <f>CONCATENATE("          ", "5527", " - ", "FREIGHT-IN-SCHOOL SUPPLIES")</f>
        <v xml:space="preserve">          5527 - FREIGHT-IN-SCHOOL SUPPLIES</v>
      </c>
      <c r="C150" s="11"/>
      <c r="D150" s="2">
        <v>133.38999999999999</v>
      </c>
      <c r="E150" s="2"/>
      <c r="F150" s="19">
        <f t="shared" si="14"/>
        <v>8.9643708764330818E-5</v>
      </c>
      <c r="G150" s="2"/>
      <c r="H150" s="2">
        <v>444.43</v>
      </c>
      <c r="I150" s="2"/>
      <c r="J150" s="19">
        <f t="shared" si="15"/>
        <v>2.9137268765666742E-4</v>
      </c>
      <c r="K150" s="2"/>
      <c r="L150" s="2">
        <f t="shared" si="16"/>
        <v>-311.04000000000002</v>
      </c>
      <c r="M150" s="2"/>
      <c r="N150" s="19">
        <f t="shared" si="17"/>
        <v>-0.69986274553923011</v>
      </c>
      <c r="O150" s="11"/>
      <c r="P150" s="2">
        <v>393.9</v>
      </c>
      <c r="Q150" s="2"/>
      <c r="R150" s="19">
        <f t="shared" si="18"/>
        <v>8.3268344106577911E-5</v>
      </c>
      <c r="S150" s="2"/>
      <c r="T150" s="2">
        <v>725.1</v>
      </c>
      <c r="U150" s="2"/>
      <c r="V150" s="19">
        <f t="shared" si="19"/>
        <v>1.4130420169066826E-4</v>
      </c>
      <c r="W150" s="2"/>
      <c r="X150" s="2">
        <f t="shared" si="20"/>
        <v>-331.20000000000005</v>
      </c>
      <c r="Y150" s="2"/>
      <c r="Z150" s="19">
        <f t="shared" si="21"/>
        <v>-0.45676458419528349</v>
      </c>
    </row>
    <row r="151" spans="1:26" s="24" customFormat="1" hidden="1" outlineLevel="1" x14ac:dyDescent="0.25">
      <c r="A151" s="44"/>
      <c r="B151" s="11" t="str">
        <f>CONCATENATE("          ", "5528", " - ", "FREIGHT-IN-ART/TECH")</f>
        <v xml:space="preserve">          5528 - FREIGHT-IN-ART/TECH</v>
      </c>
      <c r="C151" s="11"/>
      <c r="D151" s="2">
        <v>332.97</v>
      </c>
      <c r="E151" s="2"/>
      <c r="F151" s="19">
        <f t="shared" si="14"/>
        <v>2.2376989060093888E-4</v>
      </c>
      <c r="G151" s="2"/>
      <c r="H151" s="2">
        <v>330.52</v>
      </c>
      <c r="I151" s="2"/>
      <c r="J151" s="19">
        <f t="shared" si="15"/>
        <v>2.1669216912513042E-4</v>
      </c>
      <c r="K151" s="2"/>
      <c r="L151" s="2">
        <f t="shared" si="16"/>
        <v>2.4500000000000455</v>
      </c>
      <c r="M151" s="2"/>
      <c r="N151" s="19">
        <f t="shared" si="17"/>
        <v>7.4125620234782932E-3</v>
      </c>
      <c r="O151" s="11"/>
      <c r="P151" s="2">
        <v>632.77</v>
      </c>
      <c r="Q151" s="2"/>
      <c r="R151" s="19">
        <f t="shared" si="18"/>
        <v>1.3376417898024705E-4</v>
      </c>
      <c r="S151" s="2"/>
      <c r="T151" s="2">
        <v>557.78</v>
      </c>
      <c r="U151" s="2"/>
      <c r="V151" s="19">
        <f t="shared" si="19"/>
        <v>1.0869763842093632E-4</v>
      </c>
      <c r="W151" s="2"/>
      <c r="X151" s="2">
        <f t="shared" si="20"/>
        <v>74.990000000000009</v>
      </c>
      <c r="Y151" s="2"/>
      <c r="Z151" s="19">
        <f t="shared" si="21"/>
        <v>0.13444368747534874</v>
      </c>
    </row>
    <row r="152" spans="1:26" s="24" customFormat="1" hidden="1" outlineLevel="1" x14ac:dyDescent="0.25">
      <c r="A152" s="44"/>
      <c r="B152" s="11" t="str">
        <f>CONCATENATE("          ", "5540", " - ", "FREIGHT-IN-LOGO CLOTHING")</f>
        <v xml:space="preserve">          5540 - FREIGHT-IN-LOGO CLOTHING</v>
      </c>
      <c r="C152" s="11"/>
      <c r="D152" s="2">
        <v>2672.92</v>
      </c>
      <c r="E152" s="2"/>
      <c r="F152" s="19">
        <f t="shared" si="14"/>
        <v>1.7963150313393445E-3</v>
      </c>
      <c r="G152" s="2"/>
      <c r="H152" s="2">
        <v>2773.09</v>
      </c>
      <c r="I152" s="2"/>
      <c r="J152" s="19">
        <f t="shared" si="15"/>
        <v>1.818065131547888E-3</v>
      </c>
      <c r="K152" s="2"/>
      <c r="L152" s="2">
        <f t="shared" si="16"/>
        <v>-100.17000000000007</v>
      </c>
      <c r="M152" s="2"/>
      <c r="N152" s="19">
        <f t="shared" si="17"/>
        <v>-3.6122159756805612E-2</v>
      </c>
      <c r="O152" s="11"/>
      <c r="P152" s="2">
        <v>5004.8599999999997</v>
      </c>
      <c r="Q152" s="2"/>
      <c r="R152" s="19">
        <f t="shared" si="18"/>
        <v>1.0580005196375922E-3</v>
      </c>
      <c r="S152" s="2"/>
      <c r="T152" s="2">
        <v>5693.24</v>
      </c>
      <c r="U152" s="2"/>
      <c r="V152" s="19">
        <f t="shared" si="19"/>
        <v>1.1094728082104263E-3</v>
      </c>
      <c r="W152" s="2"/>
      <c r="X152" s="2">
        <f t="shared" si="20"/>
        <v>-688.38000000000011</v>
      </c>
      <c r="Y152" s="2"/>
      <c r="Z152" s="19">
        <f t="shared" si="21"/>
        <v>-0.12091181822652833</v>
      </c>
    </row>
    <row r="153" spans="1:26" s="24" customFormat="1" hidden="1" outlineLevel="1" x14ac:dyDescent="0.25">
      <c r="A153" s="44"/>
      <c r="B153" s="11" t="str">
        <f>CONCATENATE("          ", "5541", " - ", "FREIGHT-IN-LOGO GIFTS")</f>
        <v xml:space="preserve">          5541 - FREIGHT-IN-LOGO GIFTS</v>
      </c>
      <c r="C153" s="11"/>
      <c r="D153" s="2">
        <v>97.6</v>
      </c>
      <c r="E153" s="2"/>
      <c r="F153" s="19">
        <f t="shared" si="14"/>
        <v>6.5591318505125475E-5</v>
      </c>
      <c r="G153" s="2"/>
      <c r="H153" s="2">
        <v>929.59</v>
      </c>
      <c r="I153" s="2"/>
      <c r="J153" s="19">
        <f t="shared" si="15"/>
        <v>6.0944836468906569E-4</v>
      </c>
      <c r="K153" s="2"/>
      <c r="L153" s="2">
        <f t="shared" si="16"/>
        <v>-831.99</v>
      </c>
      <c r="M153" s="2"/>
      <c r="N153" s="19">
        <f t="shared" si="17"/>
        <v>-0.8950074764143332</v>
      </c>
      <c r="O153" s="11"/>
      <c r="P153" s="2">
        <v>818.01</v>
      </c>
      <c r="Q153" s="2"/>
      <c r="R153" s="19">
        <f t="shared" si="18"/>
        <v>1.7292291993557197E-4</v>
      </c>
      <c r="S153" s="2"/>
      <c r="T153" s="2">
        <v>2171.12</v>
      </c>
      <c r="U153" s="2"/>
      <c r="V153" s="19">
        <f t="shared" si="19"/>
        <v>4.2309802561666478E-4</v>
      </c>
      <c r="W153" s="2"/>
      <c r="X153" s="2">
        <f t="shared" si="20"/>
        <v>-1353.11</v>
      </c>
      <c r="Y153" s="2"/>
      <c r="Z153" s="19">
        <f t="shared" si="21"/>
        <v>-0.62323132760971289</v>
      </c>
    </row>
    <row r="154" spans="1:26" s="24" customFormat="1" hidden="1" outlineLevel="1" x14ac:dyDescent="0.25">
      <c r="A154" s="44"/>
      <c r="B154" s="11" t="str">
        <f>CONCATENATE("          ", "5542", " - ", "FREIGHT-IN-EVERYDAY GIFTS")</f>
        <v xml:space="preserve">          5542 - FREIGHT-IN-EVERYDAY GIFTS</v>
      </c>
      <c r="C154" s="11"/>
      <c r="D154" s="2">
        <v>58.91</v>
      </c>
      <c r="E154" s="2"/>
      <c r="F154" s="19">
        <f t="shared" si="14"/>
        <v>3.959000587230473E-5</v>
      </c>
      <c r="G154" s="2"/>
      <c r="H154" s="2">
        <v>54.74</v>
      </c>
      <c r="I154" s="2"/>
      <c r="J154" s="19">
        <f t="shared" si="15"/>
        <v>3.5888083437945178E-5</v>
      </c>
      <c r="K154" s="2"/>
      <c r="L154" s="2">
        <f t="shared" si="16"/>
        <v>4.1699999999999946</v>
      </c>
      <c r="M154" s="2"/>
      <c r="N154" s="19">
        <f t="shared" si="17"/>
        <v>7.6178297405918791E-2</v>
      </c>
      <c r="O154" s="11"/>
      <c r="P154" s="2">
        <v>171.68</v>
      </c>
      <c r="Q154" s="2"/>
      <c r="R154" s="19">
        <f t="shared" si="18"/>
        <v>3.6292229794915705E-5</v>
      </c>
      <c r="S154" s="2"/>
      <c r="T154" s="2">
        <v>477.53</v>
      </c>
      <c r="U154" s="2"/>
      <c r="V154" s="19">
        <f t="shared" si="19"/>
        <v>9.3058882131216112E-5</v>
      </c>
      <c r="W154" s="2"/>
      <c r="X154" s="2">
        <f t="shared" si="20"/>
        <v>-305.84999999999997</v>
      </c>
      <c r="Y154" s="2"/>
      <c r="Z154" s="19">
        <f t="shared" si="21"/>
        <v>-0.6404833204196595</v>
      </c>
    </row>
    <row r="155" spans="1:26" s="24" customFormat="1" hidden="1" outlineLevel="1" x14ac:dyDescent="0.25">
      <c r="A155" s="44"/>
      <c r="B155" s="11" t="str">
        <f>CONCATENATE("          ", "5543", " - ", "FREIGHT-IN-CARDS")</f>
        <v xml:space="preserve">          5543 - FREIGHT-IN-CARDS</v>
      </c>
      <c r="C155" s="11"/>
      <c r="D155" s="2"/>
      <c r="E155" s="2"/>
      <c r="F155" s="19">
        <f t="shared" si="14"/>
        <v>0</v>
      </c>
      <c r="G155" s="2"/>
      <c r="H155" s="2"/>
      <c r="I155" s="2"/>
      <c r="J155" s="19">
        <f t="shared" si="15"/>
        <v>0</v>
      </c>
      <c r="K155" s="2"/>
      <c r="L155" s="2">
        <f t="shared" si="16"/>
        <v>0</v>
      </c>
      <c r="M155" s="2"/>
      <c r="N155" s="19">
        <f t="shared" si="17"/>
        <v>0</v>
      </c>
      <c r="O155" s="11"/>
      <c r="P155" s="2">
        <v>4.58</v>
      </c>
      <c r="Q155" s="2"/>
      <c r="R155" s="19">
        <f t="shared" si="18"/>
        <v>9.6818739783733656E-7</v>
      </c>
      <c r="S155" s="2"/>
      <c r="T155" s="2"/>
      <c r="U155" s="2"/>
      <c r="V155" s="19">
        <f t="shared" si="19"/>
        <v>0</v>
      </c>
      <c r="W155" s="2"/>
      <c r="X155" s="2">
        <f t="shared" si="20"/>
        <v>4.58</v>
      </c>
      <c r="Y155" s="2"/>
      <c r="Z155" s="19">
        <f t="shared" si="21"/>
        <v>0</v>
      </c>
    </row>
    <row r="156" spans="1:26" s="24" customFormat="1" hidden="1" outlineLevel="1" x14ac:dyDescent="0.25">
      <c r="A156" s="44"/>
      <c r="B156" s="11" t="str">
        <f>CONCATENATE("          ", "5544", " - ", "FREIGHT-IN-ACCESSORIES")</f>
        <v xml:space="preserve">          5544 - FREIGHT-IN-ACCESSORIES</v>
      </c>
      <c r="C156" s="11"/>
      <c r="D156" s="2">
        <v>34.18</v>
      </c>
      <c r="E156" s="2"/>
      <c r="F156" s="19">
        <f t="shared" si="14"/>
        <v>2.2970402320749888E-5</v>
      </c>
      <c r="G156" s="2"/>
      <c r="H156" s="2">
        <v>317.79000000000002</v>
      </c>
      <c r="I156" s="2"/>
      <c r="J156" s="19">
        <f t="shared" si="15"/>
        <v>2.0834625567673728E-4</v>
      </c>
      <c r="K156" s="2"/>
      <c r="L156" s="2">
        <f t="shared" si="16"/>
        <v>-283.61</v>
      </c>
      <c r="M156" s="2"/>
      <c r="N156" s="19">
        <f t="shared" si="17"/>
        <v>-0.89244469618301392</v>
      </c>
      <c r="O156" s="11"/>
      <c r="P156" s="2">
        <v>135.84</v>
      </c>
      <c r="Q156" s="2"/>
      <c r="R156" s="19">
        <f t="shared" si="18"/>
        <v>2.8715846314896024E-5</v>
      </c>
      <c r="S156" s="2"/>
      <c r="T156" s="2">
        <v>470.64</v>
      </c>
      <c r="U156" s="2"/>
      <c r="V156" s="19">
        <f t="shared" si="19"/>
        <v>9.1716190158179704E-5</v>
      </c>
      <c r="W156" s="2"/>
      <c r="X156" s="2">
        <f t="shared" si="20"/>
        <v>-334.79999999999995</v>
      </c>
      <c r="Y156" s="2"/>
      <c r="Z156" s="19">
        <f t="shared" si="21"/>
        <v>-0.71137174910759804</v>
      </c>
    </row>
    <row r="157" spans="1:26" s="24" customFormat="1" hidden="1" outlineLevel="1" x14ac:dyDescent="0.25">
      <c r="A157" s="44"/>
      <c r="B157" s="11" t="str">
        <f>CONCATENATE("          ", "5545", " - ", "FREIGHT-IN-SPECIAL ORDERS")</f>
        <v xml:space="preserve">          5545 - FREIGHT-IN-SPECIAL ORDERS</v>
      </c>
      <c r="C157" s="11"/>
      <c r="D157" s="2">
        <v>26.56</v>
      </c>
      <c r="E157" s="2"/>
      <c r="F157" s="19">
        <f t="shared" si="14"/>
        <v>1.7849440773525949E-5</v>
      </c>
      <c r="G157" s="2"/>
      <c r="H157" s="2">
        <v>31.52</v>
      </c>
      <c r="I157" s="2"/>
      <c r="J157" s="19">
        <f t="shared" si="15"/>
        <v>2.0664822615345851E-5</v>
      </c>
      <c r="K157" s="2"/>
      <c r="L157" s="2">
        <f t="shared" si="16"/>
        <v>-4.9600000000000009</v>
      </c>
      <c r="M157" s="2"/>
      <c r="N157" s="19">
        <f t="shared" si="17"/>
        <v>-0.15736040609137059</v>
      </c>
      <c r="O157" s="11"/>
      <c r="P157" s="2">
        <v>262.51</v>
      </c>
      <c r="Q157" s="2"/>
      <c r="R157" s="19">
        <f t="shared" si="18"/>
        <v>5.5493203887833888E-5</v>
      </c>
      <c r="S157" s="2"/>
      <c r="T157" s="2">
        <v>1186.56</v>
      </c>
      <c r="U157" s="2"/>
      <c r="V157" s="19">
        <f t="shared" si="19"/>
        <v>2.3123143505458462E-4</v>
      </c>
      <c r="W157" s="2"/>
      <c r="X157" s="2">
        <f t="shared" si="20"/>
        <v>-924.05</v>
      </c>
      <c r="Y157" s="2"/>
      <c r="Z157" s="19">
        <f t="shared" si="21"/>
        <v>-0.77876382146709822</v>
      </c>
    </row>
    <row r="158" spans="1:26" s="24" customFormat="1" hidden="1" outlineLevel="1" x14ac:dyDescent="0.25">
      <c r="A158" s="44"/>
      <c r="B158" s="11" t="str">
        <f>CONCATENATE("          ", "5592", " - ", "FREIGHT-IN-GRAD MERCH")</f>
        <v xml:space="preserve">          5592 - FREIGHT-IN-GRAD MERCH</v>
      </c>
      <c r="C158" s="11"/>
      <c r="D158" s="2">
        <v>11.21</v>
      </c>
      <c r="E158" s="2"/>
      <c r="F158" s="19">
        <f t="shared" si="14"/>
        <v>7.5335930373202532E-6</v>
      </c>
      <c r="G158" s="2"/>
      <c r="H158" s="2">
        <v>5.61</v>
      </c>
      <c r="I158" s="2"/>
      <c r="J158" s="19">
        <f t="shared" si="15"/>
        <v>3.6779712840130153E-6</v>
      </c>
      <c r="K158" s="2"/>
      <c r="L158" s="2">
        <f t="shared" si="16"/>
        <v>5.6000000000000005</v>
      </c>
      <c r="M158" s="2"/>
      <c r="N158" s="19">
        <f t="shared" si="17"/>
        <v>0.99821746880570417</v>
      </c>
      <c r="O158" s="11"/>
      <c r="P158" s="2">
        <v>70.78</v>
      </c>
      <c r="Q158" s="2"/>
      <c r="R158" s="19">
        <f t="shared" si="18"/>
        <v>1.4962511794525476E-5</v>
      </c>
      <c r="S158" s="2"/>
      <c r="T158" s="2">
        <v>114.3</v>
      </c>
      <c r="U158" s="2"/>
      <c r="V158" s="19">
        <f t="shared" si="19"/>
        <v>2.2274265967788416E-5</v>
      </c>
      <c r="W158" s="2"/>
      <c r="X158" s="2">
        <f t="shared" si="20"/>
        <v>-43.519999999999996</v>
      </c>
      <c r="Y158" s="2"/>
      <c r="Z158" s="19">
        <f t="shared" si="21"/>
        <v>-0.3807524059492563</v>
      </c>
    </row>
    <row r="159" spans="1:26" x14ac:dyDescent="0.25">
      <c r="A159" s="9"/>
      <c r="B159" s="10"/>
      <c r="C159" s="10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O159" s="10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s="23" customFormat="1" x14ac:dyDescent="0.25">
      <c r="A160" s="10"/>
      <c r="B160" s="26" t="s">
        <v>6</v>
      </c>
      <c r="C160" s="26"/>
      <c r="D160" s="21">
        <f>D12-D108</f>
        <v>667526.76999999909</v>
      </c>
      <c r="E160" s="13"/>
      <c r="F160" s="20">
        <f>IF(D$12=0,0,D160/D$12)</f>
        <v>0.44860615760007766</v>
      </c>
      <c r="G160" s="13"/>
      <c r="H160" s="21">
        <f>H12-H108</f>
        <v>642116.01</v>
      </c>
      <c r="I160" s="13"/>
      <c r="J160" s="20">
        <f>IF(H$12=0,0,H160/H$12)</f>
        <v>0.42097758391889734</v>
      </c>
      <c r="K160" s="15"/>
      <c r="L160" s="21">
        <f>+D160-H160</f>
        <v>25410.759999999078</v>
      </c>
      <c r="M160" s="15"/>
      <c r="N160" s="20">
        <f>IF(H160=0,0,L160/H160)</f>
        <v>3.9573472089566929E-2</v>
      </c>
      <c r="O160" s="25"/>
      <c r="P160" s="21">
        <f>P12-P108</f>
        <v>1854349.0599999987</v>
      </c>
      <c r="Q160" s="13"/>
      <c r="R160" s="20">
        <f>IF(P$12=0,0,P160/P$12)</f>
        <v>0.39199943036757856</v>
      </c>
      <c r="S160" s="13"/>
      <c r="T160" s="21">
        <f>T12-T108</f>
        <v>1918228.4199999995</v>
      </c>
      <c r="U160" s="13"/>
      <c r="V160" s="20">
        <f>IF(T$12=0,0,T160/T$12)</f>
        <v>0.37381566066535898</v>
      </c>
      <c r="W160" s="15"/>
      <c r="X160" s="21">
        <f>+P160-T160</f>
        <v>-63879.360000000801</v>
      </c>
      <c r="Y160" s="15"/>
      <c r="Z160" s="20">
        <f>IF(T160=0,0,X160/T160)</f>
        <v>-3.3301226972750626E-2</v>
      </c>
    </row>
    <row r="161" spans="1:26" x14ac:dyDescent="0.25">
      <c r="A161" s="9"/>
      <c r="B161" s="10"/>
      <c r="C161" s="9"/>
      <c r="D161" s="1"/>
      <c r="E161" s="1"/>
      <c r="F161" s="5"/>
      <c r="G161" s="1"/>
      <c r="H161" s="1"/>
      <c r="I161" s="1"/>
      <c r="J161" s="5"/>
      <c r="K161" s="1"/>
      <c r="L161" s="1"/>
      <c r="M161" s="1"/>
      <c r="N161" s="5"/>
      <c r="O161" s="37"/>
      <c r="P161" s="1"/>
      <c r="Q161" s="1"/>
      <c r="R161" s="5"/>
      <c r="S161" s="1"/>
      <c r="T161" s="1"/>
      <c r="U161" s="1"/>
      <c r="V161" s="5"/>
      <c r="W161" s="1"/>
      <c r="X161" s="1"/>
      <c r="Y161" s="1"/>
      <c r="Z161" s="5"/>
    </row>
    <row r="162" spans="1:26" s="23" customFormat="1" x14ac:dyDescent="0.25">
      <c r="A162" s="10"/>
      <c r="B162" s="25" t="s">
        <v>9</v>
      </c>
      <c r="C162" s="10"/>
      <c r="D162" s="22">
        <f>SUM(OSRRefD22x_0)</f>
        <v>479138.56000000017</v>
      </c>
      <c r="E162" s="22"/>
      <c r="F162" s="34">
        <f t="shared" ref="F162:F172" si="22">IF(D$12=0,0,D162/D$12)</f>
        <v>0.32200133091236871</v>
      </c>
      <c r="G162" s="22"/>
      <c r="H162" s="22">
        <f>SUM(OSRRefH22x_0)</f>
        <v>477355.92000000022</v>
      </c>
      <c r="I162" s="22"/>
      <c r="J162" s="34">
        <f t="shared" ref="J162:J172" si="23">IF(H$12=0,0,H162/H$12)</f>
        <v>0.31295924527871921</v>
      </c>
      <c r="K162" s="4"/>
      <c r="L162" s="22">
        <f t="shared" ref="L162:L172" si="24">+D162-H162</f>
        <v>1782.6399999999558</v>
      </c>
      <c r="M162" s="4"/>
      <c r="N162" s="34">
        <f t="shared" ref="N162:N172" si="25">IF(H162=0,0,L162/H162)</f>
        <v>3.7344042994165755E-3</v>
      </c>
      <c r="O162" s="10"/>
      <c r="P162" s="22">
        <f>SUM(OSRRefP22x_0)</f>
        <v>1417717.7499999998</v>
      </c>
      <c r="Q162" s="22"/>
      <c r="R162" s="34">
        <f t="shared" ref="R162:R172" si="26">IF(P$12=0,0,P162/P$12)</f>
        <v>0.29969791686469505</v>
      </c>
      <c r="S162" s="22"/>
      <c r="T162" s="22">
        <f>SUM(OSRRefT22x_0)</f>
        <v>1479993.7999999989</v>
      </c>
      <c r="U162" s="22"/>
      <c r="V162" s="34">
        <f t="shared" ref="V162:V172" si="27">IF(T$12=0,0,T162/T$12)</f>
        <v>0.28841448409341935</v>
      </c>
      <c r="W162" s="4"/>
      <c r="X162" s="22">
        <f t="shared" ref="X162:X172" si="28">+P162-T162</f>
        <v>-62276.049999999115</v>
      </c>
      <c r="Y162" s="4"/>
      <c r="Z162" s="34">
        <f t="shared" ref="Z162:Z172" si="29">IF(T162=0,0,X162/T162)</f>
        <v>-4.2078588437329374E-2</v>
      </c>
    </row>
    <row r="163" spans="1:26" s="29" customFormat="1" outlineLevel="1" collapsed="1" x14ac:dyDescent="0.25">
      <c r="A163" s="27"/>
      <c r="B163" s="14" t="str">
        <f>CONCATENATE("     ","*Benefits                                         ")</f>
        <v xml:space="preserve">     *Benefits                                         </v>
      </c>
      <c r="C163" s="14"/>
      <c r="D163" s="1">
        <f>SUM(OSRRefD22_0x_0)</f>
        <v>62238.760000000009</v>
      </c>
      <c r="E163" s="1"/>
      <c r="F163" s="5">
        <f t="shared" si="22"/>
        <v>4.1827073058648197E-2</v>
      </c>
      <c r="G163" s="1"/>
      <c r="H163" s="1">
        <f>SUM(OSRRefH22_0x_0)</f>
        <v>58144.719999999994</v>
      </c>
      <c r="I163" s="1"/>
      <c r="J163" s="5">
        <f t="shared" si="23"/>
        <v>3.8120251421921068E-2</v>
      </c>
      <c r="K163" s="1"/>
      <c r="L163" s="1">
        <f t="shared" si="24"/>
        <v>4094.0400000000154</v>
      </c>
      <c r="M163" s="1"/>
      <c r="N163" s="5">
        <f t="shared" si="25"/>
        <v>7.0411208446786153E-2</v>
      </c>
      <c r="O163" s="14"/>
      <c r="P163" s="1">
        <f>SUM(OSRRefP22_0x_0)</f>
        <v>198372.47999999998</v>
      </c>
      <c r="Q163" s="1"/>
      <c r="R163" s="5">
        <f t="shared" si="26"/>
        <v>4.1934876684222501E-2</v>
      </c>
      <c r="S163" s="1"/>
      <c r="T163" s="1">
        <f>SUM(OSRRefT22_0x_0)</f>
        <v>184233.08</v>
      </c>
      <c r="U163" s="1"/>
      <c r="V163" s="5">
        <f t="shared" si="27"/>
        <v>3.5902507646411549E-2</v>
      </c>
      <c r="W163" s="1"/>
      <c r="X163" s="1">
        <f t="shared" si="28"/>
        <v>14139.399999999994</v>
      </c>
      <c r="Y163" s="1"/>
      <c r="Z163" s="5">
        <f t="shared" si="29"/>
        <v>7.6747346350611922E-2</v>
      </c>
    </row>
    <row r="164" spans="1:26" s="24" customFormat="1" hidden="1" outlineLevel="2" x14ac:dyDescent="0.25">
      <c r="A164" s="28"/>
      <c r="B164" s="11" t="str">
        <f>CONCATENATE("          ", "6111", " - ", "F.I.C.A.")</f>
        <v xml:space="preserve">          6111 - F.I.C.A.</v>
      </c>
      <c r="C164" s="11"/>
      <c r="D164" s="6">
        <v>9398.49</v>
      </c>
      <c r="E164" s="2"/>
      <c r="F164" s="7">
        <f t="shared" si="22"/>
        <v>6.3161818755864425E-3</v>
      </c>
      <c r="G164" s="2"/>
      <c r="H164" s="6">
        <v>9922.14</v>
      </c>
      <c r="I164" s="2"/>
      <c r="J164" s="7">
        <f t="shared" si="23"/>
        <v>6.505052762202655E-3</v>
      </c>
      <c r="K164" s="2"/>
      <c r="L164" s="6">
        <f t="shared" si="24"/>
        <v>-523.64999999999964</v>
      </c>
      <c r="M164" s="2"/>
      <c r="N164" s="7">
        <f t="shared" si="25"/>
        <v>-5.2775913260647365E-2</v>
      </c>
      <c r="O164" s="11"/>
      <c r="P164" s="6">
        <v>39143.65</v>
      </c>
      <c r="Q164" s="2"/>
      <c r="R164" s="7">
        <f t="shared" si="26"/>
        <v>8.2747573439640749E-3</v>
      </c>
      <c r="S164" s="2"/>
      <c r="T164" s="6">
        <v>38570.080000000002</v>
      </c>
      <c r="U164" s="2"/>
      <c r="V164" s="7">
        <f t="shared" si="27"/>
        <v>7.5163623824923594E-3</v>
      </c>
      <c r="W164" s="2"/>
      <c r="X164" s="6">
        <f t="shared" si="28"/>
        <v>573.56999999999971</v>
      </c>
      <c r="Y164" s="2"/>
      <c r="Z164" s="7">
        <f t="shared" si="29"/>
        <v>1.4870853262425167E-2</v>
      </c>
    </row>
    <row r="165" spans="1:26" s="24" customFormat="1" hidden="1" outlineLevel="2" x14ac:dyDescent="0.25">
      <c r="A165" s="28"/>
      <c r="B165" s="11" t="str">
        <f>CONCATENATE("          ", "6112", " - ", "COMPENSATION INSURANCE")</f>
        <v xml:space="preserve">          6112 - COMPENSATION INSURANCE</v>
      </c>
      <c r="C165" s="11"/>
      <c r="D165" s="6">
        <v>4454.33</v>
      </c>
      <c r="E165" s="2"/>
      <c r="F165" s="7">
        <f t="shared" si="22"/>
        <v>2.9934977229194222E-3</v>
      </c>
      <c r="G165" s="2"/>
      <c r="H165" s="6"/>
      <c r="I165" s="2"/>
      <c r="J165" s="7">
        <f t="shared" si="23"/>
        <v>0</v>
      </c>
      <c r="K165" s="2"/>
      <c r="L165" s="6">
        <f t="shared" si="24"/>
        <v>4454.33</v>
      </c>
      <c r="M165" s="2"/>
      <c r="N165" s="7">
        <f t="shared" si="25"/>
        <v>0</v>
      </c>
      <c r="O165" s="11"/>
      <c r="P165" s="6">
        <v>10820.29</v>
      </c>
      <c r="Q165" s="2"/>
      <c r="R165" s="7">
        <f t="shared" si="26"/>
        <v>2.2873511831758416E-3</v>
      </c>
      <c r="S165" s="2"/>
      <c r="T165" s="6">
        <v>4644.54</v>
      </c>
      <c r="U165" s="2"/>
      <c r="V165" s="7">
        <f t="shared" si="27"/>
        <v>9.0510690514463701E-4</v>
      </c>
      <c r="W165" s="2"/>
      <c r="X165" s="6">
        <f t="shared" si="28"/>
        <v>6175.7500000000009</v>
      </c>
      <c r="Y165" s="2"/>
      <c r="Z165" s="7">
        <f t="shared" si="29"/>
        <v>1.3296795807550372</v>
      </c>
    </row>
    <row r="166" spans="1:26" s="24" customFormat="1" hidden="1" outlineLevel="2" x14ac:dyDescent="0.25">
      <c r="A166" s="28"/>
      <c r="B166" s="11" t="str">
        <f>CONCATENATE("          ", "6113", " - ", "GROUP INSURANCE")</f>
        <v xml:space="preserve">          6113 - GROUP INSURANCE</v>
      </c>
      <c r="C166" s="11"/>
      <c r="D166" s="6">
        <v>25413.72</v>
      </c>
      <c r="E166" s="2"/>
      <c r="F166" s="7">
        <f t="shared" si="22"/>
        <v>1.7079092243033583E-2</v>
      </c>
      <c r="G166" s="2"/>
      <c r="H166" s="6">
        <v>27455.01</v>
      </c>
      <c r="I166" s="2"/>
      <c r="J166" s="7">
        <f t="shared" si="23"/>
        <v>1.7999775112707693E-2</v>
      </c>
      <c r="K166" s="2"/>
      <c r="L166" s="6">
        <f t="shared" si="24"/>
        <v>-2041.2899999999972</v>
      </c>
      <c r="M166" s="2"/>
      <c r="N166" s="7">
        <f t="shared" si="25"/>
        <v>-7.4350364468998453E-2</v>
      </c>
      <c r="O166" s="11"/>
      <c r="P166" s="6">
        <v>76166.259999999995</v>
      </c>
      <c r="Q166" s="2"/>
      <c r="R166" s="7">
        <f t="shared" si="26"/>
        <v>1.6101138225415285E-2</v>
      </c>
      <c r="S166" s="2"/>
      <c r="T166" s="6">
        <v>64953.29</v>
      </c>
      <c r="U166" s="2"/>
      <c r="V166" s="7">
        <f t="shared" si="27"/>
        <v>1.265780277290369E-2</v>
      </c>
      <c r="W166" s="2"/>
      <c r="X166" s="6">
        <f t="shared" si="28"/>
        <v>11212.969999999994</v>
      </c>
      <c r="Y166" s="2"/>
      <c r="Z166" s="7">
        <f t="shared" si="29"/>
        <v>0.17263128626740837</v>
      </c>
    </row>
    <row r="167" spans="1:26" s="24" customFormat="1" hidden="1" outlineLevel="2" x14ac:dyDescent="0.25">
      <c r="A167" s="28"/>
      <c r="B167" s="11" t="str">
        <f>CONCATENATE("          ", "6114", " - ", "STATE UNEMPLOYMENT INSURANCE")</f>
        <v xml:space="preserve">          6114 - STATE UNEMPLOYMENT INSURANCE</v>
      </c>
      <c r="C167" s="11"/>
      <c r="D167" s="6">
        <v>714.9</v>
      </c>
      <c r="E167" s="2"/>
      <c r="F167" s="7">
        <f t="shared" si="22"/>
        <v>4.804429672060882E-4</v>
      </c>
      <c r="G167" s="2"/>
      <c r="H167" s="6">
        <v>702.84</v>
      </c>
      <c r="I167" s="2"/>
      <c r="J167" s="7">
        <f t="shared" si="23"/>
        <v>4.6078883017035787E-4</v>
      </c>
      <c r="K167" s="2"/>
      <c r="L167" s="6">
        <f t="shared" si="24"/>
        <v>12.059999999999945</v>
      </c>
      <c r="M167" s="2"/>
      <c r="N167" s="7">
        <f t="shared" si="25"/>
        <v>1.715895509646569E-2</v>
      </c>
      <c r="O167" s="11"/>
      <c r="P167" s="6">
        <v>1731.07</v>
      </c>
      <c r="Q167" s="2"/>
      <c r="R167" s="7">
        <f t="shared" si="26"/>
        <v>3.6593889929569391E-4</v>
      </c>
      <c r="S167" s="2"/>
      <c r="T167" s="6">
        <v>1915.81</v>
      </c>
      <c r="U167" s="2"/>
      <c r="V167" s="7">
        <f t="shared" si="27"/>
        <v>3.7334436993655926E-4</v>
      </c>
      <c r="W167" s="2"/>
      <c r="X167" s="6">
        <f t="shared" si="28"/>
        <v>-184.74</v>
      </c>
      <c r="Y167" s="2"/>
      <c r="Z167" s="7">
        <f t="shared" si="29"/>
        <v>-9.6429186610363246E-2</v>
      </c>
    </row>
    <row r="168" spans="1:26" s="24" customFormat="1" hidden="1" outlineLevel="2" x14ac:dyDescent="0.25">
      <c r="A168" s="28"/>
      <c r="B168" s="11" t="str">
        <f>CONCATENATE("          ", "6115", " - ", "P.E.R.S.")</f>
        <v xml:space="preserve">          6115 - P.E.R.S.</v>
      </c>
      <c r="C168" s="11"/>
      <c r="D168" s="6">
        <v>7882.69</v>
      </c>
      <c r="E168" s="2"/>
      <c r="F168" s="7">
        <f t="shared" si="22"/>
        <v>5.2975003121636024E-3</v>
      </c>
      <c r="G168" s="2"/>
      <c r="H168" s="6">
        <v>6951.51</v>
      </c>
      <c r="I168" s="2"/>
      <c r="J168" s="7">
        <f t="shared" si="23"/>
        <v>4.5574784599874E-3</v>
      </c>
      <c r="K168" s="2"/>
      <c r="L168" s="6">
        <f t="shared" si="24"/>
        <v>931.17999999999938</v>
      </c>
      <c r="M168" s="2"/>
      <c r="N168" s="7">
        <f t="shared" si="25"/>
        <v>0.13395363021847043</v>
      </c>
      <c r="O168" s="11"/>
      <c r="P168" s="6">
        <v>23183.66</v>
      </c>
      <c r="Q168" s="2"/>
      <c r="R168" s="7">
        <f t="shared" si="26"/>
        <v>4.9009011894640929E-3</v>
      </c>
      <c r="S168" s="2"/>
      <c r="T168" s="6">
        <v>24234.190000000002</v>
      </c>
      <c r="U168" s="2"/>
      <c r="V168" s="7">
        <f t="shared" si="27"/>
        <v>4.7226491126327068E-3</v>
      </c>
      <c r="W168" s="2"/>
      <c r="X168" s="6">
        <f t="shared" si="28"/>
        <v>-1050.5300000000025</v>
      </c>
      <c r="Y168" s="2"/>
      <c r="Z168" s="7">
        <f t="shared" si="29"/>
        <v>-4.334908655911348E-2</v>
      </c>
    </row>
    <row r="169" spans="1:26" s="24" customFormat="1" hidden="1" outlineLevel="2" x14ac:dyDescent="0.25">
      <c r="A169" s="28"/>
      <c r="B169" s="11" t="str">
        <f>CONCATENATE("          ", "6117", " - ", "RETIREMENT STAFF HOURLY")</f>
        <v xml:space="preserve">          6117 - RETIREMENT STAFF HOURLY</v>
      </c>
      <c r="C169" s="11"/>
      <c r="D169" s="6">
        <v>145.97</v>
      </c>
      <c r="E169" s="2"/>
      <c r="F169" s="7">
        <f t="shared" si="22"/>
        <v>9.8097999612634901E-5</v>
      </c>
      <c r="G169" s="2"/>
      <c r="H169" s="6">
        <v>518.58000000000004</v>
      </c>
      <c r="I169" s="2"/>
      <c r="J169" s="7">
        <f t="shared" si="23"/>
        <v>3.3998615837138493E-4</v>
      </c>
      <c r="K169" s="2"/>
      <c r="L169" s="6">
        <f t="shared" si="24"/>
        <v>-372.61</v>
      </c>
      <c r="M169" s="2"/>
      <c r="N169" s="7">
        <f t="shared" si="25"/>
        <v>-0.7185198040803733</v>
      </c>
      <c r="O169" s="11"/>
      <c r="P169" s="6">
        <v>461.34</v>
      </c>
      <c r="Q169" s="2"/>
      <c r="R169" s="7">
        <f t="shared" si="26"/>
        <v>9.7524797842418512E-5</v>
      </c>
      <c r="S169" s="2"/>
      <c r="T169" s="6">
        <v>1106.97</v>
      </c>
      <c r="U169" s="2"/>
      <c r="V169" s="7">
        <f t="shared" si="27"/>
        <v>2.1572129657360231E-4</v>
      </c>
      <c r="W169" s="2"/>
      <c r="X169" s="6">
        <f t="shared" si="28"/>
        <v>-645.63000000000011</v>
      </c>
      <c r="Y169" s="2"/>
      <c r="Z169" s="7">
        <f t="shared" si="29"/>
        <v>-0.58324073823138844</v>
      </c>
    </row>
    <row r="170" spans="1:26" s="24" customFormat="1" hidden="1" outlineLevel="2" x14ac:dyDescent="0.25">
      <c r="A170" s="28"/>
      <c r="B170" s="11" t="str">
        <f>CONCATENATE("          ", "6118", " - ", "VACATION")</f>
        <v xml:space="preserve">          6118 - VACATION</v>
      </c>
      <c r="C170" s="11"/>
      <c r="D170" s="6">
        <v>6482.44</v>
      </c>
      <c r="E170" s="2"/>
      <c r="F170" s="7">
        <f t="shared" si="22"/>
        <v>4.3564732246963687E-3</v>
      </c>
      <c r="G170" s="2"/>
      <c r="H170" s="6">
        <v>6037.02</v>
      </c>
      <c r="I170" s="2"/>
      <c r="J170" s="7">
        <f t="shared" si="23"/>
        <v>3.9579298041020061E-3</v>
      </c>
      <c r="K170" s="2"/>
      <c r="L170" s="6">
        <f t="shared" si="24"/>
        <v>445.41999999999916</v>
      </c>
      <c r="M170" s="2"/>
      <c r="N170" s="7">
        <f t="shared" si="25"/>
        <v>7.3781435211412102E-2</v>
      </c>
      <c r="O170" s="11"/>
      <c r="P170" s="6">
        <v>20945.05</v>
      </c>
      <c r="Q170" s="2"/>
      <c r="R170" s="7">
        <f t="shared" si="26"/>
        <v>4.4276710604962671E-3</v>
      </c>
      <c r="S170" s="2"/>
      <c r="T170" s="6">
        <v>22135.919999999998</v>
      </c>
      <c r="U170" s="2"/>
      <c r="V170" s="7">
        <f t="shared" si="27"/>
        <v>4.3137477648441547E-3</v>
      </c>
      <c r="W170" s="2"/>
      <c r="X170" s="6">
        <f t="shared" si="28"/>
        <v>-1190.869999999999</v>
      </c>
      <c r="Y170" s="2"/>
      <c r="Z170" s="7">
        <f t="shared" si="29"/>
        <v>-5.3798080224359279E-2</v>
      </c>
    </row>
    <row r="171" spans="1:26" s="24" customFormat="1" hidden="1" outlineLevel="2" x14ac:dyDescent="0.25">
      <c r="A171" s="28"/>
      <c r="B171" s="11" t="str">
        <f>CONCATENATE("          ", "6119", " - ", "SICK LEAVE")</f>
        <v xml:space="preserve">          6119 - SICK LEAVE</v>
      </c>
      <c r="C171" s="11"/>
      <c r="D171" s="6">
        <v>4907.63</v>
      </c>
      <c r="E171" s="2"/>
      <c r="F171" s="7">
        <f t="shared" si="22"/>
        <v>3.2981344511814445E-3</v>
      </c>
      <c r="G171" s="2"/>
      <c r="H171" s="6">
        <v>4094.15</v>
      </c>
      <c r="I171" s="2"/>
      <c r="J171" s="7">
        <f t="shared" si="23"/>
        <v>2.684165085996771E-3</v>
      </c>
      <c r="K171" s="2"/>
      <c r="L171" s="6">
        <f t="shared" si="24"/>
        <v>813.48</v>
      </c>
      <c r="M171" s="2"/>
      <c r="N171" s="7">
        <f t="shared" si="25"/>
        <v>0.19869325745270691</v>
      </c>
      <c r="O171" s="11"/>
      <c r="P171" s="6">
        <v>18270.54</v>
      </c>
      <c r="Q171" s="2"/>
      <c r="R171" s="7">
        <f t="shared" si="26"/>
        <v>3.8622940130312164E-3</v>
      </c>
      <c r="S171" s="2"/>
      <c r="T171" s="6">
        <v>19076.41</v>
      </c>
      <c r="U171" s="2"/>
      <c r="V171" s="7">
        <f t="shared" si="27"/>
        <v>3.7175243224022627E-3</v>
      </c>
      <c r="W171" s="2"/>
      <c r="X171" s="6">
        <f t="shared" si="28"/>
        <v>-805.86999999999898</v>
      </c>
      <c r="Y171" s="2"/>
      <c r="Z171" s="7">
        <f t="shared" si="29"/>
        <v>-4.2244321651715336E-2</v>
      </c>
    </row>
    <row r="172" spans="1:26" s="24" customFormat="1" hidden="1" outlineLevel="2" x14ac:dyDescent="0.25">
      <c r="A172" s="28"/>
      <c r="B172" s="11" t="str">
        <f>CONCATENATE("          ", "6156", " - ", "EMPLOYEE MEALS")</f>
        <v xml:space="preserve">          6156 - EMPLOYEE MEALS</v>
      </c>
      <c r="C172" s="11"/>
      <c r="D172" s="6">
        <v>2838.59</v>
      </c>
      <c r="E172" s="2"/>
      <c r="F172" s="7">
        <f t="shared" si="22"/>
        <v>1.9076522622486082E-3</v>
      </c>
      <c r="G172" s="2"/>
      <c r="H172" s="6">
        <v>2463.4699999999998</v>
      </c>
      <c r="I172" s="2"/>
      <c r="J172" s="7">
        <f t="shared" si="23"/>
        <v>1.6150752083828059E-3</v>
      </c>
      <c r="K172" s="2"/>
      <c r="L172" s="6">
        <f t="shared" si="24"/>
        <v>375.12000000000035</v>
      </c>
      <c r="M172" s="2"/>
      <c r="N172" s="7">
        <f t="shared" si="25"/>
        <v>0.15227301326989992</v>
      </c>
      <c r="O172" s="11"/>
      <c r="P172" s="6">
        <v>7650.62</v>
      </c>
      <c r="Q172" s="2"/>
      <c r="R172" s="7">
        <f t="shared" si="26"/>
        <v>1.6172999715376164E-3</v>
      </c>
      <c r="S172" s="2"/>
      <c r="T172" s="6">
        <v>7595.87</v>
      </c>
      <c r="U172" s="2"/>
      <c r="V172" s="7">
        <f t="shared" si="27"/>
        <v>1.4802487194815834E-3</v>
      </c>
      <c r="W172" s="2"/>
      <c r="X172" s="6">
        <f t="shared" si="28"/>
        <v>54.75</v>
      </c>
      <c r="Y172" s="2"/>
      <c r="Z172" s="7">
        <f t="shared" si="29"/>
        <v>7.2078642736118446E-3</v>
      </c>
    </row>
    <row r="173" spans="1:26" s="29" customFormat="1" outlineLevel="1" collapsed="1" x14ac:dyDescent="0.25">
      <c r="A173" s="27"/>
      <c r="B173" s="14" t="str">
        <f>CONCATENATE("     ","*Payroll                                          ")</f>
        <v xml:space="preserve">     *Payroll                                          </v>
      </c>
      <c r="C173" s="14"/>
      <c r="D173" s="1">
        <f>SUM(OSRRefD22_1x_0)</f>
        <v>233760.81</v>
      </c>
      <c r="E173" s="1"/>
      <c r="F173" s="5">
        <f t="shared" ref="F173:F180" si="30">IF(D$12=0,0,D173/D$12)</f>
        <v>0.15709712851153812</v>
      </c>
      <c r="G173" s="1"/>
      <c r="H173" s="1">
        <f>SUM(OSRRefH22_1x_0)</f>
        <v>222602.31</v>
      </c>
      <c r="I173" s="1"/>
      <c r="J173" s="5">
        <f t="shared" ref="J173:J180" si="31">IF(H$12=0,0,H173/H$12)</f>
        <v>0.14594026808109861</v>
      </c>
      <c r="K173" s="1"/>
      <c r="L173" s="1">
        <f t="shared" ref="L173:L180" si="32">+D173-H173</f>
        <v>11158.5</v>
      </c>
      <c r="M173" s="1"/>
      <c r="N173" s="5">
        <f t="shared" ref="N173:N180" si="33">IF(H173=0,0,L173/H173)</f>
        <v>5.012751215384962E-2</v>
      </c>
      <c r="O173" s="14"/>
      <c r="P173" s="1">
        <f>SUM(OSRRefP22_1x_0)</f>
        <v>707836.35</v>
      </c>
      <c r="Q173" s="1"/>
      <c r="R173" s="5">
        <f t="shared" ref="R173:R180" si="34">IF(P$12=0,0,P173/P$12)</f>
        <v>0.14963280213999522</v>
      </c>
      <c r="S173" s="1"/>
      <c r="T173" s="1">
        <f>SUM(OSRRefT22_1x_0)</f>
        <v>683069.47</v>
      </c>
      <c r="U173" s="1"/>
      <c r="V173" s="5">
        <f t="shared" ref="V173:V180" si="35">IF(T$12=0,0,T173/T$12)</f>
        <v>0.13311348249568039</v>
      </c>
      <c r="W173" s="1"/>
      <c r="X173" s="1">
        <f t="shared" ref="X173:X180" si="36">+P173-T173</f>
        <v>24766.880000000005</v>
      </c>
      <c r="Y173" s="1"/>
      <c r="Z173" s="5">
        <f t="shared" ref="Z173:Z180" si="37">IF(T173=0,0,X173/T173)</f>
        <v>3.6258215434515038E-2</v>
      </c>
    </row>
    <row r="174" spans="1:26" s="24" customFormat="1" hidden="1" outlineLevel="2" x14ac:dyDescent="0.25">
      <c r="A174" s="28"/>
      <c r="B174" s="11" t="str">
        <f>CONCATENATE("          ", "6001", " - ", "ADMINISTRATIVE SALARIES")</f>
        <v xml:space="preserve">          6001 - ADMINISTRATIVE SALARIES</v>
      </c>
      <c r="C174" s="11"/>
      <c r="D174" s="6">
        <v>10717.14</v>
      </c>
      <c r="E174" s="2"/>
      <c r="F174" s="7">
        <f t="shared" si="30"/>
        <v>7.2023703197133249E-3</v>
      </c>
      <c r="G174" s="2"/>
      <c r="H174" s="6">
        <v>9884.75</v>
      </c>
      <c r="I174" s="2"/>
      <c r="J174" s="7">
        <f t="shared" si="31"/>
        <v>6.4805395097411143E-3</v>
      </c>
      <c r="K174" s="2"/>
      <c r="L174" s="6">
        <f t="shared" si="32"/>
        <v>832.38999999999942</v>
      </c>
      <c r="M174" s="2"/>
      <c r="N174" s="7">
        <f t="shared" si="33"/>
        <v>8.420951465641513E-2</v>
      </c>
      <c r="O174" s="11"/>
      <c r="P174" s="6">
        <v>33758.700000000004</v>
      </c>
      <c r="Q174" s="2"/>
      <c r="R174" s="7">
        <f t="shared" si="34"/>
        <v>7.1364078400374007E-3</v>
      </c>
      <c r="S174" s="2"/>
      <c r="T174" s="6">
        <v>33295.75</v>
      </c>
      <c r="U174" s="2"/>
      <c r="V174" s="7">
        <f t="shared" si="35"/>
        <v>6.488524856491611E-3</v>
      </c>
      <c r="W174" s="2"/>
      <c r="X174" s="6">
        <f t="shared" si="36"/>
        <v>462.95000000000437</v>
      </c>
      <c r="Y174" s="2"/>
      <c r="Z174" s="7">
        <f t="shared" si="37"/>
        <v>1.3904176959521992E-2</v>
      </c>
    </row>
    <row r="175" spans="1:26" s="24" customFormat="1" hidden="1" outlineLevel="2" x14ac:dyDescent="0.25">
      <c r="A175" s="28"/>
      <c r="B175" s="11" t="str">
        <f>CONCATENATE("          ", "6002", " - ", "STAFF SALARIES")</f>
        <v xml:space="preserve">          6002 - STAFF SALARIES</v>
      </c>
      <c r="C175" s="11"/>
      <c r="D175" s="6">
        <v>75431.069999999992</v>
      </c>
      <c r="E175" s="2"/>
      <c r="F175" s="7">
        <f t="shared" si="30"/>
        <v>5.0692862065086219E-2</v>
      </c>
      <c r="G175" s="2"/>
      <c r="H175" s="6">
        <v>67864.62000000001</v>
      </c>
      <c r="I175" s="2"/>
      <c r="J175" s="7">
        <f t="shared" si="31"/>
        <v>4.4492713647139998E-2</v>
      </c>
      <c r="K175" s="2"/>
      <c r="L175" s="6">
        <f t="shared" si="32"/>
        <v>7566.4499999999825</v>
      </c>
      <c r="M175" s="2"/>
      <c r="N175" s="7">
        <f t="shared" si="33"/>
        <v>0.11149329356003145</v>
      </c>
      <c r="O175" s="11"/>
      <c r="P175" s="6">
        <v>231093.85</v>
      </c>
      <c r="Q175" s="2"/>
      <c r="R175" s="7">
        <f t="shared" si="34"/>
        <v>4.8851998534434886E-2</v>
      </c>
      <c r="S175" s="2"/>
      <c r="T175" s="6">
        <v>216237.35</v>
      </c>
      <c r="U175" s="2"/>
      <c r="V175" s="7">
        <f t="shared" si="35"/>
        <v>4.2139354733768612E-2</v>
      </c>
      <c r="W175" s="2"/>
      <c r="X175" s="6">
        <f t="shared" si="36"/>
        <v>14856.5</v>
      </c>
      <c r="Y175" s="2"/>
      <c r="Z175" s="7">
        <f t="shared" si="37"/>
        <v>6.8704597055041602E-2</v>
      </c>
    </row>
    <row r="176" spans="1:26" s="24" customFormat="1" hidden="1" outlineLevel="2" x14ac:dyDescent="0.25">
      <c r="A176" s="28"/>
      <c r="B176" s="11" t="str">
        <f>CONCATENATE("          ", "6004", " - ", "STAFF HOURLY")</f>
        <v xml:space="preserve">          6004 - STAFF HOURLY</v>
      </c>
      <c r="C176" s="11"/>
      <c r="D176" s="6">
        <v>1265.96</v>
      </c>
      <c r="E176" s="2"/>
      <c r="F176" s="7">
        <f t="shared" si="30"/>
        <v>8.5077854072488376E-4</v>
      </c>
      <c r="G176" s="2"/>
      <c r="H176" s="6">
        <v>6196.2</v>
      </c>
      <c r="I176" s="2"/>
      <c r="J176" s="7">
        <f t="shared" si="31"/>
        <v>4.0622897807489206E-3</v>
      </c>
      <c r="K176" s="2"/>
      <c r="L176" s="6">
        <f t="shared" si="32"/>
        <v>-4930.24</v>
      </c>
      <c r="M176" s="2"/>
      <c r="N176" s="7">
        <f t="shared" si="33"/>
        <v>-0.79568767954552788</v>
      </c>
      <c r="O176" s="11"/>
      <c r="P176" s="6">
        <v>6356.85</v>
      </c>
      <c r="Q176" s="2"/>
      <c r="R176" s="7">
        <f t="shared" si="34"/>
        <v>1.343803943218837E-3</v>
      </c>
      <c r="S176" s="2"/>
      <c r="T176" s="6">
        <v>17597.710000000003</v>
      </c>
      <c r="U176" s="2"/>
      <c r="V176" s="7">
        <f t="shared" si="35"/>
        <v>3.4293619681890633E-3</v>
      </c>
      <c r="W176" s="2"/>
      <c r="X176" s="6">
        <f t="shared" si="36"/>
        <v>-11240.860000000002</v>
      </c>
      <c r="Y176" s="2"/>
      <c r="Z176" s="7">
        <f t="shared" si="37"/>
        <v>-0.63876833974420544</v>
      </c>
    </row>
    <row r="177" spans="1:26" s="24" customFormat="1" hidden="1" outlineLevel="2" x14ac:dyDescent="0.25">
      <c r="A177" s="28"/>
      <c r="B177" s="11" t="str">
        <f>CONCATENATE("          ", "6005", " - ", "TEMPORARY WAGES-HOURLY")</f>
        <v xml:space="preserve">          6005 - TEMPORARY WAGES-HOURLY</v>
      </c>
      <c r="C177" s="11"/>
      <c r="D177" s="6">
        <v>23643.53</v>
      </c>
      <c r="E177" s="2"/>
      <c r="F177" s="7">
        <f t="shared" si="30"/>
        <v>1.5889449864912801E-2</v>
      </c>
      <c r="G177" s="2"/>
      <c r="H177" s="6">
        <v>27164.710000000003</v>
      </c>
      <c r="I177" s="2"/>
      <c r="J177" s="7">
        <f t="shared" si="31"/>
        <v>1.7809451571932478E-2</v>
      </c>
      <c r="K177" s="2"/>
      <c r="L177" s="6">
        <f t="shared" si="32"/>
        <v>-3521.1800000000039</v>
      </c>
      <c r="M177" s="2"/>
      <c r="N177" s="7">
        <f t="shared" si="33"/>
        <v>-0.12962332379031485</v>
      </c>
      <c r="O177" s="11"/>
      <c r="P177" s="6">
        <v>67207.079999999987</v>
      </c>
      <c r="Q177" s="2"/>
      <c r="R177" s="7">
        <f t="shared" si="34"/>
        <v>1.4207215699005609E-2</v>
      </c>
      <c r="S177" s="2"/>
      <c r="T177" s="6">
        <v>67366.25</v>
      </c>
      <c r="U177" s="2"/>
      <c r="V177" s="7">
        <f t="shared" si="35"/>
        <v>1.31280294816494E-2</v>
      </c>
      <c r="W177" s="2"/>
      <c r="X177" s="6">
        <f t="shared" si="36"/>
        <v>-159.17000000001281</v>
      </c>
      <c r="Y177" s="2"/>
      <c r="Z177" s="7">
        <f t="shared" si="37"/>
        <v>-2.3627558309986499E-3</v>
      </c>
    </row>
    <row r="178" spans="1:26" s="24" customFormat="1" hidden="1" outlineLevel="2" x14ac:dyDescent="0.25">
      <c r="A178" s="28"/>
      <c r="B178" s="11" t="str">
        <f>CONCATENATE("          ", "6006", " - ", "TEMPORARY PART TIME")</f>
        <v xml:space="preserve">          6006 - TEMPORARY PART TIME</v>
      </c>
      <c r="C178" s="11"/>
      <c r="D178" s="6">
        <v>8104.73</v>
      </c>
      <c r="E178" s="2"/>
      <c r="F178" s="7">
        <f t="shared" si="30"/>
        <v>5.4467205617627626E-3</v>
      </c>
      <c r="G178" s="2"/>
      <c r="H178" s="6">
        <v>16076.34</v>
      </c>
      <c r="I178" s="2"/>
      <c r="J178" s="7">
        <f t="shared" si="31"/>
        <v>1.0539806929060569E-2</v>
      </c>
      <c r="K178" s="2"/>
      <c r="L178" s="6">
        <f t="shared" si="32"/>
        <v>-7971.6100000000006</v>
      </c>
      <c r="M178" s="2"/>
      <c r="N178" s="7">
        <f t="shared" si="33"/>
        <v>-0.4958597541480213</v>
      </c>
      <c r="O178" s="11"/>
      <c r="P178" s="6">
        <v>17559.98</v>
      </c>
      <c r="Q178" s="2"/>
      <c r="R178" s="7">
        <f t="shared" si="34"/>
        <v>3.712085445911719E-3</v>
      </c>
      <c r="S178" s="2"/>
      <c r="T178" s="6">
        <v>38958.76</v>
      </c>
      <c r="U178" s="2"/>
      <c r="V178" s="7">
        <f t="shared" si="35"/>
        <v>7.5921065793109069E-3</v>
      </c>
      <c r="W178" s="2"/>
      <c r="X178" s="6">
        <f t="shared" si="36"/>
        <v>-21398.780000000002</v>
      </c>
      <c r="Y178" s="2"/>
      <c r="Z178" s="7">
        <f t="shared" si="37"/>
        <v>-0.54926748181923657</v>
      </c>
    </row>
    <row r="179" spans="1:26" s="24" customFormat="1" hidden="1" outlineLevel="2" x14ac:dyDescent="0.25">
      <c r="A179" s="28"/>
      <c r="B179" s="11" t="str">
        <f>CONCATENATE("          ", "6007", " - ", "STUDENT HOURLY")</f>
        <v xml:space="preserve">          6007 - STUDENT HOURLY</v>
      </c>
      <c r="C179" s="11"/>
      <c r="D179" s="6">
        <v>111140.13</v>
      </c>
      <c r="E179" s="2"/>
      <c r="F179" s="7">
        <f t="shared" si="30"/>
        <v>7.4690857228801769E-2</v>
      </c>
      <c r="G179" s="2"/>
      <c r="H179" s="6">
        <v>90617.75</v>
      </c>
      <c r="I179" s="2"/>
      <c r="J179" s="7">
        <f t="shared" si="31"/>
        <v>5.9409889896946594E-2</v>
      </c>
      <c r="K179" s="2"/>
      <c r="L179" s="6">
        <f t="shared" si="32"/>
        <v>20522.380000000005</v>
      </c>
      <c r="M179" s="2"/>
      <c r="N179" s="7">
        <f t="shared" si="33"/>
        <v>0.22647196603314476</v>
      </c>
      <c r="O179" s="11"/>
      <c r="P179" s="6">
        <v>342948.1</v>
      </c>
      <c r="Q179" s="2"/>
      <c r="R179" s="7">
        <f t="shared" si="34"/>
        <v>7.2497386142414549E-2</v>
      </c>
      <c r="S179" s="2"/>
      <c r="T179" s="6">
        <v>296627.83</v>
      </c>
      <c r="U179" s="2"/>
      <c r="V179" s="7">
        <f t="shared" si="35"/>
        <v>5.780548712920322E-2</v>
      </c>
      <c r="W179" s="2"/>
      <c r="X179" s="6">
        <f t="shared" si="36"/>
        <v>46320.26999999996</v>
      </c>
      <c r="Y179" s="2"/>
      <c r="Z179" s="7">
        <f t="shared" si="37"/>
        <v>0.1561561839966262</v>
      </c>
    </row>
    <row r="180" spans="1:26" s="24" customFormat="1" hidden="1" outlineLevel="2" x14ac:dyDescent="0.25">
      <c r="A180" s="28"/>
      <c r="B180" s="11" t="str">
        <f>CONCATENATE("          ", "6008", " - ", "STUDENT HOURLY-FICA EXEMPT")</f>
        <v xml:space="preserve">          6008 - STUDENT HOURLY-FICA EXEMPT</v>
      </c>
      <c r="C180" s="11"/>
      <c r="D180" s="6">
        <v>3458.25</v>
      </c>
      <c r="E180" s="2"/>
      <c r="F180" s="7">
        <f t="shared" si="30"/>
        <v>2.3240899305363751E-3</v>
      </c>
      <c r="G180" s="2"/>
      <c r="H180" s="6">
        <v>4797.9399999999996</v>
      </c>
      <c r="I180" s="2"/>
      <c r="J180" s="7">
        <f t="shared" si="31"/>
        <v>3.1455767455289491E-3</v>
      </c>
      <c r="K180" s="2"/>
      <c r="L180" s="6">
        <f t="shared" si="32"/>
        <v>-1339.6899999999996</v>
      </c>
      <c r="M180" s="2"/>
      <c r="N180" s="7">
        <f t="shared" si="33"/>
        <v>-0.27922191607231434</v>
      </c>
      <c r="O180" s="11"/>
      <c r="P180" s="6">
        <v>8911.7900000000009</v>
      </c>
      <c r="Q180" s="2"/>
      <c r="R180" s="7">
        <f t="shared" si="34"/>
        <v>1.8839045349722267E-3</v>
      </c>
      <c r="S180" s="2"/>
      <c r="T180" s="6">
        <v>12985.82</v>
      </c>
      <c r="U180" s="2"/>
      <c r="V180" s="7">
        <f t="shared" si="35"/>
        <v>2.5306177470675955E-3</v>
      </c>
      <c r="W180" s="2"/>
      <c r="X180" s="6">
        <f t="shared" si="36"/>
        <v>-4074.0299999999988</v>
      </c>
      <c r="Y180" s="2"/>
      <c r="Z180" s="7">
        <f t="shared" si="37"/>
        <v>-0.31372912915780438</v>
      </c>
    </row>
    <row r="181" spans="1:26" s="29" customFormat="1" outlineLevel="1" collapsed="1" x14ac:dyDescent="0.25">
      <c r="A181" s="27"/>
      <c r="B181" s="14" t="str">
        <f>CONCATENATE("     ","Advertising/Promo                                 ")</f>
        <v xml:space="preserve">     Advertising/Promo                                 </v>
      </c>
      <c r="C181" s="14"/>
      <c r="D181" s="1">
        <f>SUM(OSRRefD22_2x_0)</f>
        <v>-156.31</v>
      </c>
      <c r="E181" s="1"/>
      <c r="F181" s="5">
        <f t="shared" ref="F181:F189" si="38">IF(D$12=0,0,D181/D$12)</f>
        <v>-1.0504691593787054E-4</v>
      </c>
      <c r="G181" s="1"/>
      <c r="H181" s="1">
        <f>SUM(OSRRefH22_2x_0)</f>
        <v>3991.21</v>
      </c>
      <c r="I181" s="1"/>
      <c r="J181" s="5">
        <f t="shared" ref="J181:J189" si="39">IF(H$12=0,0,H181/H$12)</f>
        <v>2.6166766075696232E-3</v>
      </c>
      <c r="K181" s="1"/>
      <c r="L181" s="1">
        <f t="shared" ref="L181:L189" si="40">+D181-H181</f>
        <v>-4147.5200000000004</v>
      </c>
      <c r="M181" s="1"/>
      <c r="N181" s="5">
        <f t="shared" ref="N181:N189" si="41">IF(H181=0,0,L181/H181)</f>
        <v>-1.0391635619273354</v>
      </c>
      <c r="O181" s="14"/>
      <c r="P181" s="1">
        <f>SUM(OSRRefP22_2x_0)</f>
        <v>7626.2</v>
      </c>
      <c r="Q181" s="1"/>
      <c r="R181" s="5">
        <f t="shared" ref="R181:R189" si="42">IF(P$12=0,0,P181/P$12)</f>
        <v>1.6121377147133398E-3</v>
      </c>
      <c r="S181" s="1"/>
      <c r="T181" s="1">
        <f>SUM(OSRRefT22_2x_0)</f>
        <v>13013.58</v>
      </c>
      <c r="U181" s="1"/>
      <c r="V181" s="5">
        <f t="shared" ref="V181:V189" si="43">IF(T$12=0,0,T181/T$12)</f>
        <v>2.536027490053298E-3</v>
      </c>
      <c r="W181" s="1"/>
      <c r="X181" s="1">
        <f t="shared" ref="X181:X189" si="44">+P181-T181</f>
        <v>-5387.38</v>
      </c>
      <c r="Y181" s="1"/>
      <c r="Z181" s="5">
        <f t="shared" ref="Z181:Z189" si="45">IF(T181=0,0,X181/T181)</f>
        <v>-0.41398139481987278</v>
      </c>
    </row>
    <row r="182" spans="1:26" s="24" customFormat="1" hidden="1" outlineLevel="2" x14ac:dyDescent="0.25">
      <c r="A182" s="28"/>
      <c r="B182" s="11" t="str">
        <f>CONCATENATE("          ", "6362", " - ", "ADVERTISING EXPENSE")</f>
        <v xml:space="preserve">          6362 - ADVERTISING EXPENSE</v>
      </c>
      <c r="C182" s="11"/>
      <c r="D182" s="6">
        <v>-156.31</v>
      </c>
      <c r="E182" s="2"/>
      <c r="F182" s="7">
        <f t="shared" si="38"/>
        <v>-1.0504691593787054E-4</v>
      </c>
      <c r="G182" s="2"/>
      <c r="H182" s="6">
        <v>3991.21</v>
      </c>
      <c r="I182" s="2"/>
      <c r="J182" s="7">
        <f t="shared" si="39"/>
        <v>2.6166766075696232E-3</v>
      </c>
      <c r="K182" s="2"/>
      <c r="L182" s="6">
        <f t="shared" si="40"/>
        <v>-4147.5200000000004</v>
      </c>
      <c r="M182" s="2"/>
      <c r="N182" s="7">
        <f t="shared" si="41"/>
        <v>-1.0391635619273354</v>
      </c>
      <c r="O182" s="11"/>
      <c r="P182" s="6">
        <v>7626.2</v>
      </c>
      <c r="Q182" s="2"/>
      <c r="R182" s="7">
        <f t="shared" si="42"/>
        <v>1.6121377147133398E-3</v>
      </c>
      <c r="S182" s="2"/>
      <c r="T182" s="6">
        <v>13013.58</v>
      </c>
      <c r="U182" s="2"/>
      <c r="V182" s="7">
        <f t="shared" si="43"/>
        <v>2.536027490053298E-3</v>
      </c>
      <c r="W182" s="2"/>
      <c r="X182" s="6">
        <f t="shared" si="44"/>
        <v>-5387.38</v>
      </c>
      <c r="Y182" s="2"/>
      <c r="Z182" s="7">
        <f t="shared" si="45"/>
        <v>-0.41398139481987278</v>
      </c>
    </row>
    <row r="183" spans="1:26" s="29" customFormat="1" outlineLevel="1" collapsed="1" x14ac:dyDescent="0.25">
      <c r="A183" s="27"/>
      <c r="B183" s="14" t="str">
        <f>CONCATENATE("     ","Bad Debts/Over/Short                              ")</f>
        <v xml:space="preserve">     Bad Debts/Over/Short                              </v>
      </c>
      <c r="C183" s="14"/>
      <c r="D183" s="1">
        <f>SUM(OSRRefD22_3x_0)</f>
        <v>-212.14</v>
      </c>
      <c r="E183" s="1"/>
      <c r="F183" s="5">
        <f t="shared" si="38"/>
        <v>-1.4256703184095613E-4</v>
      </c>
      <c r="G183" s="1"/>
      <c r="H183" s="1">
        <f>SUM(OSRRefH22_3x_0)</f>
        <v>-199.17</v>
      </c>
      <c r="I183" s="1"/>
      <c r="J183" s="5">
        <f t="shared" si="39"/>
        <v>-1.3057781473028025E-4</v>
      </c>
      <c r="K183" s="1"/>
      <c r="L183" s="1">
        <f t="shared" si="40"/>
        <v>-12.969999999999999</v>
      </c>
      <c r="M183" s="1"/>
      <c r="N183" s="5">
        <f t="shared" si="41"/>
        <v>6.5120249033488981E-2</v>
      </c>
      <c r="O183" s="14"/>
      <c r="P183" s="1">
        <f>SUM(OSRRefP22_3x_0)</f>
        <v>-301.99</v>
      </c>
      <c r="Q183" s="1"/>
      <c r="R183" s="5">
        <f t="shared" si="42"/>
        <v>-6.3839063815043076E-5</v>
      </c>
      <c r="S183" s="1"/>
      <c r="T183" s="1">
        <f>SUM(OSRRefT22_3x_0)</f>
        <v>-242.76</v>
      </c>
      <c r="U183" s="1"/>
      <c r="V183" s="5">
        <f t="shared" si="43"/>
        <v>-4.7307968559407834E-5</v>
      </c>
      <c r="W183" s="1"/>
      <c r="X183" s="1">
        <f t="shared" si="44"/>
        <v>-59.230000000000018</v>
      </c>
      <c r="Y183" s="1"/>
      <c r="Z183" s="5">
        <f t="shared" si="45"/>
        <v>0.24398582962596813</v>
      </c>
    </row>
    <row r="184" spans="1:26" s="24" customFormat="1" hidden="1" outlineLevel="2" x14ac:dyDescent="0.25">
      <c r="A184" s="28"/>
      <c r="B184" s="11" t="str">
        <f>CONCATENATE("          ", "6272", " - ", "CASH (OVER/SHORT)")</f>
        <v xml:space="preserve">          6272 - CASH (OVER/SHORT)</v>
      </c>
      <c r="C184" s="11"/>
      <c r="D184" s="6">
        <v>-212.14</v>
      </c>
      <c r="E184" s="2"/>
      <c r="F184" s="7">
        <f t="shared" si="38"/>
        <v>-1.4256703184095613E-4</v>
      </c>
      <c r="G184" s="2"/>
      <c r="H184" s="6">
        <v>-199.17</v>
      </c>
      <c r="I184" s="2"/>
      <c r="J184" s="7">
        <f t="shared" si="39"/>
        <v>-1.3057781473028025E-4</v>
      </c>
      <c r="K184" s="2"/>
      <c r="L184" s="6">
        <f t="shared" si="40"/>
        <v>-12.969999999999999</v>
      </c>
      <c r="M184" s="2"/>
      <c r="N184" s="7">
        <f t="shared" si="41"/>
        <v>6.5120249033488981E-2</v>
      </c>
      <c r="O184" s="11"/>
      <c r="P184" s="6">
        <v>-301.99</v>
      </c>
      <c r="Q184" s="2"/>
      <c r="R184" s="7">
        <f t="shared" si="42"/>
        <v>-6.3839063815043076E-5</v>
      </c>
      <c r="S184" s="2"/>
      <c r="T184" s="6">
        <v>-242.76</v>
      </c>
      <c r="U184" s="2"/>
      <c r="V184" s="7">
        <f t="shared" si="43"/>
        <v>-4.7307968559407834E-5</v>
      </c>
      <c r="W184" s="2"/>
      <c r="X184" s="6">
        <f t="shared" si="44"/>
        <v>-59.230000000000018</v>
      </c>
      <c r="Y184" s="2"/>
      <c r="Z184" s="7">
        <f t="shared" si="45"/>
        <v>0.24398582962596813</v>
      </c>
    </row>
    <row r="185" spans="1:26" s="29" customFormat="1" outlineLevel="1" collapsed="1" x14ac:dyDescent="0.25">
      <c r="A185" s="27"/>
      <c r="B185" s="14" t="str">
        <f>CONCATENATE("     ","Bank/card Fees                                    ")</f>
        <v xml:space="preserve">     Bank/card Fees                                    </v>
      </c>
      <c r="C185" s="14"/>
      <c r="D185" s="1">
        <f>SUM(OSRRefD22_4x_0)</f>
        <v>34694.480000000003</v>
      </c>
      <c r="E185" s="1"/>
      <c r="F185" s="5">
        <f t="shared" si="38"/>
        <v>2.3316154590673217E-2</v>
      </c>
      <c r="G185" s="1"/>
      <c r="H185" s="1">
        <f>SUM(OSRRefH22_4x_0)</f>
        <v>38101</v>
      </c>
      <c r="I185" s="1"/>
      <c r="J185" s="5">
        <f t="shared" si="39"/>
        <v>2.4979391068124756E-2</v>
      </c>
      <c r="K185" s="1"/>
      <c r="L185" s="1">
        <f t="shared" si="40"/>
        <v>-3406.5199999999968</v>
      </c>
      <c r="M185" s="1"/>
      <c r="N185" s="5">
        <f t="shared" si="41"/>
        <v>-8.9407627096401585E-2</v>
      </c>
      <c r="O185" s="14"/>
      <c r="P185" s="1">
        <f>SUM(OSRRefP22_4x_0)</f>
        <v>80117.11</v>
      </c>
      <c r="Q185" s="1"/>
      <c r="R185" s="5">
        <f t="shared" si="42"/>
        <v>1.6936326692826999E-2</v>
      </c>
      <c r="S185" s="1"/>
      <c r="T185" s="1">
        <f>SUM(OSRRefT22_4x_0)</f>
        <v>79650.710000000006</v>
      </c>
      <c r="U185" s="1"/>
      <c r="V185" s="5">
        <f t="shared" si="43"/>
        <v>1.5521969370631536E-2</v>
      </c>
      <c r="W185" s="1"/>
      <c r="X185" s="1">
        <f t="shared" si="44"/>
        <v>466.39999999999418</v>
      </c>
      <c r="Y185" s="1"/>
      <c r="Z185" s="5">
        <f t="shared" si="45"/>
        <v>5.8555661336853635E-3</v>
      </c>
    </row>
    <row r="186" spans="1:26" s="24" customFormat="1" hidden="1" outlineLevel="2" x14ac:dyDescent="0.25">
      <c r="A186" s="28"/>
      <c r="B186" s="11" t="str">
        <f>CONCATENATE("          ", "6381", " - ", "BANK/CREDIT CARD FEES")</f>
        <v xml:space="preserve">          6381 - BANK/CREDIT CARD FEES</v>
      </c>
      <c r="C186" s="11"/>
      <c r="D186" s="6">
        <v>34694.480000000003</v>
      </c>
      <c r="E186" s="2"/>
      <c r="F186" s="7">
        <f t="shared" si="38"/>
        <v>2.3316154590673217E-2</v>
      </c>
      <c r="G186" s="2"/>
      <c r="H186" s="6">
        <v>38101</v>
      </c>
      <c r="I186" s="2"/>
      <c r="J186" s="7">
        <f t="shared" si="39"/>
        <v>2.4979391068124756E-2</v>
      </c>
      <c r="K186" s="2"/>
      <c r="L186" s="6">
        <f t="shared" si="40"/>
        <v>-3406.5199999999968</v>
      </c>
      <c r="M186" s="2"/>
      <c r="N186" s="7">
        <f t="shared" si="41"/>
        <v>-8.9407627096401585E-2</v>
      </c>
      <c r="O186" s="11"/>
      <c r="P186" s="6">
        <v>80117.11</v>
      </c>
      <c r="Q186" s="2"/>
      <c r="R186" s="7">
        <f t="shared" si="42"/>
        <v>1.6936326692826999E-2</v>
      </c>
      <c r="S186" s="2"/>
      <c r="T186" s="6">
        <v>79650.710000000006</v>
      </c>
      <c r="U186" s="2"/>
      <c r="V186" s="7">
        <f t="shared" si="43"/>
        <v>1.5521969370631536E-2</v>
      </c>
      <c r="W186" s="2"/>
      <c r="X186" s="6">
        <f t="shared" si="44"/>
        <v>466.39999999999418</v>
      </c>
      <c r="Y186" s="2"/>
      <c r="Z186" s="7">
        <f t="shared" si="45"/>
        <v>5.8555661336853635E-3</v>
      </c>
    </row>
    <row r="187" spans="1:26" s="29" customFormat="1" outlineLevel="1" collapsed="1" x14ac:dyDescent="0.25">
      <c r="A187" s="27"/>
      <c r="B187" s="14" t="str">
        <f>CONCATENATE("     ","Depreciation                                      ")</f>
        <v xml:space="preserve">     Depreciation                                      </v>
      </c>
      <c r="C187" s="14"/>
      <c r="D187" s="1">
        <f>SUM(OSRRefD22_5x_0)</f>
        <v>38010.910000000003</v>
      </c>
      <c r="E187" s="1"/>
      <c r="F187" s="5">
        <f t="shared" si="38"/>
        <v>2.5544935496717824E-2</v>
      </c>
      <c r="G187" s="1"/>
      <c r="H187" s="1">
        <f>SUM(OSRRefH22_5x_0)</f>
        <v>37694.15</v>
      </c>
      <c r="I187" s="1"/>
      <c r="J187" s="5">
        <f t="shared" si="39"/>
        <v>2.4712656198801995E-2</v>
      </c>
      <c r="K187" s="1"/>
      <c r="L187" s="1">
        <f t="shared" si="40"/>
        <v>316.76000000000204</v>
      </c>
      <c r="M187" s="1"/>
      <c r="N187" s="5">
        <f t="shared" si="41"/>
        <v>8.403425995811075E-3</v>
      </c>
      <c r="O187" s="14"/>
      <c r="P187" s="1">
        <f>SUM(OSRRefP22_5x_0)</f>
        <v>114032.73000000001</v>
      </c>
      <c r="Q187" s="1"/>
      <c r="R187" s="5">
        <f t="shared" si="42"/>
        <v>2.410590657794489E-2</v>
      </c>
      <c r="S187" s="1"/>
      <c r="T187" s="1">
        <f>SUM(OSRRefT22_5x_0)</f>
        <v>113082.45000000001</v>
      </c>
      <c r="U187" s="1"/>
      <c r="V187" s="5">
        <f t="shared" si="43"/>
        <v>2.2036995341987185E-2</v>
      </c>
      <c r="W187" s="1"/>
      <c r="X187" s="1">
        <f t="shared" si="44"/>
        <v>950.27999999999884</v>
      </c>
      <c r="Y187" s="1"/>
      <c r="Z187" s="5">
        <f t="shared" si="45"/>
        <v>8.4034259958110091E-3</v>
      </c>
    </row>
    <row r="188" spans="1:26" s="24" customFormat="1" hidden="1" outlineLevel="2" x14ac:dyDescent="0.25">
      <c r="A188" s="28"/>
      <c r="B188" s="11" t="str">
        <f>CONCATENATE("          ", "6321", " - ", "BUILDING DEPRECIATION")</f>
        <v xml:space="preserve">          6321 - BUILDING DEPRECIATION</v>
      </c>
      <c r="C188" s="11"/>
      <c r="D188" s="6">
        <v>21477.030000000002</v>
      </c>
      <c r="E188" s="2"/>
      <c r="F188" s="7">
        <f t="shared" si="38"/>
        <v>1.4433470443382534E-2</v>
      </c>
      <c r="G188" s="2"/>
      <c r="H188" s="6">
        <v>21533.89</v>
      </c>
      <c r="I188" s="2"/>
      <c r="J188" s="7">
        <f t="shared" si="39"/>
        <v>1.4117830490747775E-2</v>
      </c>
      <c r="K188" s="2"/>
      <c r="L188" s="6">
        <f t="shared" si="40"/>
        <v>-56.859999999996944</v>
      </c>
      <c r="M188" s="2"/>
      <c r="N188" s="7">
        <f t="shared" si="41"/>
        <v>-2.6404890152219103E-3</v>
      </c>
      <c r="O188" s="11"/>
      <c r="P188" s="6">
        <v>64431.090000000004</v>
      </c>
      <c r="Q188" s="2"/>
      <c r="R188" s="7">
        <f t="shared" si="42"/>
        <v>1.3620386324655729E-2</v>
      </c>
      <c r="S188" s="2"/>
      <c r="T188" s="6">
        <v>64601.67</v>
      </c>
      <c r="U188" s="2"/>
      <c r="V188" s="7">
        <f t="shared" si="43"/>
        <v>1.2589280660921241E-2</v>
      </c>
      <c r="W188" s="2"/>
      <c r="X188" s="6">
        <f t="shared" si="44"/>
        <v>-170.57999999999447</v>
      </c>
      <c r="Y188" s="2"/>
      <c r="Z188" s="7">
        <f t="shared" si="45"/>
        <v>-2.6404890152219667E-3</v>
      </c>
    </row>
    <row r="189" spans="1:26" s="24" customFormat="1" hidden="1" outlineLevel="2" x14ac:dyDescent="0.25">
      <c r="A189" s="28"/>
      <c r="B189" s="11" t="str">
        <f>CONCATENATE("          ", "6322", " - ", "EQUIPMENT DEPRECIATION EXPENSE")</f>
        <v xml:space="preserve">          6322 - EQUIPMENT DEPRECIATION EXPENSE</v>
      </c>
      <c r="C189" s="11"/>
      <c r="D189" s="6">
        <v>16533.88</v>
      </c>
      <c r="E189" s="2"/>
      <c r="F189" s="7">
        <f t="shared" si="38"/>
        <v>1.1111465053335288E-2</v>
      </c>
      <c r="G189" s="2"/>
      <c r="H189" s="6">
        <v>16160.26</v>
      </c>
      <c r="I189" s="2"/>
      <c r="J189" s="7">
        <f t="shared" si="39"/>
        <v>1.0594825708054218E-2</v>
      </c>
      <c r="K189" s="2"/>
      <c r="L189" s="6">
        <f t="shared" si="40"/>
        <v>373.6200000000008</v>
      </c>
      <c r="M189" s="2"/>
      <c r="N189" s="7">
        <f t="shared" si="41"/>
        <v>2.311967752994078E-2</v>
      </c>
      <c r="O189" s="11"/>
      <c r="P189" s="6">
        <v>49601.64</v>
      </c>
      <c r="Q189" s="2"/>
      <c r="R189" s="7">
        <f t="shared" si="42"/>
        <v>1.0485520253289159E-2</v>
      </c>
      <c r="S189" s="2"/>
      <c r="T189" s="6">
        <v>48480.780000000006</v>
      </c>
      <c r="U189" s="2"/>
      <c r="V189" s="7">
        <f t="shared" si="43"/>
        <v>9.4477146810659444E-3</v>
      </c>
      <c r="W189" s="2"/>
      <c r="X189" s="6">
        <f t="shared" si="44"/>
        <v>1120.8599999999933</v>
      </c>
      <c r="Y189" s="2"/>
      <c r="Z189" s="7">
        <f t="shared" si="45"/>
        <v>2.311967752994059E-2</v>
      </c>
    </row>
    <row r="190" spans="1:26" s="29" customFormat="1" outlineLevel="1" collapsed="1" x14ac:dyDescent="0.25">
      <c r="A190" s="27"/>
      <c r="B190" s="14" t="str">
        <f>CONCATENATE("     ","Discounts and Markdowns                           ")</f>
        <v xml:space="preserve">     Discounts and Markdowns                           </v>
      </c>
      <c r="C190" s="14"/>
      <c r="D190" s="1">
        <f>SUM(OSRRefD22_6x_0)</f>
        <v>4957.1399999999994</v>
      </c>
      <c r="E190" s="1"/>
      <c r="F190" s="5">
        <f t="shared" ref="F190:F192" si="46">IF(D$12=0,0,D190/D$12)</f>
        <v>3.3314072603944436E-3</v>
      </c>
      <c r="G190" s="1"/>
      <c r="H190" s="1">
        <f>SUM(OSRRefH22_6x_0)</f>
        <v>13286.890000000001</v>
      </c>
      <c r="I190" s="1"/>
      <c r="J190" s="5">
        <f t="shared" ref="J190:J192" si="47">IF(H$12=0,0,H190/H$12)</f>
        <v>8.7110160202922803E-3</v>
      </c>
      <c r="K190" s="1"/>
      <c r="L190" s="1">
        <f t="shared" ref="L190:L192" si="48">+D190-H190</f>
        <v>-8329.7500000000018</v>
      </c>
      <c r="M190" s="1"/>
      <c r="N190" s="5">
        <f t="shared" ref="N190:N192" si="49">IF(H190=0,0,L190/H190)</f>
        <v>-0.62691495150482923</v>
      </c>
      <c r="O190" s="14"/>
      <c r="P190" s="1">
        <f>SUM(OSRRefP22_6x_0)</f>
        <v>64060.639999999999</v>
      </c>
      <c r="Q190" s="1"/>
      <c r="R190" s="5">
        <f t="shared" ref="R190:R192" si="50">IF(P$12=0,0,P190/P$12)</f>
        <v>1.3542075184583929E-2</v>
      </c>
      <c r="S190" s="1"/>
      <c r="T190" s="1">
        <f>SUM(OSRRefT22_6x_0)</f>
        <v>71968.66</v>
      </c>
      <c r="U190" s="1"/>
      <c r="V190" s="5">
        <f t="shared" ref="V190:V192" si="51">IF(T$12=0,0,T190/T$12)</f>
        <v>1.4024926283336269E-2</v>
      </c>
      <c r="W190" s="1"/>
      <c r="X190" s="1">
        <f t="shared" ref="X190:X192" si="52">+P190-T190</f>
        <v>-7908.0200000000041</v>
      </c>
      <c r="Y190" s="1"/>
      <c r="Z190" s="5">
        <f t="shared" ref="Z190:Z192" si="53">IF(T190=0,0,X190/T190)</f>
        <v>-0.10988144006015957</v>
      </c>
    </row>
    <row r="191" spans="1:26" s="24" customFormat="1" hidden="1" outlineLevel="2" x14ac:dyDescent="0.25">
      <c r="A191" s="28"/>
      <c r="B191" s="11" t="str">
        <f>CONCATENATE("          ", "6382", " - ", "DISCOUNTS/MARK DOWNS")</f>
        <v xml:space="preserve">          6382 - DISCOUNTS/MARK DOWNS</v>
      </c>
      <c r="C191" s="11"/>
      <c r="D191" s="6">
        <v>5355.44</v>
      </c>
      <c r="E191" s="2"/>
      <c r="F191" s="7">
        <f t="shared" si="46"/>
        <v>3.5990816677775534E-3</v>
      </c>
      <c r="G191" s="2"/>
      <c r="H191" s="6">
        <v>14365.12</v>
      </c>
      <c r="I191" s="2"/>
      <c r="J191" s="7">
        <f t="shared" si="47"/>
        <v>9.4179142337613275E-3</v>
      </c>
      <c r="K191" s="2"/>
      <c r="L191" s="6">
        <f t="shared" si="48"/>
        <v>-9009.68</v>
      </c>
      <c r="M191" s="2"/>
      <c r="N191" s="7">
        <f t="shared" si="49"/>
        <v>-0.62719141921543298</v>
      </c>
      <c r="O191" s="11"/>
      <c r="P191" s="6">
        <v>65708.5</v>
      </c>
      <c r="Q191" s="2"/>
      <c r="R191" s="7">
        <f t="shared" si="50"/>
        <v>1.3890423936854723E-2</v>
      </c>
      <c r="S191" s="2"/>
      <c r="T191" s="6">
        <v>74447.53</v>
      </c>
      <c r="U191" s="2"/>
      <c r="V191" s="7">
        <f t="shared" si="51"/>
        <v>1.4507997234163668E-2</v>
      </c>
      <c r="W191" s="2"/>
      <c r="X191" s="6">
        <f t="shared" si="52"/>
        <v>-8739.0299999999988</v>
      </c>
      <c r="Y191" s="2"/>
      <c r="Z191" s="7">
        <f t="shared" si="53"/>
        <v>-0.11738508987470772</v>
      </c>
    </row>
    <row r="192" spans="1:26" s="24" customFormat="1" hidden="1" outlineLevel="2" x14ac:dyDescent="0.25">
      <c r="A192" s="28"/>
      <c r="B192" s="11" t="str">
        <f>CONCATENATE("          ", "9175", " - ", "EARNED DISCOUNTS")</f>
        <v xml:space="preserve">          9175 - EARNED DISCOUNTS</v>
      </c>
      <c r="C192" s="11"/>
      <c r="D192" s="6">
        <v>-398.3</v>
      </c>
      <c r="E192" s="2"/>
      <c r="F192" s="7">
        <f t="shared" si="46"/>
        <v>-2.6767440738310942E-4</v>
      </c>
      <c r="G192" s="2"/>
      <c r="H192" s="6">
        <v>-1078.23</v>
      </c>
      <c r="I192" s="2"/>
      <c r="J192" s="7">
        <f t="shared" si="47"/>
        <v>-7.0689821346904688E-4</v>
      </c>
      <c r="K192" s="2"/>
      <c r="L192" s="6">
        <f t="shared" si="48"/>
        <v>679.93000000000006</v>
      </c>
      <c r="M192" s="2"/>
      <c r="N192" s="7">
        <f t="shared" si="49"/>
        <v>-0.63059829535442347</v>
      </c>
      <c r="O192" s="11"/>
      <c r="P192" s="6">
        <v>-1647.86</v>
      </c>
      <c r="Q192" s="2"/>
      <c r="R192" s="7">
        <f t="shared" si="50"/>
        <v>-3.483487522707933E-4</v>
      </c>
      <c r="S192" s="2"/>
      <c r="T192" s="6">
        <v>-2478.87</v>
      </c>
      <c r="U192" s="2"/>
      <c r="V192" s="7">
        <f t="shared" si="51"/>
        <v>-4.8307095082739869E-4</v>
      </c>
      <c r="W192" s="2"/>
      <c r="X192" s="6">
        <f t="shared" si="52"/>
        <v>831.01</v>
      </c>
      <c r="Y192" s="2"/>
      <c r="Z192" s="7">
        <f t="shared" si="53"/>
        <v>-0.33523742673072815</v>
      </c>
    </row>
    <row r="193" spans="1:26" s="29" customFormat="1" outlineLevel="1" collapsed="1" x14ac:dyDescent="0.25">
      <c r="A193" s="27"/>
      <c r="B193" s="14" t="str">
        <f>CONCATENATE("     ","Donations                                         ")</f>
        <v xml:space="preserve">     Donations                                         </v>
      </c>
      <c r="C193" s="14"/>
      <c r="D193" s="1">
        <f>SUM(OSRRefD22_7x_0)</f>
        <v>1608.36</v>
      </c>
      <c r="E193" s="1"/>
      <c r="F193" s="5">
        <f t="shared" ref="F193:F201" si="54">IF(D$12=0,0,D193/D$12)</f>
        <v>1.0808857892510616E-3</v>
      </c>
      <c r="G193" s="1"/>
      <c r="H193" s="1">
        <f>SUM(OSRRefH22_7x_0)</f>
        <v>1039.92</v>
      </c>
      <c r="I193" s="1"/>
      <c r="J193" s="5">
        <f t="shared" ref="J193:J201" si="55">IF(H$12=0,0,H193/H$12)</f>
        <v>6.8178179994132174E-4</v>
      </c>
      <c r="K193" s="1"/>
      <c r="L193" s="1">
        <f t="shared" ref="L193:L201" si="56">+D193-H193</f>
        <v>568.43999999999983</v>
      </c>
      <c r="M193" s="1"/>
      <c r="N193" s="5">
        <f t="shared" ref="N193:N201" si="57">IF(H193=0,0,L193/H193)</f>
        <v>0.54661897069005283</v>
      </c>
      <c r="O193" s="14"/>
      <c r="P193" s="1">
        <f>SUM(OSRRefP22_7x_0)</f>
        <v>5225.34</v>
      </c>
      <c r="Q193" s="1"/>
      <c r="R193" s="5">
        <f t="shared" ref="R193:R201" si="58">IF(P$12=0,0,P193/P$12)</f>
        <v>1.1046088072959276E-3</v>
      </c>
      <c r="S193" s="1"/>
      <c r="T193" s="1">
        <f>SUM(OSRRefT22_7x_0)</f>
        <v>3335.73</v>
      </c>
      <c r="U193" s="1"/>
      <c r="V193" s="5">
        <f t="shared" ref="V193:V201" si="59">IF(T$12=0,0,T193/T$12)</f>
        <v>6.5005194415337583E-4</v>
      </c>
      <c r="W193" s="1"/>
      <c r="X193" s="1">
        <f t="shared" ref="X193:X201" si="60">+P193-T193</f>
        <v>1889.6100000000001</v>
      </c>
      <c r="Y193" s="1"/>
      <c r="Z193" s="5">
        <f t="shared" ref="Z193:Z201" si="61">IF(T193=0,0,X193/T193)</f>
        <v>0.56647570396884639</v>
      </c>
    </row>
    <row r="194" spans="1:26" s="24" customFormat="1" hidden="1" outlineLevel="2" x14ac:dyDescent="0.25">
      <c r="A194" s="28"/>
      <c r="B194" s="11" t="str">
        <f>CONCATENATE("          ", "6399", " - ", "DONATION-ON CAMPUS")</f>
        <v xml:space="preserve">          6399 - DONATION-ON CAMPUS</v>
      </c>
      <c r="C194" s="11"/>
      <c r="D194" s="6">
        <v>1608.36</v>
      </c>
      <c r="E194" s="2"/>
      <c r="F194" s="7">
        <f t="shared" si="54"/>
        <v>1.0808857892510616E-3</v>
      </c>
      <c r="G194" s="2"/>
      <c r="H194" s="6">
        <v>1039.92</v>
      </c>
      <c r="I194" s="2"/>
      <c r="J194" s="7">
        <f t="shared" si="55"/>
        <v>6.8178179994132174E-4</v>
      </c>
      <c r="K194" s="2"/>
      <c r="L194" s="6">
        <f t="shared" si="56"/>
        <v>568.43999999999983</v>
      </c>
      <c r="M194" s="2"/>
      <c r="N194" s="7">
        <f t="shared" si="57"/>
        <v>0.54661897069005283</v>
      </c>
      <c r="O194" s="11"/>
      <c r="P194" s="6">
        <v>5225.34</v>
      </c>
      <c r="Q194" s="2"/>
      <c r="R194" s="7">
        <f t="shared" si="58"/>
        <v>1.1046088072959276E-3</v>
      </c>
      <c r="S194" s="2"/>
      <c r="T194" s="6">
        <v>3335.73</v>
      </c>
      <c r="U194" s="2"/>
      <c r="V194" s="7">
        <f t="shared" si="59"/>
        <v>6.5005194415337583E-4</v>
      </c>
      <c r="W194" s="2"/>
      <c r="X194" s="6">
        <f t="shared" si="60"/>
        <v>1889.6100000000001</v>
      </c>
      <c r="Y194" s="2"/>
      <c r="Z194" s="7">
        <f t="shared" si="61"/>
        <v>0.56647570396884639</v>
      </c>
    </row>
    <row r="195" spans="1:26" s="29" customFormat="1" outlineLevel="1" collapsed="1" x14ac:dyDescent="0.25">
      <c r="A195" s="27"/>
      <c r="B195" s="14" t="str">
        <f>CONCATENATE("     ","Employees' Appreciation                           ")</f>
        <v xml:space="preserve">     Employees' Appreciation                           </v>
      </c>
      <c r="C195" s="14"/>
      <c r="D195" s="1">
        <f>SUM(OSRRefD22_8x_0)</f>
        <v>134.26</v>
      </c>
      <c r="E195" s="1"/>
      <c r="F195" s="5">
        <f t="shared" si="54"/>
        <v>9.022838547641544E-5</v>
      </c>
      <c r="G195" s="1"/>
      <c r="H195" s="1">
        <f>SUM(OSRRefH22_8x_0)</f>
        <v>671.58</v>
      </c>
      <c r="I195" s="1"/>
      <c r="J195" s="5">
        <f t="shared" si="55"/>
        <v>4.4029446611719441E-4</v>
      </c>
      <c r="K195" s="1"/>
      <c r="L195" s="1">
        <f t="shared" si="56"/>
        <v>-537.32000000000005</v>
      </c>
      <c r="M195" s="1"/>
      <c r="N195" s="5">
        <f t="shared" si="57"/>
        <v>-0.80008338544923918</v>
      </c>
      <c r="O195" s="14"/>
      <c r="P195" s="1">
        <f>SUM(OSRRefP22_8x_0)</f>
        <v>585.13</v>
      </c>
      <c r="Q195" s="1"/>
      <c r="R195" s="5">
        <f t="shared" si="58"/>
        <v>1.2369333888571194E-4</v>
      </c>
      <c r="S195" s="1"/>
      <c r="T195" s="1">
        <f>SUM(OSRRefT22_8x_0)</f>
        <v>1472.12</v>
      </c>
      <c r="U195" s="1"/>
      <c r="V195" s="5">
        <f t="shared" si="59"/>
        <v>2.8688007363517656E-4</v>
      </c>
      <c r="W195" s="1"/>
      <c r="X195" s="1">
        <f t="shared" si="60"/>
        <v>-886.9899999999999</v>
      </c>
      <c r="Y195" s="1"/>
      <c r="Z195" s="5">
        <f t="shared" si="61"/>
        <v>-0.60252560932532673</v>
      </c>
    </row>
    <row r="196" spans="1:26" s="24" customFormat="1" hidden="1" outlineLevel="2" x14ac:dyDescent="0.25">
      <c r="A196" s="28"/>
      <c r="B196" s="11" t="str">
        <f>CONCATENATE("          ", "6277", " - ", "EMPLOYEE APPRECIATION")</f>
        <v xml:space="preserve">          6277 - EMPLOYEE APPRECIATION</v>
      </c>
      <c r="C196" s="11"/>
      <c r="D196" s="6">
        <v>134.26</v>
      </c>
      <c r="E196" s="2"/>
      <c r="F196" s="7">
        <f t="shared" si="54"/>
        <v>9.022838547641544E-5</v>
      </c>
      <c r="G196" s="2"/>
      <c r="H196" s="6">
        <v>671.58</v>
      </c>
      <c r="I196" s="2"/>
      <c r="J196" s="7">
        <f t="shared" si="55"/>
        <v>4.4029446611719441E-4</v>
      </c>
      <c r="K196" s="2"/>
      <c r="L196" s="6">
        <f t="shared" si="56"/>
        <v>-537.32000000000005</v>
      </c>
      <c r="M196" s="2"/>
      <c r="N196" s="7">
        <f t="shared" si="57"/>
        <v>-0.80008338544923918</v>
      </c>
      <c r="O196" s="11"/>
      <c r="P196" s="6">
        <v>585.13</v>
      </c>
      <c r="Q196" s="2"/>
      <c r="R196" s="7">
        <f t="shared" si="58"/>
        <v>1.2369333888571194E-4</v>
      </c>
      <c r="S196" s="2"/>
      <c r="T196" s="6">
        <v>1472.12</v>
      </c>
      <c r="U196" s="2"/>
      <c r="V196" s="7">
        <f t="shared" si="59"/>
        <v>2.8688007363517656E-4</v>
      </c>
      <c r="W196" s="2"/>
      <c r="X196" s="6">
        <f t="shared" si="60"/>
        <v>-886.9899999999999</v>
      </c>
      <c r="Y196" s="2"/>
      <c r="Z196" s="7">
        <f t="shared" si="61"/>
        <v>-0.60252560932532673</v>
      </c>
    </row>
    <row r="197" spans="1:26" s="29" customFormat="1" outlineLevel="1" collapsed="1" x14ac:dyDescent="0.25">
      <c r="A197" s="27"/>
      <c r="B197" s="14" t="str">
        <f>CONCATENATE("     ","Equipment Rental                                  ")</f>
        <v xml:space="preserve">     Equipment Rental                                  </v>
      </c>
      <c r="C197" s="14"/>
      <c r="D197" s="1">
        <f>SUM(OSRRefD22_9x_0)</f>
        <v>1353.59</v>
      </c>
      <c r="E197" s="1"/>
      <c r="F197" s="5">
        <f t="shared" si="54"/>
        <v>9.0966959851795893E-4</v>
      </c>
      <c r="G197" s="1"/>
      <c r="H197" s="1">
        <f>SUM(OSRRefH22_9x_0)</f>
        <v>3524.29</v>
      </c>
      <c r="I197" s="1"/>
      <c r="J197" s="5">
        <f t="shared" si="55"/>
        <v>2.310559254284176E-3</v>
      </c>
      <c r="K197" s="1"/>
      <c r="L197" s="1">
        <f t="shared" si="56"/>
        <v>-2170.6999999999998</v>
      </c>
      <c r="M197" s="1"/>
      <c r="N197" s="5">
        <f t="shared" si="57"/>
        <v>-0.61592547718831303</v>
      </c>
      <c r="O197" s="14"/>
      <c r="P197" s="1">
        <f>SUM(OSRRefP22_9x_0)</f>
        <v>4239.91</v>
      </c>
      <c r="Q197" s="1"/>
      <c r="R197" s="5">
        <f t="shared" si="58"/>
        <v>8.9629419868220552E-4</v>
      </c>
      <c r="S197" s="1"/>
      <c r="T197" s="1">
        <f>SUM(OSRRefT22_9x_0)</f>
        <v>10557.94</v>
      </c>
      <c r="U197" s="1"/>
      <c r="V197" s="5">
        <f t="shared" si="59"/>
        <v>2.0574834963425375E-3</v>
      </c>
      <c r="W197" s="1"/>
      <c r="X197" s="1">
        <f t="shared" si="60"/>
        <v>-6318.0300000000007</v>
      </c>
      <c r="Y197" s="1"/>
      <c r="Z197" s="5">
        <f t="shared" si="61"/>
        <v>-0.59841503172020305</v>
      </c>
    </row>
    <row r="198" spans="1:26" s="24" customFormat="1" hidden="1" outlineLevel="2" x14ac:dyDescent="0.25">
      <c r="A198" s="28"/>
      <c r="B198" s="11" t="str">
        <f>CONCATENATE("          ", "6351", " - ", "EQUIPMENT RENTAL")</f>
        <v xml:space="preserve">          6351 - EQUIPMENT RENTAL</v>
      </c>
      <c r="C198" s="11"/>
      <c r="D198" s="6">
        <v>1353.59</v>
      </c>
      <c r="E198" s="2"/>
      <c r="F198" s="7">
        <f t="shared" si="54"/>
        <v>9.0966959851795893E-4</v>
      </c>
      <c r="G198" s="2"/>
      <c r="H198" s="6">
        <v>3524.29</v>
      </c>
      <c r="I198" s="2"/>
      <c r="J198" s="7">
        <f t="shared" si="55"/>
        <v>2.310559254284176E-3</v>
      </c>
      <c r="K198" s="2"/>
      <c r="L198" s="6">
        <f t="shared" si="56"/>
        <v>-2170.6999999999998</v>
      </c>
      <c r="M198" s="2"/>
      <c r="N198" s="7">
        <f t="shared" si="57"/>
        <v>-0.61592547718831303</v>
      </c>
      <c r="O198" s="11"/>
      <c r="P198" s="6">
        <v>4239.91</v>
      </c>
      <c r="Q198" s="2"/>
      <c r="R198" s="7">
        <f t="shared" si="58"/>
        <v>8.9629419868220552E-4</v>
      </c>
      <c r="S198" s="2"/>
      <c r="T198" s="6">
        <v>10557.94</v>
      </c>
      <c r="U198" s="2"/>
      <c r="V198" s="7">
        <f t="shared" si="59"/>
        <v>2.0574834963425375E-3</v>
      </c>
      <c r="W198" s="2"/>
      <c r="X198" s="6">
        <f t="shared" si="60"/>
        <v>-6318.0300000000007</v>
      </c>
      <c r="Y198" s="2"/>
      <c r="Z198" s="7">
        <f t="shared" si="61"/>
        <v>-0.59841503172020305</v>
      </c>
    </row>
    <row r="199" spans="1:26" s="29" customFormat="1" outlineLevel="1" collapsed="1" x14ac:dyDescent="0.25">
      <c r="A199" s="27"/>
      <c r="B199" s="14" t="str">
        <f>CONCATENATE("     ","Freight out/Postage                               ")</f>
        <v xml:space="preserve">     Freight out/Postage                               </v>
      </c>
      <c r="C199" s="14"/>
      <c r="D199" s="1">
        <f>SUM(OSRRefD22_10x_0)</f>
        <v>9453.9</v>
      </c>
      <c r="E199" s="1"/>
      <c r="F199" s="5">
        <f t="shared" si="54"/>
        <v>6.3534197337664529E-3</v>
      </c>
      <c r="G199" s="1"/>
      <c r="H199" s="1">
        <f>SUM(OSRRefH22_10x_0)</f>
        <v>9451.73</v>
      </c>
      <c r="I199" s="1"/>
      <c r="J199" s="5">
        <f t="shared" si="55"/>
        <v>6.1966473305248362E-3</v>
      </c>
      <c r="K199" s="1"/>
      <c r="L199" s="1">
        <f t="shared" si="56"/>
        <v>2.1700000000000728</v>
      </c>
      <c r="M199" s="1"/>
      <c r="N199" s="5">
        <f t="shared" si="57"/>
        <v>2.2958759930722449E-4</v>
      </c>
      <c r="O199" s="14"/>
      <c r="P199" s="1">
        <f>SUM(OSRRefP22_10x_0)</f>
        <v>-5565.2899999999991</v>
      </c>
      <c r="Q199" s="1"/>
      <c r="R199" s="5">
        <f t="shared" si="58"/>
        <v>-1.1764724112030894E-3</v>
      </c>
      <c r="S199" s="1"/>
      <c r="T199" s="1">
        <f>SUM(OSRRefT22_10x_0)</f>
        <v>921.86000000000058</v>
      </c>
      <c r="U199" s="1"/>
      <c r="V199" s="5">
        <f t="shared" si="59"/>
        <v>1.7964789873198113E-4</v>
      </c>
      <c r="W199" s="1"/>
      <c r="X199" s="1">
        <f t="shared" si="60"/>
        <v>-6487.15</v>
      </c>
      <c r="Y199" s="1"/>
      <c r="Z199" s="5">
        <f t="shared" si="61"/>
        <v>-7.0370229752890845</v>
      </c>
    </row>
    <row r="200" spans="1:26" s="24" customFormat="1" hidden="1" outlineLevel="2" x14ac:dyDescent="0.25">
      <c r="A200" s="28"/>
      <c r="B200" s="11" t="str">
        <f>CONCATENATE("          ", "6305", " - ", "FREIGHT OUT")</f>
        <v xml:space="preserve">          6305 - FREIGHT OUT</v>
      </c>
      <c r="C200" s="11"/>
      <c r="D200" s="6">
        <v>10682.34</v>
      </c>
      <c r="E200" s="2"/>
      <c r="F200" s="7">
        <f t="shared" si="54"/>
        <v>7.1789832512299404E-3</v>
      </c>
      <c r="G200" s="2"/>
      <c r="H200" s="6">
        <v>13720.77</v>
      </c>
      <c r="I200" s="2"/>
      <c r="J200" s="7">
        <f t="shared" si="55"/>
        <v>8.9954720239834689E-3</v>
      </c>
      <c r="K200" s="2"/>
      <c r="L200" s="6">
        <f t="shared" si="56"/>
        <v>-3038.4300000000003</v>
      </c>
      <c r="M200" s="2"/>
      <c r="N200" s="7">
        <f t="shared" si="57"/>
        <v>-0.22144748436130043</v>
      </c>
      <c r="O200" s="11"/>
      <c r="P200" s="6">
        <v>15076.750000000002</v>
      </c>
      <c r="Q200" s="2"/>
      <c r="R200" s="7">
        <f t="shared" si="58"/>
        <v>3.1871439629572195E-3</v>
      </c>
      <c r="S200" s="2"/>
      <c r="T200" s="6">
        <v>19349.84</v>
      </c>
      <c r="U200" s="2"/>
      <c r="V200" s="7">
        <f t="shared" si="59"/>
        <v>3.7708091215586264E-3</v>
      </c>
      <c r="W200" s="2"/>
      <c r="X200" s="6">
        <f t="shared" si="60"/>
        <v>-4273.0899999999983</v>
      </c>
      <c r="Y200" s="2"/>
      <c r="Z200" s="7">
        <f t="shared" si="61"/>
        <v>-0.22083335056000455</v>
      </c>
    </row>
    <row r="201" spans="1:26" s="24" customFormat="1" hidden="1" outlineLevel="2" x14ac:dyDescent="0.25">
      <c r="A201" s="28"/>
      <c r="B201" s="11" t="str">
        <f>CONCATENATE("          ", "6307", " - ", "POSTAGE")</f>
        <v xml:space="preserve">          6307 - POSTAGE</v>
      </c>
      <c r="C201" s="11"/>
      <c r="D201" s="6">
        <v>-1228.44</v>
      </c>
      <c r="E201" s="2"/>
      <c r="F201" s="7">
        <f t="shared" si="54"/>
        <v>-8.2556351746348718E-4</v>
      </c>
      <c r="G201" s="2"/>
      <c r="H201" s="6">
        <v>-4269.04</v>
      </c>
      <c r="I201" s="2"/>
      <c r="J201" s="7">
        <f t="shared" si="55"/>
        <v>-2.7988246934586313E-3</v>
      </c>
      <c r="K201" s="2"/>
      <c r="L201" s="6">
        <f t="shared" si="56"/>
        <v>3040.6</v>
      </c>
      <c r="M201" s="2"/>
      <c r="N201" s="7">
        <f t="shared" si="57"/>
        <v>-0.71224443903078916</v>
      </c>
      <c r="O201" s="11"/>
      <c r="P201" s="6">
        <v>-20642.04</v>
      </c>
      <c r="Q201" s="2"/>
      <c r="R201" s="7">
        <f t="shared" si="58"/>
        <v>-4.3636163741603094E-3</v>
      </c>
      <c r="S201" s="2"/>
      <c r="T201" s="6">
        <v>-18427.98</v>
      </c>
      <c r="U201" s="2"/>
      <c r="V201" s="7">
        <f t="shared" si="59"/>
        <v>-3.5911612228266454E-3</v>
      </c>
      <c r="W201" s="2"/>
      <c r="X201" s="6">
        <f t="shared" si="60"/>
        <v>-2214.0600000000013</v>
      </c>
      <c r="Y201" s="2"/>
      <c r="Z201" s="7">
        <f t="shared" si="61"/>
        <v>0.12014664656679687</v>
      </c>
    </row>
    <row r="202" spans="1:26" s="29" customFormat="1" outlineLevel="1" collapsed="1" x14ac:dyDescent="0.25">
      <c r="A202" s="27"/>
      <c r="B202" s="14" t="str">
        <f>CONCATENATE("     ","General                                           ")</f>
        <v xml:space="preserve">     General                                           </v>
      </c>
      <c r="C202" s="14"/>
      <c r="D202" s="1">
        <f>SUM(OSRRefD22_11x_0)</f>
        <v>-1155.18</v>
      </c>
      <c r="E202" s="1"/>
      <c r="F202" s="5">
        <f t="shared" ref="F202:F217" si="62">IF(D$12=0,0,D202/D$12)</f>
        <v>-7.7632970605277525E-4</v>
      </c>
      <c r="G202" s="1"/>
      <c r="H202" s="1">
        <f>SUM(OSRRefH22_11x_0)</f>
        <v>350.08</v>
      </c>
      <c r="I202" s="1"/>
      <c r="J202" s="5">
        <f t="shared" ref="J202:J217" si="63">IF(H$12=0,0,H202/H$12)</f>
        <v>2.2951589788008489E-4</v>
      </c>
      <c r="K202" s="1"/>
      <c r="L202" s="1">
        <f t="shared" ref="L202:L217" si="64">+D202-H202</f>
        <v>-1505.26</v>
      </c>
      <c r="M202" s="1"/>
      <c r="N202" s="5">
        <f t="shared" ref="N202:N217" si="65">IF(H202=0,0,L202/H202)</f>
        <v>-4.2997600548446071</v>
      </c>
      <c r="O202" s="14"/>
      <c r="P202" s="1">
        <f>SUM(OSRRefP22_11x_0)</f>
        <v>-10937.22</v>
      </c>
      <c r="Q202" s="1"/>
      <c r="R202" s="5">
        <f t="shared" ref="R202:R217" si="66">IF(P$12=0,0,P202/P$12)</f>
        <v>-2.3120695570686624E-3</v>
      </c>
      <c r="S202" s="1"/>
      <c r="T202" s="1">
        <f>SUM(OSRRefT22_11x_0)</f>
        <v>4773.16</v>
      </c>
      <c r="U202" s="1"/>
      <c r="V202" s="5">
        <f t="shared" ref="V202:V217" si="67">IF(T$12=0,0,T202/T$12)</f>
        <v>9.3017178781110198E-4</v>
      </c>
      <c r="W202" s="1"/>
      <c r="X202" s="1">
        <f t="shared" ref="X202:X217" si="68">+P202-T202</f>
        <v>-15710.38</v>
      </c>
      <c r="Y202" s="1"/>
      <c r="Z202" s="5">
        <f t="shared" ref="Z202:Z217" si="69">IF(T202=0,0,X202/T202)</f>
        <v>-3.2914002463776617</v>
      </c>
    </row>
    <row r="203" spans="1:26" s="24" customFormat="1" hidden="1" outlineLevel="2" x14ac:dyDescent="0.25">
      <c r="A203" s="28"/>
      <c r="B203" s="11" t="str">
        <f>CONCATENATE("          ", "6279", " - ", "GENERAL EXPENSE")</f>
        <v xml:space="preserve">          6279 - GENERAL EXPENSE</v>
      </c>
      <c r="C203" s="11"/>
      <c r="D203" s="6">
        <v>-1155.18</v>
      </c>
      <c r="E203" s="2"/>
      <c r="F203" s="7">
        <f t="shared" si="62"/>
        <v>-7.7632970605277525E-4</v>
      </c>
      <c r="G203" s="2"/>
      <c r="H203" s="6">
        <v>350.08</v>
      </c>
      <c r="I203" s="2"/>
      <c r="J203" s="7">
        <f t="shared" si="63"/>
        <v>2.2951589788008489E-4</v>
      </c>
      <c r="K203" s="2"/>
      <c r="L203" s="6">
        <f t="shared" si="64"/>
        <v>-1505.26</v>
      </c>
      <c r="M203" s="2"/>
      <c r="N203" s="7">
        <f t="shared" si="65"/>
        <v>-4.2997600548446071</v>
      </c>
      <c r="O203" s="11"/>
      <c r="P203" s="6">
        <v>-10937.22</v>
      </c>
      <c r="Q203" s="2"/>
      <c r="R203" s="7">
        <f t="shared" si="66"/>
        <v>-2.3120695570686624E-3</v>
      </c>
      <c r="S203" s="2"/>
      <c r="T203" s="6">
        <v>4773.16</v>
      </c>
      <c r="U203" s="2"/>
      <c r="V203" s="7">
        <f t="shared" si="67"/>
        <v>9.3017178781110198E-4</v>
      </c>
      <c r="W203" s="2"/>
      <c r="X203" s="6">
        <f t="shared" si="68"/>
        <v>-15710.38</v>
      </c>
      <c r="Y203" s="2"/>
      <c r="Z203" s="7">
        <f t="shared" si="69"/>
        <v>-3.2914002463776617</v>
      </c>
    </row>
    <row r="204" spans="1:26" s="29" customFormat="1" outlineLevel="1" collapsed="1" x14ac:dyDescent="0.25">
      <c r="A204" s="27"/>
      <c r="B204" s="14" t="str">
        <f>CONCATENATE("     ","Insurance                                         ")</f>
        <v xml:space="preserve">     Insurance                                         </v>
      </c>
      <c r="C204" s="14"/>
      <c r="D204" s="1">
        <f>SUM(OSRRefD22_12x_0)</f>
        <v>4288.28</v>
      </c>
      <c r="E204" s="1"/>
      <c r="F204" s="5">
        <f t="shared" si="62"/>
        <v>2.8819051159749949E-3</v>
      </c>
      <c r="G204" s="1"/>
      <c r="H204" s="1">
        <f>SUM(OSRRefH22_12x_0)</f>
        <v>4039.41</v>
      </c>
      <c r="I204" s="1"/>
      <c r="J204" s="5">
        <f t="shared" si="63"/>
        <v>2.6482770025588256E-3</v>
      </c>
      <c r="K204" s="1"/>
      <c r="L204" s="1">
        <f t="shared" si="64"/>
        <v>248.86999999999989</v>
      </c>
      <c r="M204" s="1"/>
      <c r="N204" s="5">
        <f t="shared" si="65"/>
        <v>6.1610482719010921E-2</v>
      </c>
      <c r="O204" s="14"/>
      <c r="P204" s="1">
        <f>SUM(OSRRefP22_12x_0)</f>
        <v>12864.84</v>
      </c>
      <c r="Q204" s="1"/>
      <c r="R204" s="5">
        <f t="shared" si="66"/>
        <v>2.7195580705663058E-3</v>
      </c>
      <c r="S204" s="1"/>
      <c r="T204" s="1">
        <f>SUM(OSRRefT22_12x_0)</f>
        <v>12118.23</v>
      </c>
      <c r="U204" s="1"/>
      <c r="V204" s="5">
        <f t="shared" si="67"/>
        <v>2.3615457399722888E-3</v>
      </c>
      <c r="W204" s="1"/>
      <c r="X204" s="1">
        <f t="shared" si="68"/>
        <v>746.61000000000058</v>
      </c>
      <c r="Y204" s="1"/>
      <c r="Z204" s="5">
        <f t="shared" si="69"/>
        <v>6.1610482719010998E-2</v>
      </c>
    </row>
    <row r="205" spans="1:26" s="24" customFormat="1" hidden="1" outlineLevel="2" x14ac:dyDescent="0.25">
      <c r="A205" s="28"/>
      <c r="B205" s="11" t="str">
        <f>CONCATENATE("          ", "6314", " - ", "LIABILITY INSURANCE")</f>
        <v xml:space="preserve">          6314 - LIABILITY INSURANCE</v>
      </c>
      <c r="C205" s="11"/>
      <c r="D205" s="6">
        <v>4288.28</v>
      </c>
      <c r="E205" s="2"/>
      <c r="F205" s="7">
        <f t="shared" si="62"/>
        <v>2.8819051159749949E-3</v>
      </c>
      <c r="G205" s="2"/>
      <c r="H205" s="6">
        <v>4039.41</v>
      </c>
      <c r="I205" s="2"/>
      <c r="J205" s="7">
        <f t="shared" si="63"/>
        <v>2.6482770025588256E-3</v>
      </c>
      <c r="K205" s="2"/>
      <c r="L205" s="6">
        <f t="shared" si="64"/>
        <v>248.86999999999989</v>
      </c>
      <c r="M205" s="2"/>
      <c r="N205" s="7">
        <f t="shared" si="65"/>
        <v>6.1610482719010921E-2</v>
      </c>
      <c r="O205" s="11"/>
      <c r="P205" s="6">
        <v>12864.84</v>
      </c>
      <c r="Q205" s="2"/>
      <c r="R205" s="7">
        <f t="shared" si="66"/>
        <v>2.7195580705663058E-3</v>
      </c>
      <c r="S205" s="2"/>
      <c r="T205" s="6">
        <v>12118.23</v>
      </c>
      <c r="U205" s="2"/>
      <c r="V205" s="7">
        <f t="shared" si="67"/>
        <v>2.3615457399722888E-3</v>
      </c>
      <c r="W205" s="2"/>
      <c r="X205" s="6">
        <f t="shared" si="68"/>
        <v>746.61000000000058</v>
      </c>
      <c r="Y205" s="2"/>
      <c r="Z205" s="7">
        <f t="shared" si="69"/>
        <v>6.1610482719010998E-2</v>
      </c>
    </row>
    <row r="206" spans="1:26" s="29" customFormat="1" outlineLevel="1" collapsed="1" x14ac:dyDescent="0.25">
      <c r="A206" s="27"/>
      <c r="B206" s="14" t="str">
        <f>CONCATENATE("     ","Interest                                          ")</f>
        <v xml:space="preserve">     Interest                                          </v>
      </c>
      <c r="C206" s="14"/>
      <c r="D206" s="1">
        <f>SUM(OSRRefD22_13x_0)</f>
        <v>4110</v>
      </c>
      <c r="E206" s="1"/>
      <c r="F206" s="5">
        <f t="shared" si="62"/>
        <v>2.762093432951493E-3</v>
      </c>
      <c r="G206" s="1"/>
      <c r="H206" s="1">
        <f>SUM(OSRRefH22_13x_0)</f>
        <v>4280</v>
      </c>
      <c r="I206" s="1"/>
      <c r="J206" s="5">
        <f t="shared" si="63"/>
        <v>2.8060101774644748E-3</v>
      </c>
      <c r="K206" s="1"/>
      <c r="L206" s="1">
        <f t="shared" si="64"/>
        <v>-170</v>
      </c>
      <c r="M206" s="1"/>
      <c r="N206" s="5">
        <f t="shared" si="65"/>
        <v>-3.9719626168224297E-2</v>
      </c>
      <c r="O206" s="14"/>
      <c r="P206" s="1">
        <f>SUM(OSRRefP22_13x_0)</f>
        <v>12330</v>
      </c>
      <c r="Q206" s="1"/>
      <c r="R206" s="5">
        <f t="shared" si="66"/>
        <v>2.606495767540253E-3</v>
      </c>
      <c r="S206" s="1"/>
      <c r="T206" s="1">
        <f>SUM(OSRRefT22_13x_0)</f>
        <v>12840</v>
      </c>
      <c r="U206" s="1"/>
      <c r="V206" s="5">
        <f t="shared" si="67"/>
        <v>2.5022010063552344E-3</v>
      </c>
      <c r="W206" s="1"/>
      <c r="X206" s="1">
        <f t="shared" si="68"/>
        <v>-510</v>
      </c>
      <c r="Y206" s="1"/>
      <c r="Z206" s="5">
        <f t="shared" si="69"/>
        <v>-3.9719626168224297E-2</v>
      </c>
    </row>
    <row r="207" spans="1:26" s="24" customFormat="1" hidden="1" outlineLevel="2" x14ac:dyDescent="0.25">
      <c r="A207" s="28"/>
      <c r="B207" s="11" t="str">
        <f>CONCATENATE("          ", "6401", " - ", "INTEREST EXPENSE")</f>
        <v xml:space="preserve">          6401 - INTEREST EXPENSE</v>
      </c>
      <c r="C207" s="11"/>
      <c r="D207" s="6">
        <v>4110</v>
      </c>
      <c r="E207" s="2"/>
      <c r="F207" s="7">
        <f t="shared" si="62"/>
        <v>2.762093432951493E-3</v>
      </c>
      <c r="G207" s="2"/>
      <c r="H207" s="6">
        <v>4280</v>
      </c>
      <c r="I207" s="2"/>
      <c r="J207" s="7">
        <f t="shared" si="63"/>
        <v>2.8060101774644748E-3</v>
      </c>
      <c r="K207" s="2"/>
      <c r="L207" s="6">
        <f t="shared" si="64"/>
        <v>-170</v>
      </c>
      <c r="M207" s="2"/>
      <c r="N207" s="7">
        <f t="shared" si="65"/>
        <v>-3.9719626168224297E-2</v>
      </c>
      <c r="O207" s="11"/>
      <c r="P207" s="6">
        <v>12330</v>
      </c>
      <c r="Q207" s="2"/>
      <c r="R207" s="7">
        <f t="shared" si="66"/>
        <v>2.606495767540253E-3</v>
      </c>
      <c r="S207" s="2"/>
      <c r="T207" s="6">
        <v>12840</v>
      </c>
      <c r="U207" s="2"/>
      <c r="V207" s="7">
        <f t="shared" si="67"/>
        <v>2.5022010063552344E-3</v>
      </c>
      <c r="W207" s="2"/>
      <c r="X207" s="6">
        <f t="shared" si="68"/>
        <v>-510</v>
      </c>
      <c r="Y207" s="2"/>
      <c r="Z207" s="7">
        <f t="shared" si="69"/>
        <v>-3.9719626168224297E-2</v>
      </c>
    </row>
    <row r="208" spans="1:26" s="29" customFormat="1" outlineLevel="1" collapsed="1" x14ac:dyDescent="0.25">
      <c r="A208" s="27"/>
      <c r="B208" s="14" t="str">
        <f>CONCATENATE("     ","Inventory Adjustment                              ")</f>
        <v xml:space="preserve">     Inventory Adjustment                              </v>
      </c>
      <c r="C208" s="14"/>
      <c r="D208" s="1">
        <f>SUM(OSRRefD22_14x_0)</f>
        <v>4250</v>
      </c>
      <c r="E208" s="1"/>
      <c r="F208" s="5">
        <f t="shared" si="62"/>
        <v>2.8561793406432713E-3</v>
      </c>
      <c r="G208" s="1"/>
      <c r="H208" s="1">
        <f>SUM(OSRRefH22_14x_0)</f>
        <v>8750</v>
      </c>
      <c r="I208" s="1"/>
      <c r="J208" s="5">
        <f t="shared" si="63"/>
        <v>5.7365862272930265E-3</v>
      </c>
      <c r="K208" s="1"/>
      <c r="L208" s="1">
        <f t="shared" si="64"/>
        <v>-4500</v>
      </c>
      <c r="M208" s="1"/>
      <c r="N208" s="5">
        <f t="shared" si="65"/>
        <v>-0.51428571428571423</v>
      </c>
      <c r="O208" s="14"/>
      <c r="P208" s="1">
        <f>SUM(OSRRefP22_14x_0)</f>
        <v>12650</v>
      </c>
      <c r="Q208" s="1"/>
      <c r="R208" s="5">
        <f t="shared" si="66"/>
        <v>2.6741420486118576E-3</v>
      </c>
      <c r="S208" s="1"/>
      <c r="T208" s="1">
        <f>SUM(OSRRefT22_14x_0)</f>
        <v>26250</v>
      </c>
      <c r="U208" s="1"/>
      <c r="V208" s="5">
        <f t="shared" si="67"/>
        <v>5.1154810293477333E-3</v>
      </c>
      <c r="W208" s="1"/>
      <c r="X208" s="1">
        <f t="shared" si="68"/>
        <v>-13600</v>
      </c>
      <c r="Y208" s="1"/>
      <c r="Z208" s="5">
        <f t="shared" si="69"/>
        <v>-0.51809523809523805</v>
      </c>
    </row>
    <row r="209" spans="1:26" s="24" customFormat="1" hidden="1" outlineLevel="2" x14ac:dyDescent="0.25">
      <c r="A209" s="28"/>
      <c r="B209" s="11" t="str">
        <f>CONCATENATE("          ", "6408", " - ", "INVENTORY ADJUSTMENT")</f>
        <v xml:space="preserve">          6408 - INVENTORY ADJUSTMENT</v>
      </c>
      <c r="C209" s="11"/>
      <c r="D209" s="6">
        <v>4250</v>
      </c>
      <c r="E209" s="2"/>
      <c r="F209" s="7">
        <f t="shared" si="62"/>
        <v>2.8561793406432713E-3</v>
      </c>
      <c r="G209" s="2"/>
      <c r="H209" s="6">
        <v>8750</v>
      </c>
      <c r="I209" s="2"/>
      <c r="J209" s="7">
        <f t="shared" si="63"/>
        <v>5.7365862272930265E-3</v>
      </c>
      <c r="K209" s="2"/>
      <c r="L209" s="6">
        <f t="shared" si="64"/>
        <v>-4500</v>
      </c>
      <c r="M209" s="2"/>
      <c r="N209" s="7">
        <f t="shared" si="65"/>
        <v>-0.51428571428571423</v>
      </c>
      <c r="O209" s="11"/>
      <c r="P209" s="6">
        <v>12650</v>
      </c>
      <c r="Q209" s="2"/>
      <c r="R209" s="7">
        <f t="shared" si="66"/>
        <v>2.6741420486118576E-3</v>
      </c>
      <c r="S209" s="2"/>
      <c r="T209" s="6">
        <v>26250</v>
      </c>
      <c r="U209" s="2"/>
      <c r="V209" s="7">
        <f t="shared" si="67"/>
        <v>5.1154810293477333E-3</v>
      </c>
      <c r="W209" s="2"/>
      <c r="X209" s="6">
        <f t="shared" si="68"/>
        <v>-13600</v>
      </c>
      <c r="Y209" s="2"/>
      <c r="Z209" s="7">
        <f t="shared" si="69"/>
        <v>-0.51809523809523805</v>
      </c>
    </row>
    <row r="210" spans="1:26" s="29" customFormat="1" outlineLevel="1" collapsed="1" x14ac:dyDescent="0.25">
      <c r="A210" s="27"/>
      <c r="B210" s="14" t="str">
        <f>CONCATENATE("     ","Professional Services                             ")</f>
        <v xml:space="preserve">     Professional Services                             </v>
      </c>
      <c r="C210" s="14"/>
      <c r="D210" s="1">
        <f>SUM(OSRRefD22_15x_0)</f>
        <v>0</v>
      </c>
      <c r="E210" s="1"/>
      <c r="F210" s="5">
        <f t="shared" si="62"/>
        <v>0</v>
      </c>
      <c r="G210" s="1"/>
      <c r="H210" s="1">
        <f>SUM(OSRRefH22_15x_0)</f>
        <v>0</v>
      </c>
      <c r="I210" s="1"/>
      <c r="J210" s="5">
        <f t="shared" si="63"/>
        <v>0</v>
      </c>
      <c r="K210" s="1"/>
      <c r="L210" s="1">
        <f t="shared" si="64"/>
        <v>0</v>
      </c>
      <c r="M210" s="1"/>
      <c r="N210" s="5">
        <f t="shared" si="65"/>
        <v>0</v>
      </c>
      <c r="O210" s="14"/>
      <c r="P210" s="1">
        <f>SUM(OSRRefP22_15x_0)</f>
        <v>6158.41</v>
      </c>
      <c r="Q210" s="1"/>
      <c r="R210" s="5">
        <f t="shared" si="66"/>
        <v>1.3018547931693081E-3</v>
      </c>
      <c r="S210" s="1"/>
      <c r="T210" s="1">
        <f>SUM(OSRRefT22_15x_0)</f>
        <v>8276.43</v>
      </c>
      <c r="U210" s="1"/>
      <c r="V210" s="5">
        <f t="shared" si="67"/>
        <v>1.6128731678371224E-3</v>
      </c>
      <c r="W210" s="1"/>
      <c r="X210" s="1">
        <f t="shared" si="68"/>
        <v>-2118.0200000000004</v>
      </c>
      <c r="Y210" s="1"/>
      <c r="Z210" s="5">
        <f t="shared" si="69"/>
        <v>-0.25590985485287743</v>
      </c>
    </row>
    <row r="211" spans="1:26" s="24" customFormat="1" hidden="1" outlineLevel="2" x14ac:dyDescent="0.25">
      <c r="A211" s="28"/>
      <c r="B211" s="11" t="str">
        <f>CONCATENATE("          ", "6336", " - ", "PROFESSIONAL SERVICES")</f>
        <v xml:space="preserve">          6336 - PROFESSIONAL SERVICES</v>
      </c>
      <c r="C211" s="11"/>
      <c r="D211" s="6"/>
      <c r="E211" s="2"/>
      <c r="F211" s="7">
        <f t="shared" si="62"/>
        <v>0</v>
      </c>
      <c r="G211" s="2"/>
      <c r="H211" s="6"/>
      <c r="I211" s="2"/>
      <c r="J211" s="7">
        <f t="shared" si="63"/>
        <v>0</v>
      </c>
      <c r="K211" s="2"/>
      <c r="L211" s="6">
        <f t="shared" si="64"/>
        <v>0</v>
      </c>
      <c r="M211" s="2"/>
      <c r="N211" s="7">
        <f t="shared" si="65"/>
        <v>0</v>
      </c>
      <c r="O211" s="11"/>
      <c r="P211" s="6">
        <v>6158.41</v>
      </c>
      <c r="Q211" s="2"/>
      <c r="R211" s="7">
        <f t="shared" si="66"/>
        <v>1.3018547931693081E-3</v>
      </c>
      <c r="S211" s="2"/>
      <c r="T211" s="6">
        <v>8276.43</v>
      </c>
      <c r="U211" s="2"/>
      <c r="V211" s="7">
        <f t="shared" si="67"/>
        <v>1.6128731678371224E-3</v>
      </c>
      <c r="W211" s="2"/>
      <c r="X211" s="6">
        <f t="shared" si="68"/>
        <v>-2118.0200000000004</v>
      </c>
      <c r="Y211" s="2"/>
      <c r="Z211" s="7">
        <f t="shared" si="69"/>
        <v>-0.25590985485287743</v>
      </c>
    </row>
    <row r="212" spans="1:26" s="29" customFormat="1" outlineLevel="1" collapsed="1" x14ac:dyDescent="0.25">
      <c r="A212" s="27"/>
      <c r="B212" s="14" t="str">
        <f>CONCATENATE("     ","Rent                                              ")</f>
        <v xml:space="preserve">     Rent                                              </v>
      </c>
      <c r="C212" s="14"/>
      <c r="D212" s="1">
        <f>SUM(OSRRefD22_16x_0)</f>
        <v>7250</v>
      </c>
      <c r="E212" s="1"/>
      <c r="F212" s="5">
        <f t="shared" si="62"/>
        <v>4.8723059340385223E-3</v>
      </c>
      <c r="G212" s="1"/>
      <c r="H212" s="1">
        <f>SUM(OSRRefH22_16x_0)</f>
        <v>7250</v>
      </c>
      <c r="I212" s="1"/>
      <c r="J212" s="5">
        <f t="shared" si="63"/>
        <v>4.7531714454713651E-3</v>
      </c>
      <c r="K212" s="1"/>
      <c r="L212" s="1">
        <f t="shared" si="64"/>
        <v>0</v>
      </c>
      <c r="M212" s="1"/>
      <c r="N212" s="5">
        <f t="shared" si="65"/>
        <v>0</v>
      </c>
      <c r="O212" s="14"/>
      <c r="P212" s="1">
        <f>SUM(OSRRefP22_16x_0)</f>
        <v>21750</v>
      </c>
      <c r="Q212" s="1"/>
      <c r="R212" s="5">
        <f t="shared" si="66"/>
        <v>4.5978331665856046E-3</v>
      </c>
      <c r="S212" s="1"/>
      <c r="T212" s="1">
        <f>SUM(OSRRefT22_16x_0)</f>
        <v>22651.08</v>
      </c>
      <c r="U212" s="1"/>
      <c r="V212" s="5">
        <f t="shared" si="67"/>
        <v>4.4141398108281096E-3</v>
      </c>
      <c r="W212" s="1"/>
      <c r="X212" s="1">
        <f t="shared" si="68"/>
        <v>-901.08000000000175</v>
      </c>
      <c r="Y212" s="1"/>
      <c r="Z212" s="5">
        <f t="shared" si="69"/>
        <v>-3.978088462007117E-2</v>
      </c>
    </row>
    <row r="213" spans="1:26" s="24" customFormat="1" hidden="1" outlineLevel="2" x14ac:dyDescent="0.25">
      <c r="A213" s="28"/>
      <c r="B213" s="11" t="str">
        <f>CONCATENATE("          ", "6273", " - ", "RENT")</f>
        <v xml:space="preserve">          6273 - RENT</v>
      </c>
      <c r="C213" s="11"/>
      <c r="D213" s="6">
        <v>7250</v>
      </c>
      <c r="E213" s="2"/>
      <c r="F213" s="7">
        <f t="shared" si="62"/>
        <v>4.8723059340385223E-3</v>
      </c>
      <c r="G213" s="2"/>
      <c r="H213" s="6">
        <v>7250</v>
      </c>
      <c r="I213" s="2"/>
      <c r="J213" s="7">
        <f t="shared" si="63"/>
        <v>4.7531714454713651E-3</v>
      </c>
      <c r="K213" s="2"/>
      <c r="L213" s="6">
        <f t="shared" si="64"/>
        <v>0</v>
      </c>
      <c r="M213" s="2"/>
      <c r="N213" s="7">
        <f t="shared" si="65"/>
        <v>0</v>
      </c>
      <c r="O213" s="11"/>
      <c r="P213" s="6">
        <v>21750</v>
      </c>
      <c r="Q213" s="2"/>
      <c r="R213" s="7">
        <f t="shared" si="66"/>
        <v>4.5978331665856046E-3</v>
      </c>
      <c r="S213" s="2"/>
      <c r="T213" s="6">
        <v>22651.08</v>
      </c>
      <c r="U213" s="2"/>
      <c r="V213" s="7">
        <f t="shared" si="67"/>
        <v>4.4141398108281096E-3</v>
      </c>
      <c r="W213" s="2"/>
      <c r="X213" s="6">
        <f t="shared" si="68"/>
        <v>-901.08000000000175</v>
      </c>
      <c r="Y213" s="2"/>
      <c r="Z213" s="7">
        <f t="shared" si="69"/>
        <v>-3.978088462007117E-2</v>
      </c>
    </row>
    <row r="214" spans="1:26" s="29" customFormat="1" outlineLevel="1" collapsed="1" x14ac:dyDescent="0.25">
      <c r="A214" s="27"/>
      <c r="B214" s="14" t="str">
        <f>CONCATENATE("     ","Repair and Maintenance                            ")</f>
        <v xml:space="preserve">     Repair and Maintenance                            </v>
      </c>
      <c r="C214" s="14"/>
      <c r="D214" s="1">
        <f>SUM(OSRRefD22_17x_0)</f>
        <v>16139.84</v>
      </c>
      <c r="E214" s="1"/>
      <c r="F214" s="5">
        <f t="shared" si="62"/>
        <v>1.0846653545714799E-2</v>
      </c>
      <c r="G214" s="1"/>
      <c r="H214" s="1">
        <f>SUM(OSRRefH22_17x_0)</f>
        <v>8225.84</v>
      </c>
      <c r="I214" s="1"/>
      <c r="J214" s="5">
        <f t="shared" si="63"/>
        <v>5.3929417659332657E-3</v>
      </c>
      <c r="K214" s="1"/>
      <c r="L214" s="1">
        <f t="shared" si="64"/>
        <v>7914</v>
      </c>
      <c r="M214" s="1"/>
      <c r="N214" s="5">
        <f t="shared" si="65"/>
        <v>0.96209019382822902</v>
      </c>
      <c r="O214" s="14"/>
      <c r="P214" s="1">
        <f>SUM(OSRRefP22_17x_0)</f>
        <v>56810.44</v>
      </c>
      <c r="Q214" s="1"/>
      <c r="R214" s="5">
        <f t="shared" si="66"/>
        <v>1.2009421850129725E-2</v>
      </c>
      <c r="S214" s="1"/>
      <c r="T214" s="1">
        <f>SUM(OSRRefT22_17x_0)</f>
        <v>84677.959999999992</v>
      </c>
      <c r="U214" s="1"/>
      <c r="V214" s="5">
        <f t="shared" si="67"/>
        <v>1.6501657066052045E-2</v>
      </c>
      <c r="W214" s="1"/>
      <c r="X214" s="1">
        <f t="shared" si="68"/>
        <v>-27867.51999999999</v>
      </c>
      <c r="Y214" s="1"/>
      <c r="Z214" s="5">
        <f t="shared" si="69"/>
        <v>-0.32910003972698437</v>
      </c>
    </row>
    <row r="215" spans="1:26" s="24" customFormat="1" hidden="1" outlineLevel="2" x14ac:dyDescent="0.25">
      <c r="A215" s="28"/>
      <c r="B215" s="11" t="str">
        <f>CONCATENATE("          ", "6371", " - ", "COMPUTER SOFTWARE MAINTENANCE")</f>
        <v xml:space="preserve">          6371 - COMPUTER SOFTWARE MAINTENANCE</v>
      </c>
      <c r="C215" s="11"/>
      <c r="D215" s="6">
        <v>4974.08</v>
      </c>
      <c r="E215" s="2"/>
      <c r="F215" s="7">
        <f t="shared" si="62"/>
        <v>3.3427916552251492E-3</v>
      </c>
      <c r="G215" s="2"/>
      <c r="H215" s="6">
        <v>622.75</v>
      </c>
      <c r="I215" s="2"/>
      <c r="J215" s="7">
        <f t="shared" si="63"/>
        <v>4.0828103691962657E-4</v>
      </c>
      <c r="K215" s="2"/>
      <c r="L215" s="6">
        <f t="shared" si="64"/>
        <v>4351.33</v>
      </c>
      <c r="M215" s="2"/>
      <c r="N215" s="7">
        <f t="shared" si="65"/>
        <v>6.987282215977519</v>
      </c>
      <c r="O215" s="11"/>
      <c r="P215" s="6">
        <v>13462.33</v>
      </c>
      <c r="Q215" s="2"/>
      <c r="R215" s="7">
        <f t="shared" si="66"/>
        <v>2.8458642470584085E-3</v>
      </c>
      <c r="S215" s="2"/>
      <c r="T215" s="6">
        <v>44786.13</v>
      </c>
      <c r="U215" s="2"/>
      <c r="V215" s="7">
        <f t="shared" si="67"/>
        <v>8.7277180340152912E-3</v>
      </c>
      <c r="W215" s="2"/>
      <c r="X215" s="6">
        <f t="shared" si="68"/>
        <v>-31323.799999999996</v>
      </c>
      <c r="Y215" s="2"/>
      <c r="Z215" s="7">
        <f t="shared" si="69"/>
        <v>-0.69940849990834209</v>
      </c>
    </row>
    <row r="216" spans="1:26" s="24" customFormat="1" hidden="1" outlineLevel="2" x14ac:dyDescent="0.25">
      <c r="A216" s="28"/>
      <c r="B216" s="11" t="str">
        <f>CONCATENATE("          ", "6373", " - ", "MAINTENANCE CONTRACTS")</f>
        <v xml:space="preserve">          6373 - MAINTENANCE CONTRACTS</v>
      </c>
      <c r="C216" s="11"/>
      <c r="D216" s="6">
        <v>6672.75</v>
      </c>
      <c r="E216" s="2"/>
      <c r="F216" s="7">
        <f t="shared" si="62"/>
        <v>4.4843695753593862E-3</v>
      </c>
      <c r="G216" s="2"/>
      <c r="H216" s="6">
        <v>4921.96</v>
      </c>
      <c r="I216" s="2"/>
      <c r="J216" s="7">
        <f t="shared" si="63"/>
        <v>3.226885479689964E-3</v>
      </c>
      <c r="K216" s="2"/>
      <c r="L216" s="6">
        <f t="shared" si="64"/>
        <v>1750.79</v>
      </c>
      <c r="M216" s="2"/>
      <c r="N216" s="7">
        <f t="shared" si="65"/>
        <v>0.35570992043819943</v>
      </c>
      <c r="O216" s="11"/>
      <c r="P216" s="6">
        <v>19048.190000000002</v>
      </c>
      <c r="Q216" s="2"/>
      <c r="R216" s="7">
        <f t="shared" si="66"/>
        <v>4.026685045766633E-3</v>
      </c>
      <c r="S216" s="2"/>
      <c r="T216" s="6">
        <v>26012.69</v>
      </c>
      <c r="U216" s="2"/>
      <c r="V216" s="7">
        <f t="shared" si="67"/>
        <v>5.0692351320877514E-3</v>
      </c>
      <c r="W216" s="2"/>
      <c r="X216" s="6">
        <f t="shared" si="68"/>
        <v>-6964.4999999999964</v>
      </c>
      <c r="Y216" s="2"/>
      <c r="Z216" s="7">
        <f t="shared" si="69"/>
        <v>-0.26773470948217953</v>
      </c>
    </row>
    <row r="217" spans="1:26" s="24" customFormat="1" hidden="1" outlineLevel="2" x14ac:dyDescent="0.25">
      <c r="A217" s="28"/>
      <c r="B217" s="11" t="str">
        <f>CONCATENATE("          ", "6375", " - ", "OUTSIDE REPAIRS &amp; MAINTENANCE")</f>
        <v xml:space="preserve">          6375 - OUTSIDE REPAIRS &amp; MAINTENANCE</v>
      </c>
      <c r="C217" s="11"/>
      <c r="D217" s="6">
        <v>4493.01</v>
      </c>
      <c r="E217" s="2"/>
      <c r="F217" s="7">
        <f t="shared" si="62"/>
        <v>3.0194923151302651E-3</v>
      </c>
      <c r="G217" s="2"/>
      <c r="H217" s="6">
        <v>2681.13</v>
      </c>
      <c r="I217" s="2"/>
      <c r="J217" s="7">
        <f t="shared" si="63"/>
        <v>1.7577752493236746E-3</v>
      </c>
      <c r="K217" s="2"/>
      <c r="L217" s="6">
        <f t="shared" si="64"/>
        <v>1811.88</v>
      </c>
      <c r="M217" s="2"/>
      <c r="N217" s="7">
        <f t="shared" si="65"/>
        <v>0.67578968569222675</v>
      </c>
      <c r="O217" s="11"/>
      <c r="P217" s="6">
        <v>24299.919999999998</v>
      </c>
      <c r="Q217" s="2"/>
      <c r="R217" s="7">
        <f t="shared" si="66"/>
        <v>5.1368725573046831E-3</v>
      </c>
      <c r="S217" s="2"/>
      <c r="T217" s="6">
        <v>13879.14</v>
      </c>
      <c r="U217" s="2"/>
      <c r="V217" s="7">
        <f t="shared" si="67"/>
        <v>2.7047038999490017E-3</v>
      </c>
      <c r="W217" s="2"/>
      <c r="X217" s="6">
        <f t="shared" si="68"/>
        <v>10420.779999999999</v>
      </c>
      <c r="Y217" s="2"/>
      <c r="Z217" s="7">
        <f t="shared" si="69"/>
        <v>0.75082317780496477</v>
      </c>
    </row>
    <row r="218" spans="1:26" s="29" customFormat="1" outlineLevel="1" collapsed="1" x14ac:dyDescent="0.25">
      <c r="A218" s="27"/>
      <c r="B218" s="14" t="str">
        <f>CONCATENATE("     ","Royalty &amp; Commissions                             ")</f>
        <v xml:space="preserve">     Royalty &amp; Commissions                             </v>
      </c>
      <c r="C218" s="14"/>
      <c r="D218" s="1">
        <f>SUM(OSRRefD22_18x_0)</f>
        <v>16254.27</v>
      </c>
      <c r="E218" s="1"/>
      <c r="F218" s="5">
        <f t="shared" ref="F218:F221" si="70">IF(D$12=0,0,D218/D$12)</f>
        <v>1.0923555334408874E-2</v>
      </c>
      <c r="G218" s="1"/>
      <c r="H218" s="1">
        <f>SUM(OSRRefH22_18x_0)</f>
        <v>13941.810000000001</v>
      </c>
      <c r="I218" s="1"/>
      <c r="J218" s="5">
        <f t="shared" ref="J218:J221" si="71">IF(H$12=0,0,H218/H$12)</f>
        <v>9.140388026232708E-3</v>
      </c>
      <c r="K218" s="1"/>
      <c r="L218" s="1">
        <f t="shared" ref="L218:L221" si="72">+D218-H218</f>
        <v>2312.4599999999991</v>
      </c>
      <c r="M218" s="1"/>
      <c r="N218" s="5">
        <f t="shared" ref="N218:N221" si="73">IF(H218=0,0,L218/H218)</f>
        <v>0.16586512081286425</v>
      </c>
      <c r="O218" s="14"/>
      <c r="P218" s="1">
        <f>SUM(OSRRefP22_18x_0)</f>
        <v>25125.89</v>
      </c>
      <c r="Q218" s="1"/>
      <c r="R218" s="5">
        <f t="shared" ref="R218:R221" si="74">IF(P$12=0,0,P218/P$12)</f>
        <v>5.3114781784819112E-3</v>
      </c>
      <c r="S218" s="1"/>
      <c r="T218" s="1">
        <f>SUM(OSRRefT22_18x_0)</f>
        <v>26928.620000000003</v>
      </c>
      <c r="U218" s="1"/>
      <c r="V218" s="5">
        <f t="shared" ref="V218:V221" si="75">IF(T$12=0,0,T218/T$12)</f>
        <v>5.2477274192957706E-3</v>
      </c>
      <c r="W218" s="1"/>
      <c r="X218" s="1">
        <f t="shared" ref="X218:X221" si="76">+P218-T218</f>
        <v>-1802.7300000000032</v>
      </c>
      <c r="Y218" s="1"/>
      <c r="Z218" s="5">
        <f t="shared" ref="Z218:Z221" si="77">IF(T218=0,0,X218/T218)</f>
        <v>-6.6944759887435853E-2</v>
      </c>
    </row>
    <row r="219" spans="1:26" s="24" customFormat="1" hidden="1" outlineLevel="2" x14ac:dyDescent="0.25">
      <c r="A219" s="28"/>
      <c r="B219" s="11" t="str">
        <f>CONCATENATE("          ", "6253", " - ", "ROYALTY DUE ATHLETICS-LRG")</f>
        <v xml:space="preserve">          6253 - ROYALTY DUE ATHLETICS-LRG</v>
      </c>
      <c r="C219" s="11"/>
      <c r="D219" s="6"/>
      <c r="E219" s="2"/>
      <c r="F219" s="7">
        <f t="shared" si="70"/>
        <v>0</v>
      </c>
      <c r="G219" s="2"/>
      <c r="H219" s="6"/>
      <c r="I219" s="2"/>
      <c r="J219" s="7">
        <f t="shared" si="71"/>
        <v>0</v>
      </c>
      <c r="K219" s="2"/>
      <c r="L219" s="6">
        <f t="shared" si="72"/>
        <v>0</v>
      </c>
      <c r="M219" s="2"/>
      <c r="N219" s="7">
        <f t="shared" si="73"/>
        <v>0</v>
      </c>
      <c r="O219" s="11"/>
      <c r="P219" s="6">
        <v>4366.95</v>
      </c>
      <c r="Q219" s="2"/>
      <c r="R219" s="7">
        <f t="shared" si="74"/>
        <v>9.2314977226763239E-4</v>
      </c>
      <c r="S219" s="2"/>
      <c r="T219" s="6">
        <v>6645.39</v>
      </c>
      <c r="U219" s="2"/>
      <c r="V219" s="7">
        <f t="shared" si="75"/>
        <v>1.2950234848616053E-3</v>
      </c>
      <c r="W219" s="2"/>
      <c r="X219" s="6">
        <f t="shared" si="76"/>
        <v>-2278.4400000000005</v>
      </c>
      <c r="Y219" s="2"/>
      <c r="Z219" s="7">
        <f t="shared" si="77"/>
        <v>-0.34286023845101649</v>
      </c>
    </row>
    <row r="220" spans="1:26" s="24" customFormat="1" hidden="1" outlineLevel="2" x14ac:dyDescent="0.25">
      <c r="A220" s="28"/>
      <c r="B220" s="11" t="str">
        <f>CONCATENATE("          ", "6254", " - ", "ROYALTY &amp; COMMISSIONS")</f>
        <v xml:space="preserve">          6254 - ROYALTY &amp; COMMISSIONS</v>
      </c>
      <c r="C220" s="11"/>
      <c r="D220" s="6">
        <v>6038.83</v>
      </c>
      <c r="E220" s="2"/>
      <c r="F220" s="7">
        <f t="shared" si="70"/>
        <v>4.0583485853310135E-3</v>
      </c>
      <c r="G220" s="2"/>
      <c r="H220" s="6">
        <v>3967.54</v>
      </c>
      <c r="I220" s="2"/>
      <c r="J220" s="7">
        <f t="shared" si="71"/>
        <v>2.6011583223124772E-3</v>
      </c>
      <c r="K220" s="2"/>
      <c r="L220" s="6">
        <f t="shared" si="72"/>
        <v>2071.29</v>
      </c>
      <c r="M220" s="2"/>
      <c r="N220" s="7">
        <f t="shared" si="73"/>
        <v>0.52205900885687351</v>
      </c>
      <c r="O220" s="11"/>
      <c r="P220" s="6">
        <v>6289.32</v>
      </c>
      <c r="Q220" s="2"/>
      <c r="R220" s="7">
        <f t="shared" si="74"/>
        <v>1.3295284639664449E-3</v>
      </c>
      <c r="S220" s="2"/>
      <c r="T220" s="6">
        <v>5911.88</v>
      </c>
      <c r="U220" s="2"/>
      <c r="V220" s="7">
        <f t="shared" si="75"/>
        <v>1.1520803804868677E-3</v>
      </c>
      <c r="W220" s="2"/>
      <c r="X220" s="6">
        <f t="shared" si="76"/>
        <v>377.4399999999996</v>
      </c>
      <c r="Y220" s="2"/>
      <c r="Z220" s="7">
        <f t="shared" si="77"/>
        <v>6.384432701610987E-2</v>
      </c>
    </row>
    <row r="221" spans="1:26" s="24" customFormat="1" hidden="1" outlineLevel="2" x14ac:dyDescent="0.25">
      <c r="A221" s="28"/>
      <c r="B221" s="11" t="str">
        <f>CONCATENATE("          ", "6259", " - ", "ROYALTY &amp; COMMISSIONS")</f>
        <v xml:space="preserve">          6259 - ROYALTY &amp; COMMISSIONS</v>
      </c>
      <c r="C221" s="11"/>
      <c r="D221" s="6">
        <v>10215.44</v>
      </c>
      <c r="E221" s="2"/>
      <c r="F221" s="7">
        <f t="shared" si="70"/>
        <v>6.8652067490778592E-3</v>
      </c>
      <c r="G221" s="2"/>
      <c r="H221" s="6">
        <v>9974.27</v>
      </c>
      <c r="I221" s="2"/>
      <c r="J221" s="7">
        <f t="shared" si="71"/>
        <v>6.5392297039202308E-3</v>
      </c>
      <c r="K221" s="2"/>
      <c r="L221" s="6">
        <f t="shared" si="72"/>
        <v>241.17000000000007</v>
      </c>
      <c r="M221" s="2"/>
      <c r="N221" s="7">
        <f t="shared" si="73"/>
        <v>2.417921311534579E-2</v>
      </c>
      <c r="O221" s="11"/>
      <c r="P221" s="6">
        <v>14469.62</v>
      </c>
      <c r="Q221" s="2"/>
      <c r="R221" s="7">
        <f t="shared" si="74"/>
        <v>3.0587999422478345E-3</v>
      </c>
      <c r="S221" s="2"/>
      <c r="T221" s="6">
        <v>14371.35</v>
      </c>
      <c r="U221" s="2"/>
      <c r="V221" s="7">
        <f t="shared" si="75"/>
        <v>2.8006235539472972E-3</v>
      </c>
      <c r="W221" s="2"/>
      <c r="X221" s="6">
        <f t="shared" si="76"/>
        <v>98.270000000000437</v>
      </c>
      <c r="Y221" s="2"/>
      <c r="Z221" s="7">
        <f t="shared" si="77"/>
        <v>6.8379101476201219E-3</v>
      </c>
    </row>
    <row r="222" spans="1:26" s="29" customFormat="1" outlineLevel="1" collapsed="1" x14ac:dyDescent="0.25">
      <c r="A222" s="27"/>
      <c r="B222" s="14" t="str">
        <f>CONCATENATE("     ","Services                                          ")</f>
        <v xml:space="preserve">     Services                                          </v>
      </c>
      <c r="C222" s="14"/>
      <c r="D222" s="1">
        <f>SUM(OSRRefD22_19x_0)</f>
        <v>5430.2699999999995</v>
      </c>
      <c r="E222" s="1"/>
      <c r="F222" s="5">
        <f t="shared" ref="F222:F227" si="78">IF(D$12=0,0,D222/D$12)</f>
        <v>3.6493705854388088E-3</v>
      </c>
      <c r="G222" s="1"/>
      <c r="H222" s="1">
        <f>SUM(OSRRefH22_19x_0)</f>
        <v>6177.27</v>
      </c>
      <c r="I222" s="1"/>
      <c r="J222" s="5">
        <f t="shared" ref="J222:J227" si="79">IF(H$12=0,0,H222/H$12)</f>
        <v>4.049879086202331E-3</v>
      </c>
      <c r="K222" s="1"/>
      <c r="L222" s="1">
        <f t="shared" ref="L222:L227" si="80">+D222-H222</f>
        <v>-747.00000000000091</v>
      </c>
      <c r="M222" s="1"/>
      <c r="N222" s="5">
        <f t="shared" ref="N222:N227" si="81">IF(H222=0,0,L222/H222)</f>
        <v>-0.12092720570737572</v>
      </c>
      <c r="O222" s="14"/>
      <c r="P222" s="1">
        <f>SUM(OSRRefP22_19x_0)</f>
        <v>18188.96</v>
      </c>
      <c r="Q222" s="1"/>
      <c r="R222" s="5">
        <f t="shared" ref="R222:R227" si="82">IF(P$12=0,0,P222/P$12)</f>
        <v>3.8450484392505242E-3</v>
      </c>
      <c r="S222" s="1"/>
      <c r="T222" s="1">
        <f>SUM(OSRRefT22_19x_0)</f>
        <v>17897.809999999998</v>
      </c>
      <c r="U222" s="1"/>
      <c r="V222" s="5">
        <f t="shared" ref="V222:V227" si="83">IF(T$12=0,0,T222/T$12)</f>
        <v>3.4878440960712438E-3</v>
      </c>
      <c r="W222" s="1"/>
      <c r="X222" s="1">
        <f t="shared" ref="X222:X227" si="84">+P222-T222</f>
        <v>291.15000000000146</v>
      </c>
      <c r="Y222" s="1"/>
      <c r="Z222" s="5">
        <f t="shared" ref="Z222:Z227" si="85">IF(T222=0,0,X222/T222)</f>
        <v>1.6267353380106365E-2</v>
      </c>
    </row>
    <row r="223" spans="1:26" s="24" customFormat="1" hidden="1" outlineLevel="2" x14ac:dyDescent="0.25">
      <c r="A223" s="28"/>
      <c r="B223" s="11" t="str">
        <f>CONCATENATE("          ", "6282", " - ", "JANITORIAL/EXTERMINATOR EXPENS")</f>
        <v xml:space="preserve">          6282 - JANITORIAL/EXTERMINATOR EXPENS</v>
      </c>
      <c r="C223" s="11"/>
      <c r="D223" s="6">
        <v>752.24</v>
      </c>
      <c r="E223" s="2"/>
      <c r="F223" s="7">
        <f t="shared" si="78"/>
        <v>5.0553702287188106E-4</v>
      </c>
      <c r="G223" s="2"/>
      <c r="H223" s="6">
        <v>876.59</v>
      </c>
      <c r="I223" s="2"/>
      <c r="J223" s="7">
        <f t="shared" si="79"/>
        <v>5.747010423980337E-4</v>
      </c>
      <c r="K223" s="2"/>
      <c r="L223" s="6">
        <f t="shared" si="80"/>
        <v>-124.35000000000002</v>
      </c>
      <c r="M223" s="2"/>
      <c r="N223" s="7">
        <f t="shared" si="81"/>
        <v>-0.14185651216646325</v>
      </c>
      <c r="O223" s="11"/>
      <c r="P223" s="6">
        <v>2934.16</v>
      </c>
      <c r="Q223" s="2"/>
      <c r="R223" s="7">
        <f t="shared" si="82"/>
        <v>6.2026566271580774E-4</v>
      </c>
      <c r="S223" s="2"/>
      <c r="T223" s="6">
        <v>2511.27</v>
      </c>
      <c r="U223" s="2"/>
      <c r="V223" s="7">
        <f t="shared" si="83"/>
        <v>4.8938491598362222E-4</v>
      </c>
      <c r="W223" s="2"/>
      <c r="X223" s="6">
        <f t="shared" si="84"/>
        <v>422.88999999999987</v>
      </c>
      <c r="Y223" s="2"/>
      <c r="Z223" s="7">
        <f t="shared" si="85"/>
        <v>0.16839686692390698</v>
      </c>
    </row>
    <row r="224" spans="1:26" s="24" customFormat="1" hidden="1" outlineLevel="2" x14ac:dyDescent="0.25">
      <c r="A224" s="28"/>
      <c r="B224" s="11" t="str">
        <f>CONCATENATE("          ", "6283", " - ", "PLANT SERVICE")</f>
        <v xml:space="preserve">          6283 - PLANT SERVICE</v>
      </c>
      <c r="C224" s="11"/>
      <c r="D224" s="6">
        <v>180.66</v>
      </c>
      <c r="E224" s="2"/>
      <c r="F224" s="7">
        <f t="shared" si="78"/>
        <v>1.2141114345426199E-4</v>
      </c>
      <c r="G224" s="2"/>
      <c r="H224" s="6">
        <v>173</v>
      </c>
      <c r="I224" s="2"/>
      <c r="J224" s="7">
        <f t="shared" si="79"/>
        <v>1.1342050483676498E-4</v>
      </c>
      <c r="K224" s="2"/>
      <c r="L224" s="6">
        <f t="shared" si="80"/>
        <v>7.6599999999999966</v>
      </c>
      <c r="M224" s="2"/>
      <c r="N224" s="7">
        <f t="shared" si="81"/>
        <v>4.4277456647398822E-2</v>
      </c>
      <c r="O224" s="11"/>
      <c r="P224" s="6">
        <v>541.98</v>
      </c>
      <c r="Q224" s="2"/>
      <c r="R224" s="7">
        <f t="shared" si="82"/>
        <v>1.1457166067246281E-4</v>
      </c>
      <c r="S224" s="2"/>
      <c r="T224" s="6">
        <v>519</v>
      </c>
      <c r="U224" s="2"/>
      <c r="V224" s="7">
        <f t="shared" si="83"/>
        <v>1.0114036778024662E-4</v>
      </c>
      <c r="W224" s="2"/>
      <c r="X224" s="6">
        <f t="shared" si="84"/>
        <v>22.980000000000018</v>
      </c>
      <c r="Y224" s="2"/>
      <c r="Z224" s="7">
        <f t="shared" si="85"/>
        <v>4.4277456647398877E-2</v>
      </c>
    </row>
    <row r="225" spans="1:26" s="24" customFormat="1" hidden="1" outlineLevel="2" x14ac:dyDescent="0.25">
      <c r="A225" s="28"/>
      <c r="B225" s="11" t="str">
        <f>CONCATENATE("          ", "6284", " - ", "TRASH REMOVAL EXPENSE")</f>
        <v xml:space="preserve">          6284 - TRASH REMOVAL EXPENSE</v>
      </c>
      <c r="C225" s="11"/>
      <c r="D225" s="6">
        <v>371.82</v>
      </c>
      <c r="E225" s="2"/>
      <c r="F225" s="7">
        <f t="shared" si="78"/>
        <v>2.4987872998540734E-4</v>
      </c>
      <c r="G225" s="2"/>
      <c r="H225" s="6">
        <v>472.46</v>
      </c>
      <c r="I225" s="2"/>
      <c r="J225" s="7">
        <f t="shared" si="79"/>
        <v>3.0974943187964154E-4</v>
      </c>
      <c r="K225" s="2"/>
      <c r="L225" s="6">
        <f t="shared" si="80"/>
        <v>-100.63999999999999</v>
      </c>
      <c r="M225" s="2"/>
      <c r="N225" s="7">
        <f t="shared" si="81"/>
        <v>-0.21301274181941326</v>
      </c>
      <c r="O225" s="11"/>
      <c r="P225" s="6">
        <v>878.46</v>
      </c>
      <c r="Q225" s="2"/>
      <c r="R225" s="7">
        <f t="shared" si="82"/>
        <v>1.8570172521925474E-4</v>
      </c>
      <c r="S225" s="2"/>
      <c r="T225" s="6">
        <v>1075.3800000000001</v>
      </c>
      <c r="U225" s="2"/>
      <c r="V225" s="7">
        <f t="shared" si="83"/>
        <v>2.0956518054628443E-4</v>
      </c>
      <c r="W225" s="2"/>
      <c r="X225" s="6">
        <f t="shared" si="84"/>
        <v>-196.92000000000007</v>
      </c>
      <c r="Y225" s="2"/>
      <c r="Z225" s="7">
        <f t="shared" si="85"/>
        <v>-0.18311666573676286</v>
      </c>
    </row>
    <row r="226" spans="1:26" s="24" customFormat="1" hidden="1" outlineLevel="2" x14ac:dyDescent="0.25">
      <c r="A226" s="28"/>
      <c r="B226" s="11" t="str">
        <f>CONCATENATE("          ", "6285", " - ", "JANITORIAL SERVICES")</f>
        <v xml:space="preserve">          6285 - JANITORIAL SERVICES</v>
      </c>
      <c r="C226" s="11"/>
      <c r="D226" s="6">
        <v>3364.77</v>
      </c>
      <c r="E226" s="2"/>
      <c r="F226" s="7">
        <f t="shared" si="78"/>
        <v>2.2612674258861792E-3</v>
      </c>
      <c r="G226" s="2"/>
      <c r="H226" s="6">
        <v>3943.88</v>
      </c>
      <c r="I226" s="2"/>
      <c r="J226" s="7">
        <f t="shared" si="79"/>
        <v>2.5856465931538767E-3</v>
      </c>
      <c r="K226" s="2"/>
      <c r="L226" s="6">
        <f t="shared" si="80"/>
        <v>-579.11000000000013</v>
      </c>
      <c r="M226" s="2"/>
      <c r="N226" s="7">
        <f t="shared" si="81"/>
        <v>-0.14683763197663219</v>
      </c>
      <c r="O226" s="11"/>
      <c r="P226" s="6">
        <v>11654.33</v>
      </c>
      <c r="Q226" s="2"/>
      <c r="R226" s="7">
        <f t="shared" si="82"/>
        <v>2.4636627590038443E-3</v>
      </c>
      <c r="S226" s="2"/>
      <c r="T226" s="6">
        <v>11854.91</v>
      </c>
      <c r="U226" s="2"/>
      <c r="V226" s="7">
        <f t="shared" si="83"/>
        <v>2.3102311317952282E-3</v>
      </c>
      <c r="W226" s="2"/>
      <c r="X226" s="6">
        <f t="shared" si="84"/>
        <v>-200.57999999999993</v>
      </c>
      <c r="Y226" s="2"/>
      <c r="Z226" s="7">
        <f t="shared" si="85"/>
        <v>-1.6919571721759164E-2</v>
      </c>
    </row>
    <row r="227" spans="1:26" s="24" customFormat="1" hidden="1" outlineLevel="2" x14ac:dyDescent="0.25">
      <c r="A227" s="28"/>
      <c r="B227" s="11" t="str">
        <f>CONCATENATE("          ", "6286", " - ", "LAUNDRY EXPENSE")</f>
        <v xml:space="preserve">          6286 - LAUNDRY EXPENSE</v>
      </c>
      <c r="C227" s="11"/>
      <c r="D227" s="6">
        <v>760.78</v>
      </c>
      <c r="E227" s="2"/>
      <c r="F227" s="7">
        <f t="shared" si="78"/>
        <v>5.112762632410795E-4</v>
      </c>
      <c r="G227" s="2"/>
      <c r="H227" s="6">
        <v>711.34</v>
      </c>
      <c r="I227" s="2"/>
      <c r="J227" s="7">
        <f t="shared" si="79"/>
        <v>4.6636151393401393E-4</v>
      </c>
      <c r="K227" s="2"/>
      <c r="L227" s="6">
        <f t="shared" si="80"/>
        <v>49.439999999999941</v>
      </c>
      <c r="M227" s="2"/>
      <c r="N227" s="7">
        <f t="shared" si="81"/>
        <v>6.9502628841341604E-2</v>
      </c>
      <c r="O227" s="11"/>
      <c r="P227" s="6">
        <v>2180.0300000000002</v>
      </c>
      <c r="Q227" s="2"/>
      <c r="R227" s="7">
        <f t="shared" si="82"/>
        <v>4.6084663163915477E-4</v>
      </c>
      <c r="S227" s="2"/>
      <c r="T227" s="6">
        <v>1937.25</v>
      </c>
      <c r="U227" s="2"/>
      <c r="V227" s="7">
        <f t="shared" si="83"/>
        <v>3.7752249996586275E-4</v>
      </c>
      <c r="W227" s="2"/>
      <c r="X227" s="6">
        <f t="shared" si="84"/>
        <v>242.7800000000002</v>
      </c>
      <c r="Y227" s="2"/>
      <c r="Z227" s="7">
        <f t="shared" si="85"/>
        <v>0.12532197702929421</v>
      </c>
    </row>
    <row r="228" spans="1:26" s="29" customFormat="1" outlineLevel="1" collapsed="1" x14ac:dyDescent="0.25">
      <c r="A228" s="27"/>
      <c r="B228" s="14" t="str">
        <f>CONCATENATE("     ","Subscriptions &amp; Dues                              ")</f>
        <v xml:space="preserve">     Subscriptions &amp; Dues                              </v>
      </c>
      <c r="C228" s="14"/>
      <c r="D228" s="1">
        <f>SUM(OSRRefD22_20x_0)</f>
        <v>883.02</v>
      </c>
      <c r="E228" s="1"/>
      <c r="F228" s="5">
        <f t="shared" ref="F228:F230" si="86">IF(D$12=0,0,D228/D$12)</f>
        <v>5.9342670149995804E-4</v>
      </c>
      <c r="G228" s="1"/>
      <c r="H228" s="1">
        <f>SUM(OSRRefH22_20x_0)</f>
        <v>644.96</v>
      </c>
      <c r="I228" s="1"/>
      <c r="J228" s="5">
        <f t="shared" ref="J228:J230" si="87">IF(H$12=0,0,H228/H$12)</f>
        <v>4.2284213178913265E-4</v>
      </c>
      <c r="K228" s="1"/>
      <c r="L228" s="1">
        <f t="shared" ref="L228:L230" si="88">+D228-H228</f>
        <v>238.05999999999995</v>
      </c>
      <c r="M228" s="1"/>
      <c r="N228" s="5">
        <f t="shared" ref="N228:N230" si="89">IF(H228=0,0,L228/H228)</f>
        <v>0.36910816174646477</v>
      </c>
      <c r="O228" s="14"/>
      <c r="P228" s="1">
        <f>SUM(OSRRefP22_20x_0)</f>
        <v>2228.0500000000002</v>
      </c>
      <c r="Q228" s="1"/>
      <c r="R228" s="5">
        <f t="shared" ref="R228:R230" si="90">IF(P$12=0,0,P228/P$12)</f>
        <v>4.7099780169246243E-4</v>
      </c>
      <c r="S228" s="1"/>
      <c r="T228" s="1">
        <f>SUM(OSRRefT22_20x_0)</f>
        <v>2111.5300000000002</v>
      </c>
      <c r="U228" s="1"/>
      <c r="V228" s="5">
        <f t="shared" ref="V228:V230" si="91">IF(T$12=0,0,T228/T$12)</f>
        <v>4.1148539649137604E-4</v>
      </c>
      <c r="W228" s="1"/>
      <c r="X228" s="1">
        <f t="shared" ref="X228:X230" si="92">+P228-T228</f>
        <v>116.51999999999998</v>
      </c>
      <c r="Y228" s="1"/>
      <c r="Z228" s="5">
        <f t="shared" ref="Z228:Z230" si="93">IF(T228=0,0,X228/T228)</f>
        <v>5.5182734794201348E-2</v>
      </c>
    </row>
    <row r="229" spans="1:26" s="24" customFormat="1" hidden="1" outlineLevel="2" x14ac:dyDescent="0.25">
      <c r="A229" s="28"/>
      <c r="B229" s="11" t="str">
        <f>CONCATENATE("          ", "6258", " - ", "MEMBERSHIP DUES")</f>
        <v xml:space="preserve">          6258 - MEMBERSHIP DUES</v>
      </c>
      <c r="C229" s="11"/>
      <c r="D229" s="6">
        <v>250</v>
      </c>
      <c r="E229" s="2"/>
      <c r="F229" s="7">
        <f t="shared" si="86"/>
        <v>1.6801054944960421E-4</v>
      </c>
      <c r="G229" s="2"/>
      <c r="H229" s="6">
        <v>370</v>
      </c>
      <c r="I229" s="2"/>
      <c r="J229" s="7">
        <f t="shared" si="87"/>
        <v>2.4257564618267657E-4</v>
      </c>
      <c r="K229" s="2"/>
      <c r="L229" s="6">
        <f t="shared" si="88"/>
        <v>-120</v>
      </c>
      <c r="M229" s="2"/>
      <c r="N229" s="7">
        <f t="shared" si="89"/>
        <v>-0.32432432432432434</v>
      </c>
      <c r="O229" s="11"/>
      <c r="P229" s="6">
        <v>908.85</v>
      </c>
      <c r="Q229" s="2"/>
      <c r="R229" s="7">
        <f t="shared" si="90"/>
        <v>1.9212600797477366E-4</v>
      </c>
      <c r="S229" s="2"/>
      <c r="T229" s="6">
        <v>923.9</v>
      </c>
      <c r="U229" s="2"/>
      <c r="V229" s="7">
        <f t="shared" si="91"/>
        <v>1.8004544468626173E-4</v>
      </c>
      <c r="W229" s="2"/>
      <c r="X229" s="6">
        <f t="shared" si="92"/>
        <v>-15.049999999999955</v>
      </c>
      <c r="Y229" s="2"/>
      <c r="Z229" s="7">
        <f t="shared" si="93"/>
        <v>-1.628964173611858E-2</v>
      </c>
    </row>
    <row r="230" spans="1:26" s="24" customFormat="1" hidden="1" outlineLevel="2" x14ac:dyDescent="0.25">
      <c r="A230" s="28"/>
      <c r="B230" s="11" t="str">
        <f>CONCATENATE("          ", "6275", " - ", "SUBSCRIPTIONS")</f>
        <v xml:space="preserve">          6275 - SUBSCRIPTIONS</v>
      </c>
      <c r="C230" s="11"/>
      <c r="D230" s="6">
        <v>633.02</v>
      </c>
      <c r="E230" s="2"/>
      <c r="F230" s="7">
        <f t="shared" si="86"/>
        <v>4.2541615205035383E-4</v>
      </c>
      <c r="G230" s="2"/>
      <c r="H230" s="6">
        <v>274.95999999999998</v>
      </c>
      <c r="I230" s="2"/>
      <c r="J230" s="7">
        <f t="shared" si="87"/>
        <v>1.8026648560645606E-4</v>
      </c>
      <c r="K230" s="2"/>
      <c r="L230" s="6">
        <f t="shared" si="88"/>
        <v>358.06</v>
      </c>
      <c r="M230" s="2"/>
      <c r="N230" s="7">
        <f t="shared" si="89"/>
        <v>1.3022257782950248</v>
      </c>
      <c r="O230" s="11"/>
      <c r="P230" s="6">
        <v>1319.2</v>
      </c>
      <c r="Q230" s="2"/>
      <c r="R230" s="7">
        <f t="shared" si="90"/>
        <v>2.7887179371768872E-4</v>
      </c>
      <c r="S230" s="2"/>
      <c r="T230" s="6">
        <v>1187.6300000000001</v>
      </c>
      <c r="U230" s="2"/>
      <c r="V230" s="7">
        <f t="shared" si="91"/>
        <v>2.3143995180511425E-4</v>
      </c>
      <c r="W230" s="2"/>
      <c r="X230" s="6">
        <f t="shared" si="92"/>
        <v>131.56999999999994</v>
      </c>
      <c r="Y230" s="2"/>
      <c r="Z230" s="7">
        <f t="shared" si="93"/>
        <v>0.11078366157810086</v>
      </c>
    </row>
    <row r="231" spans="1:26" s="29" customFormat="1" outlineLevel="1" collapsed="1" x14ac:dyDescent="0.25">
      <c r="A231" s="27"/>
      <c r="B231" s="14" t="str">
        <f>CONCATENATE("     ","Supplies                                          ")</f>
        <v xml:space="preserve">     Supplies                                          </v>
      </c>
      <c r="C231" s="14"/>
      <c r="D231" s="1">
        <f>SUM(OSRRefD22_21x_0)</f>
        <v>27368.699999999997</v>
      </c>
      <c r="E231" s="1"/>
      <c r="F231" s="5">
        <f t="shared" ref="F231:F238" si="94">IF(D$12=0,0,D231/D$12)</f>
        <v>1.839292129888553E-2</v>
      </c>
      <c r="G231" s="1"/>
      <c r="H231" s="1">
        <f>SUM(OSRRefH22_21x_0)</f>
        <v>23172.58</v>
      </c>
      <c r="I231" s="1"/>
      <c r="J231" s="5">
        <f t="shared" ref="J231:J238" si="95">IF(H$12=0,0,H231/H$12)</f>
        <v>1.519217180329667E-2</v>
      </c>
      <c r="K231" s="1"/>
      <c r="L231" s="1">
        <f t="shared" ref="L231:L238" si="96">+D231-H231</f>
        <v>4196.1199999999953</v>
      </c>
      <c r="M231" s="1"/>
      <c r="N231" s="5">
        <f t="shared" ref="N231:N238" si="97">IF(H231=0,0,L231/H231)</f>
        <v>0.18108126069690966</v>
      </c>
      <c r="O231" s="14"/>
      <c r="P231" s="1">
        <f>SUM(OSRRefP22_21x_0)</f>
        <v>57370.770000000004</v>
      </c>
      <c r="Q231" s="1"/>
      <c r="R231" s="5">
        <f t="shared" ref="R231:R238" si="98">IF(P$12=0,0,P231/P$12)</f>
        <v>1.2127872602232387E-2</v>
      </c>
      <c r="S231" s="1"/>
      <c r="T231" s="1">
        <f>SUM(OSRRefT22_21x_0)</f>
        <v>69448.539999999979</v>
      </c>
      <c r="U231" s="1"/>
      <c r="V231" s="5">
        <f t="shared" ref="V231:V238" si="99">IF(T$12=0,0,T231/T$12)</f>
        <v>1.3533816719462749E-2</v>
      </c>
      <c r="W231" s="1"/>
      <c r="X231" s="1">
        <f t="shared" ref="X231:X238" si="100">+P231-T231</f>
        <v>-12077.769999999975</v>
      </c>
      <c r="Y231" s="1"/>
      <c r="Z231" s="5">
        <f t="shared" ref="Z231:Z238" si="101">IF(T231=0,0,X231/T231)</f>
        <v>-0.17390963150557201</v>
      </c>
    </row>
    <row r="232" spans="1:26" s="24" customFormat="1" hidden="1" outlineLevel="2" x14ac:dyDescent="0.25">
      <c r="A232" s="28"/>
      <c r="B232" s="11" t="str">
        <f>CONCATENATE("          ", "6234", " - ", "EXPENDABLE SUPPLIES &amp; EQUIPMEN")</f>
        <v xml:space="preserve">          6234 - EXPENDABLE SUPPLIES &amp; EQUIPMEN</v>
      </c>
      <c r="C232" s="11"/>
      <c r="D232" s="6"/>
      <c r="E232" s="2"/>
      <c r="F232" s="7">
        <f t="shared" si="94"/>
        <v>0</v>
      </c>
      <c r="G232" s="2"/>
      <c r="H232" s="6">
        <v>777.26</v>
      </c>
      <c r="I232" s="2"/>
      <c r="J232" s="7">
        <f t="shared" si="95"/>
        <v>5.0957931554580316E-4</v>
      </c>
      <c r="K232" s="2"/>
      <c r="L232" s="6">
        <f t="shared" si="96"/>
        <v>-777.26</v>
      </c>
      <c r="M232" s="2"/>
      <c r="N232" s="7">
        <f t="shared" si="97"/>
        <v>-1</v>
      </c>
      <c r="O232" s="11"/>
      <c r="P232" s="6">
        <v>2780.34</v>
      </c>
      <c r="Q232" s="2"/>
      <c r="R232" s="7">
        <f t="shared" si="98"/>
        <v>5.87748940983201E-4</v>
      </c>
      <c r="S232" s="2"/>
      <c r="T232" s="6">
        <v>2153.2199999999998</v>
      </c>
      <c r="U232" s="2"/>
      <c r="V232" s="7">
        <f t="shared" si="99"/>
        <v>4.1960975474331904E-4</v>
      </c>
      <c r="W232" s="2"/>
      <c r="X232" s="6">
        <f t="shared" si="100"/>
        <v>627.12000000000035</v>
      </c>
      <c r="Y232" s="2"/>
      <c r="Z232" s="7">
        <f t="shared" si="101"/>
        <v>0.29124752695962347</v>
      </c>
    </row>
    <row r="233" spans="1:26" s="24" customFormat="1" hidden="1" outlineLevel="2" x14ac:dyDescent="0.25">
      <c r="A233" s="28"/>
      <c r="B233" s="11" t="str">
        <f>CONCATENATE("          ", "6237", " - ", "JANITORIAL SUPPLIES")</f>
        <v xml:space="preserve">          6237 - JANITORIAL SUPPLIES</v>
      </c>
      <c r="C233" s="11"/>
      <c r="D233" s="6">
        <v>1260.17</v>
      </c>
      <c r="E233" s="2"/>
      <c r="F233" s="7">
        <f t="shared" si="94"/>
        <v>8.4688741639963097E-4</v>
      </c>
      <c r="G233" s="2"/>
      <c r="H233" s="6">
        <v>766.93</v>
      </c>
      <c r="I233" s="2"/>
      <c r="J233" s="7">
        <f t="shared" si="95"/>
        <v>5.0280686574832466E-4</v>
      </c>
      <c r="K233" s="2"/>
      <c r="L233" s="6">
        <f t="shared" si="96"/>
        <v>493.24000000000012</v>
      </c>
      <c r="M233" s="2"/>
      <c r="N233" s="7">
        <f t="shared" si="97"/>
        <v>0.64313561863533852</v>
      </c>
      <c r="O233" s="11"/>
      <c r="P233" s="6">
        <v>3049.51</v>
      </c>
      <c r="Q233" s="2"/>
      <c r="R233" s="7">
        <f t="shared" si="98"/>
        <v>6.4465003309583768E-4</v>
      </c>
      <c r="S233" s="2"/>
      <c r="T233" s="6">
        <v>2570.4899999999998</v>
      </c>
      <c r="U233" s="2"/>
      <c r="V233" s="7">
        <f t="shared" si="99"/>
        <v>5.0092544118583065E-4</v>
      </c>
      <c r="W233" s="2"/>
      <c r="X233" s="6">
        <f t="shared" si="100"/>
        <v>479.02000000000044</v>
      </c>
      <c r="Y233" s="2"/>
      <c r="Z233" s="7">
        <f t="shared" si="101"/>
        <v>0.18635357461028851</v>
      </c>
    </row>
    <row r="234" spans="1:26" s="24" customFormat="1" hidden="1" outlineLevel="2" x14ac:dyDescent="0.25">
      <c r="A234" s="28"/>
      <c r="B234" s="11" t="str">
        <f>CONCATENATE("          ", "6241", " - ", "OFFICE EXPENSE")</f>
        <v xml:space="preserve">          6241 - OFFICE EXPENSE</v>
      </c>
      <c r="C234" s="11"/>
      <c r="D234" s="6">
        <v>2982.56</v>
      </c>
      <c r="E234" s="2"/>
      <c r="F234" s="7">
        <f t="shared" si="94"/>
        <v>2.0044061774656462E-3</v>
      </c>
      <c r="G234" s="2"/>
      <c r="H234" s="6">
        <v>870.02</v>
      </c>
      <c r="I234" s="2"/>
      <c r="J234" s="7">
        <f t="shared" si="95"/>
        <v>5.7039368565365471E-4</v>
      </c>
      <c r="K234" s="2"/>
      <c r="L234" s="6">
        <f t="shared" si="96"/>
        <v>2112.54</v>
      </c>
      <c r="M234" s="2"/>
      <c r="N234" s="7">
        <f t="shared" si="97"/>
        <v>2.4281510769867358</v>
      </c>
      <c r="O234" s="11"/>
      <c r="P234" s="6">
        <v>10730.64</v>
      </c>
      <c r="Q234" s="2"/>
      <c r="R234" s="7">
        <f t="shared" si="98"/>
        <v>2.2683996547443745E-3</v>
      </c>
      <c r="S234" s="2"/>
      <c r="T234" s="6">
        <v>10213.469999999999</v>
      </c>
      <c r="U234" s="2"/>
      <c r="V234" s="7">
        <f t="shared" si="99"/>
        <v>1.99035474395475E-3</v>
      </c>
      <c r="W234" s="2"/>
      <c r="X234" s="6">
        <f t="shared" si="100"/>
        <v>517.17000000000007</v>
      </c>
      <c r="Y234" s="2"/>
      <c r="Z234" s="7">
        <f t="shared" si="101"/>
        <v>5.0636071775801969E-2</v>
      </c>
    </row>
    <row r="235" spans="1:26" s="24" customFormat="1" hidden="1" outlineLevel="2" x14ac:dyDescent="0.25">
      <c r="A235" s="28"/>
      <c r="B235" s="11" t="str">
        <f>CONCATENATE("          ", "6243", " - ", "PAPER SUPPLIES")</f>
        <v xml:space="preserve">          6243 - PAPER SUPPLIES</v>
      </c>
      <c r="C235" s="11"/>
      <c r="D235" s="6">
        <v>516.04999999999995</v>
      </c>
      <c r="E235" s="2"/>
      <c r="F235" s="7">
        <f t="shared" si="94"/>
        <v>3.4680737617387295E-4</v>
      </c>
      <c r="G235" s="2"/>
      <c r="H235" s="6">
        <v>8124.94</v>
      </c>
      <c r="I235" s="2"/>
      <c r="J235" s="7">
        <f t="shared" si="95"/>
        <v>5.3267907316093942E-3</v>
      </c>
      <c r="K235" s="2"/>
      <c r="L235" s="6">
        <f t="shared" si="96"/>
        <v>-7608.8899999999994</v>
      </c>
      <c r="M235" s="2"/>
      <c r="N235" s="7">
        <f t="shared" si="97"/>
        <v>-0.93648568481736483</v>
      </c>
      <c r="O235" s="11"/>
      <c r="P235" s="6">
        <v>3776.01</v>
      </c>
      <c r="Q235" s="2"/>
      <c r="R235" s="7">
        <f t="shared" si="98"/>
        <v>7.9822823059121431E-4</v>
      </c>
      <c r="S235" s="2"/>
      <c r="T235" s="6">
        <v>11489.45</v>
      </c>
      <c r="U235" s="2"/>
      <c r="V235" s="7">
        <f t="shared" si="99"/>
        <v>2.2390119433386407E-3</v>
      </c>
      <c r="W235" s="2"/>
      <c r="X235" s="6">
        <f t="shared" si="100"/>
        <v>-7713.4400000000005</v>
      </c>
      <c r="Y235" s="2"/>
      <c r="Z235" s="7">
        <f t="shared" si="101"/>
        <v>-0.67134980351539886</v>
      </c>
    </row>
    <row r="236" spans="1:26" s="24" customFormat="1" hidden="1" outlineLevel="2" x14ac:dyDescent="0.25">
      <c r="A236" s="28"/>
      <c r="B236" s="11" t="str">
        <f>CONCATENATE("          ", "6245", " - ", "PRINTING")</f>
        <v xml:space="preserve">          6245 - PRINTING</v>
      </c>
      <c r="C236" s="11"/>
      <c r="D236" s="6">
        <v>290.44</v>
      </c>
      <c r="E236" s="2"/>
      <c r="F236" s="7">
        <f t="shared" si="94"/>
        <v>1.9518793592857218E-4</v>
      </c>
      <c r="G236" s="2"/>
      <c r="H236" s="6">
        <v>3902.94</v>
      </c>
      <c r="I236" s="2"/>
      <c r="J236" s="7">
        <f t="shared" si="95"/>
        <v>2.5588059257086911E-3</v>
      </c>
      <c r="K236" s="2"/>
      <c r="L236" s="6">
        <f t="shared" si="96"/>
        <v>-3612.5</v>
      </c>
      <c r="M236" s="2"/>
      <c r="N236" s="7">
        <f t="shared" si="97"/>
        <v>-0.92558430311508755</v>
      </c>
      <c r="O236" s="11"/>
      <c r="P236" s="6">
        <v>5275.55</v>
      </c>
      <c r="Q236" s="2"/>
      <c r="R236" s="7">
        <f t="shared" si="98"/>
        <v>1.115222931585319E-3</v>
      </c>
      <c r="S236" s="2"/>
      <c r="T236" s="6">
        <v>5730.21</v>
      </c>
      <c r="U236" s="2"/>
      <c r="V236" s="7">
        <f t="shared" si="99"/>
        <v>1.1166773542544257E-3</v>
      </c>
      <c r="W236" s="2"/>
      <c r="X236" s="6">
        <f t="shared" si="100"/>
        <v>-454.65999999999985</v>
      </c>
      <c r="Y236" s="2"/>
      <c r="Z236" s="7">
        <f t="shared" si="101"/>
        <v>-7.934438702944567E-2</v>
      </c>
    </row>
    <row r="237" spans="1:26" s="24" customFormat="1" hidden="1" outlineLevel="2" x14ac:dyDescent="0.25">
      <c r="A237" s="28"/>
      <c r="B237" s="11" t="str">
        <f>CONCATENATE("          ", "6247", " - ", "STORE SUPPLIES")</f>
        <v xml:space="preserve">          6247 - STORE SUPPLIES</v>
      </c>
      <c r="C237" s="11"/>
      <c r="D237" s="6">
        <v>22319.48</v>
      </c>
      <c r="E237" s="2"/>
      <c r="F237" s="7">
        <f t="shared" si="94"/>
        <v>1.4999632392917808E-2</v>
      </c>
      <c r="G237" s="2"/>
      <c r="H237" s="6">
        <v>8730.49</v>
      </c>
      <c r="I237" s="2"/>
      <c r="J237" s="7">
        <f t="shared" si="95"/>
        <v>5.7237952790307996E-3</v>
      </c>
      <c r="K237" s="2"/>
      <c r="L237" s="6">
        <f t="shared" si="96"/>
        <v>13588.99</v>
      </c>
      <c r="M237" s="2"/>
      <c r="N237" s="7">
        <f t="shared" si="97"/>
        <v>1.556497974340501</v>
      </c>
      <c r="O237" s="11"/>
      <c r="P237" s="6">
        <v>31758.720000000001</v>
      </c>
      <c r="Q237" s="2"/>
      <c r="R237" s="7">
        <f t="shared" si="98"/>
        <v>6.7136228112324404E-3</v>
      </c>
      <c r="S237" s="2"/>
      <c r="T237" s="6">
        <v>36140.519999999997</v>
      </c>
      <c r="U237" s="2"/>
      <c r="V237" s="7">
        <f t="shared" si="99"/>
        <v>7.0429007409814224E-3</v>
      </c>
      <c r="W237" s="2"/>
      <c r="X237" s="6">
        <f t="shared" si="100"/>
        <v>-4381.7999999999956</v>
      </c>
      <c r="Y237" s="2"/>
      <c r="Z237" s="7">
        <f t="shared" si="101"/>
        <v>-0.12124341321043516</v>
      </c>
    </row>
    <row r="238" spans="1:26" s="24" customFormat="1" hidden="1" outlineLevel="2" x14ac:dyDescent="0.25">
      <c r="A238" s="28"/>
      <c r="B238" s="11" t="str">
        <f>CONCATENATE("          ", "6248", " - ", "UNIFORMS")</f>
        <v xml:space="preserve">          6248 - UNIFORMS</v>
      </c>
      <c r="C238" s="11"/>
      <c r="D238" s="6"/>
      <c r="E238" s="2"/>
      <c r="F238" s="7">
        <f t="shared" si="94"/>
        <v>0</v>
      </c>
      <c r="G238" s="2"/>
      <c r="H238" s="6"/>
      <c r="I238" s="2"/>
      <c r="J238" s="7">
        <f t="shared" si="95"/>
        <v>0</v>
      </c>
      <c r="K238" s="2"/>
      <c r="L238" s="6">
        <f t="shared" si="96"/>
        <v>0</v>
      </c>
      <c r="M238" s="2"/>
      <c r="N238" s="7">
        <f t="shared" si="97"/>
        <v>0</v>
      </c>
      <c r="O238" s="11"/>
      <c r="P238" s="6"/>
      <c r="Q238" s="2"/>
      <c r="R238" s="7">
        <f t="shared" si="98"/>
        <v>0</v>
      </c>
      <c r="S238" s="2"/>
      <c r="T238" s="6">
        <v>1151.18</v>
      </c>
      <c r="U238" s="2"/>
      <c r="V238" s="7">
        <f t="shared" si="99"/>
        <v>2.2433674100436282E-4</v>
      </c>
      <c r="W238" s="2"/>
      <c r="X238" s="6">
        <f t="shared" si="100"/>
        <v>-1151.18</v>
      </c>
      <c r="Y238" s="2"/>
      <c r="Z238" s="7">
        <f t="shared" si="101"/>
        <v>-1</v>
      </c>
    </row>
    <row r="239" spans="1:26" s="29" customFormat="1" outlineLevel="1" collapsed="1" x14ac:dyDescent="0.25">
      <c r="A239" s="27"/>
      <c r="B239" s="14" t="str">
        <f>CONCATENATE("     ","Telephone/Data Lines                              ")</f>
        <v xml:space="preserve">     Telephone/Data Lines                              </v>
      </c>
      <c r="C239" s="14"/>
      <c r="D239" s="1">
        <f>SUM(OSRRefD22_22x_0)</f>
        <v>6427.04</v>
      </c>
      <c r="E239" s="1"/>
      <c r="F239" s="5">
        <f t="shared" ref="F239:F241" si="102">IF(D$12=0,0,D239/D$12)</f>
        <v>4.3192420869383368E-3</v>
      </c>
      <c r="G239" s="1"/>
      <c r="H239" s="1">
        <f>SUM(OSRRefH22_22x_0)</f>
        <v>4817.8599999999997</v>
      </c>
      <c r="I239" s="1"/>
      <c r="J239" s="5">
        <f t="shared" ref="J239:J241" si="103">IF(H$12=0,0,H239/H$12)</f>
        <v>3.1586364938315406E-3</v>
      </c>
      <c r="K239" s="1"/>
      <c r="L239" s="1">
        <f t="shared" ref="L239:L241" si="104">+D239-H239</f>
        <v>1609.1800000000003</v>
      </c>
      <c r="M239" s="1"/>
      <c r="N239" s="5">
        <f t="shared" ref="N239:N241" si="105">IF(H239=0,0,L239/H239)</f>
        <v>0.33400306360085191</v>
      </c>
      <c r="O239" s="14"/>
      <c r="P239" s="1">
        <f>SUM(OSRRefP22_22x_0)</f>
        <v>11425.98</v>
      </c>
      <c r="Q239" s="1"/>
      <c r="R239" s="5">
        <f t="shared" ref="R239:R241" si="106">IF(P$12=0,0,P239/P$12)</f>
        <v>2.4153907956204041E-3</v>
      </c>
      <c r="S239" s="1"/>
      <c r="T239" s="1">
        <f>SUM(OSRRefT22_22x_0)</f>
        <v>10496.63</v>
      </c>
      <c r="U239" s="1"/>
      <c r="V239" s="5">
        <f t="shared" ref="V239:V241" si="107">IF(T$12=0,0,T239/T$12)</f>
        <v>2.0455356814126587E-3</v>
      </c>
      <c r="W239" s="1"/>
      <c r="X239" s="1">
        <f t="shared" ref="X239:X241" si="108">+P239-T239</f>
        <v>929.35000000000036</v>
      </c>
      <c r="Y239" s="1"/>
      <c r="Z239" s="5">
        <f t="shared" ref="Z239:Z241" si="109">IF(T239=0,0,X239/T239)</f>
        <v>8.853794027225885E-2</v>
      </c>
    </row>
    <row r="240" spans="1:26" s="24" customFormat="1" hidden="1" outlineLevel="2" x14ac:dyDescent="0.25">
      <c r="A240" s="28"/>
      <c r="B240" s="11" t="str">
        <f>CONCATENATE("          ", "6303", " - ", "DATA PHONE LINES")</f>
        <v xml:space="preserve">          6303 - DATA PHONE LINES</v>
      </c>
      <c r="C240" s="11"/>
      <c r="D240" s="6">
        <v>295</v>
      </c>
      <c r="E240" s="2"/>
      <c r="F240" s="7">
        <f t="shared" si="102"/>
        <v>1.9825244835053297E-4</v>
      </c>
      <c r="G240" s="2"/>
      <c r="H240" s="6"/>
      <c r="I240" s="2"/>
      <c r="J240" s="7">
        <f t="shared" si="103"/>
        <v>0</v>
      </c>
      <c r="K240" s="2"/>
      <c r="L240" s="6">
        <f t="shared" si="104"/>
        <v>295</v>
      </c>
      <c r="M240" s="2"/>
      <c r="N240" s="7">
        <f t="shared" si="105"/>
        <v>0</v>
      </c>
      <c r="O240" s="11"/>
      <c r="P240" s="6">
        <v>885</v>
      </c>
      <c r="Q240" s="2"/>
      <c r="R240" s="7">
        <f t="shared" si="106"/>
        <v>1.8708424608865565E-4</v>
      </c>
      <c r="S240" s="2"/>
      <c r="T240" s="6">
        <v>590</v>
      </c>
      <c r="U240" s="2"/>
      <c r="V240" s="7">
        <f t="shared" si="107"/>
        <v>1.1497652599295859E-4</v>
      </c>
      <c r="W240" s="2"/>
      <c r="X240" s="6">
        <f t="shared" si="108"/>
        <v>295</v>
      </c>
      <c r="Y240" s="2"/>
      <c r="Z240" s="7">
        <f t="shared" si="109"/>
        <v>0.5</v>
      </c>
    </row>
    <row r="241" spans="1:26" s="24" customFormat="1" hidden="1" outlineLevel="2" x14ac:dyDescent="0.25">
      <c r="A241" s="28"/>
      <c r="B241" s="11" t="str">
        <f>CONCATENATE("          ", "6309", " - ", "TELEPHONE")</f>
        <v xml:space="preserve">          6309 - TELEPHONE</v>
      </c>
      <c r="C241" s="11"/>
      <c r="D241" s="6">
        <v>6132.04</v>
      </c>
      <c r="E241" s="2"/>
      <c r="F241" s="7">
        <f t="shared" si="102"/>
        <v>4.1209896385878035E-3</v>
      </c>
      <c r="G241" s="2"/>
      <c r="H241" s="6">
        <v>4817.8599999999997</v>
      </c>
      <c r="I241" s="2"/>
      <c r="J241" s="7">
        <f t="shared" si="103"/>
        <v>3.1586364938315406E-3</v>
      </c>
      <c r="K241" s="2"/>
      <c r="L241" s="6">
        <f t="shared" si="104"/>
        <v>1314.1800000000003</v>
      </c>
      <c r="M241" s="2"/>
      <c r="N241" s="7">
        <f t="shared" si="105"/>
        <v>0.27277255877090667</v>
      </c>
      <c r="O241" s="11"/>
      <c r="P241" s="6">
        <v>10540.98</v>
      </c>
      <c r="Q241" s="2"/>
      <c r="R241" s="7">
        <f t="shared" si="106"/>
        <v>2.2283065495317484E-3</v>
      </c>
      <c r="S241" s="2"/>
      <c r="T241" s="6">
        <v>9906.6299999999992</v>
      </c>
      <c r="U241" s="2"/>
      <c r="V241" s="7">
        <f t="shared" si="107"/>
        <v>1.9305591554197002E-3</v>
      </c>
      <c r="W241" s="2"/>
      <c r="X241" s="6">
        <f t="shared" si="108"/>
        <v>634.35000000000036</v>
      </c>
      <c r="Y241" s="2"/>
      <c r="Z241" s="7">
        <f t="shared" si="109"/>
        <v>6.4032874953440316E-2</v>
      </c>
    </row>
    <row r="242" spans="1:26" s="29" customFormat="1" outlineLevel="1" collapsed="1" x14ac:dyDescent="0.25">
      <c r="A242" s="27"/>
      <c r="B242" s="14" t="str">
        <f>CONCATENATE("     ","Training                                          ")</f>
        <v xml:space="preserve">     Training                                          </v>
      </c>
      <c r="C242" s="14"/>
      <c r="D242" s="1">
        <f>SUM(OSRRefD22_23x_0)</f>
        <v>-4806.29</v>
      </c>
      <c r="E242" s="1"/>
      <c r="F242" s="5">
        <f t="shared" ref="F242:F247" si="110">IF(D$12=0,0,D242/D$12)</f>
        <v>-3.2300296948565527E-3</v>
      </c>
      <c r="G242" s="1"/>
      <c r="H242" s="1">
        <f>SUM(OSRRefH22_23x_0)</f>
        <v>1679.65</v>
      </c>
      <c r="I242" s="1"/>
      <c r="J242" s="5">
        <f t="shared" ref="J242:J247" si="111">IF(H$12=0,0,H242/H$12)</f>
        <v>1.1011950921911695E-3</v>
      </c>
      <c r="K242" s="1"/>
      <c r="L242" s="1">
        <f t="shared" ref="L242:L247" si="112">+D242-H242</f>
        <v>-6485.9400000000005</v>
      </c>
      <c r="M242" s="1"/>
      <c r="N242" s="5">
        <f t="shared" ref="N242:N247" si="113">IF(H242=0,0,L242/H242)</f>
        <v>-3.8614830470633765</v>
      </c>
      <c r="O242" s="14"/>
      <c r="P242" s="1">
        <f>SUM(OSRRefP22_23x_0)</f>
        <v>2516.2399999999998</v>
      </c>
      <c r="Q242" s="1"/>
      <c r="R242" s="5">
        <f t="shared" ref="R242:R247" si="114">IF(P$12=0,0,P242/P$12)</f>
        <v>5.3191961963629242E-4</v>
      </c>
      <c r="S242" s="1"/>
      <c r="T242" s="1">
        <f>SUM(OSRRefT22_23x_0)</f>
        <v>-76.44</v>
      </c>
      <c r="U242" s="1"/>
      <c r="V242" s="5">
        <f t="shared" ref="V242:V247" si="115">IF(T$12=0,0,T242/T$12)</f>
        <v>-1.4896280757460599E-5</v>
      </c>
      <c r="W242" s="1"/>
      <c r="X242" s="1">
        <f t="shared" ref="X242:X247" si="116">+P242-T242</f>
        <v>2592.6799999999998</v>
      </c>
      <c r="Y242" s="1"/>
      <c r="Z242" s="5">
        <f t="shared" ref="Z242:Z247" si="117">IF(T242=0,0,X242/T242)</f>
        <v>-33.917844060701199</v>
      </c>
    </row>
    <row r="243" spans="1:26" s="24" customFormat="1" hidden="1" outlineLevel="2" x14ac:dyDescent="0.25">
      <c r="A243" s="28"/>
      <c r="B243" s="11" t="str">
        <f>CONCATENATE("          ", "6376", " - ", "TRAINING")</f>
        <v xml:space="preserve">          6376 - TRAINING</v>
      </c>
      <c r="C243" s="11"/>
      <c r="D243" s="6">
        <v>-4806.29</v>
      </c>
      <c r="E243" s="2"/>
      <c r="F243" s="7">
        <f t="shared" si="110"/>
        <v>-3.2300296948565527E-3</v>
      </c>
      <c r="G243" s="2"/>
      <c r="H243" s="6">
        <v>1679.65</v>
      </c>
      <c r="I243" s="2"/>
      <c r="J243" s="7">
        <f t="shared" si="111"/>
        <v>1.1011950921911695E-3</v>
      </c>
      <c r="K243" s="2"/>
      <c r="L243" s="6">
        <f t="shared" si="112"/>
        <v>-6485.9400000000005</v>
      </c>
      <c r="M243" s="2"/>
      <c r="N243" s="7">
        <f t="shared" si="113"/>
        <v>-3.8614830470633765</v>
      </c>
      <c r="O243" s="11"/>
      <c r="P243" s="6">
        <v>2516.2399999999998</v>
      </c>
      <c r="Q243" s="2"/>
      <c r="R243" s="7">
        <f t="shared" si="114"/>
        <v>5.3191961963629242E-4</v>
      </c>
      <c r="S243" s="2"/>
      <c r="T243" s="6">
        <v>-76.44</v>
      </c>
      <c r="U243" s="2"/>
      <c r="V243" s="7">
        <f t="shared" si="115"/>
        <v>-1.4896280757460599E-5</v>
      </c>
      <c r="W243" s="2"/>
      <c r="X243" s="6">
        <f t="shared" si="116"/>
        <v>2592.6799999999998</v>
      </c>
      <c r="Y243" s="2"/>
      <c r="Z243" s="7">
        <f t="shared" si="117"/>
        <v>-33.917844060701199</v>
      </c>
    </row>
    <row r="244" spans="1:26" s="29" customFormat="1" outlineLevel="1" collapsed="1" x14ac:dyDescent="0.25">
      <c r="A244" s="27"/>
      <c r="B244" s="14" t="str">
        <f>CONCATENATE("     ","Travel                                            ")</f>
        <v xml:space="preserve">     Travel                                            </v>
      </c>
      <c r="C244" s="14"/>
      <c r="D244" s="1">
        <f>SUM(OSRRefD22_24x_0)</f>
        <v>207.82999999999998</v>
      </c>
      <c r="E244" s="1"/>
      <c r="F244" s="5">
        <f t="shared" si="110"/>
        <v>1.3967052996844497E-4</v>
      </c>
      <c r="G244" s="1"/>
      <c r="H244" s="1">
        <f>SUM(OSRRefH22_24x_0)</f>
        <v>193.42</v>
      </c>
      <c r="I244" s="1"/>
      <c r="J244" s="5">
        <f t="shared" si="111"/>
        <v>1.2680805806663053E-4</v>
      </c>
      <c r="K244" s="1"/>
      <c r="L244" s="1">
        <f t="shared" si="112"/>
        <v>14.409999999999997</v>
      </c>
      <c r="M244" s="1"/>
      <c r="N244" s="5">
        <f t="shared" si="113"/>
        <v>7.4501085720194385E-2</v>
      </c>
      <c r="O244" s="14"/>
      <c r="P244" s="1">
        <f>SUM(OSRRefP22_24x_0)</f>
        <v>613.86</v>
      </c>
      <c r="Q244" s="1"/>
      <c r="R244" s="5">
        <f t="shared" si="114"/>
        <v>1.2976670655817193E-4</v>
      </c>
      <c r="S244" s="1"/>
      <c r="T244" s="1">
        <f>SUM(OSRRefT22_24x_0)</f>
        <v>797.64</v>
      </c>
      <c r="U244" s="1"/>
      <c r="V244" s="5">
        <f t="shared" si="115"/>
        <v>1.5544046812376861E-4</v>
      </c>
      <c r="W244" s="1"/>
      <c r="X244" s="1">
        <f t="shared" si="116"/>
        <v>-183.77999999999997</v>
      </c>
      <c r="Y244" s="1"/>
      <c r="Z244" s="5">
        <f t="shared" si="117"/>
        <v>-0.23040469384684817</v>
      </c>
    </row>
    <row r="245" spans="1:26" s="24" customFormat="1" hidden="1" outlineLevel="2" x14ac:dyDescent="0.25">
      <c r="A245" s="28"/>
      <c r="B245" s="11" t="str">
        <f>CONCATENATE("          ", "6292", " - ", "TRAVEL/CONFERENCE")</f>
        <v xml:space="preserve">          6292 - TRAVEL/CONFERENCE</v>
      </c>
      <c r="C245" s="11"/>
      <c r="D245" s="6">
        <v>91.13</v>
      </c>
      <c r="E245" s="2"/>
      <c r="F245" s="7">
        <f t="shared" si="110"/>
        <v>6.1243205485369723E-5</v>
      </c>
      <c r="G245" s="2"/>
      <c r="H245" s="6">
        <v>115.39</v>
      </c>
      <c r="I245" s="2"/>
      <c r="J245" s="7">
        <f t="shared" si="111"/>
        <v>7.5650821116267695E-5</v>
      </c>
      <c r="K245" s="2"/>
      <c r="L245" s="6">
        <f t="shared" si="112"/>
        <v>-24.260000000000005</v>
      </c>
      <c r="M245" s="2"/>
      <c r="N245" s="7">
        <f t="shared" si="113"/>
        <v>-0.21024352196897483</v>
      </c>
      <c r="O245" s="11"/>
      <c r="P245" s="6">
        <v>341.77</v>
      </c>
      <c r="Q245" s="2"/>
      <c r="R245" s="7">
        <f t="shared" si="114"/>
        <v>7.2248342130756875E-5</v>
      </c>
      <c r="S245" s="2"/>
      <c r="T245" s="6">
        <v>468.87</v>
      </c>
      <c r="U245" s="2"/>
      <c r="V245" s="7">
        <f t="shared" si="115"/>
        <v>9.1371260580200826E-5</v>
      </c>
      <c r="W245" s="2"/>
      <c r="X245" s="6">
        <f t="shared" si="116"/>
        <v>-127.10000000000002</v>
      </c>
      <c r="Y245" s="2"/>
      <c r="Z245" s="7">
        <f t="shared" si="117"/>
        <v>-0.27107727088532008</v>
      </c>
    </row>
    <row r="246" spans="1:26" s="24" customFormat="1" hidden="1" outlineLevel="2" x14ac:dyDescent="0.25">
      <c r="A246" s="28"/>
      <c r="B246" s="11" t="str">
        <f>CONCATENATE("          ", "6294", " - ", "TRAVEL OPERATIONAL")</f>
        <v xml:space="preserve">          6294 - TRAVEL OPERATIONAL</v>
      </c>
      <c r="C246" s="11"/>
      <c r="D246" s="6">
        <v>33.43</v>
      </c>
      <c r="E246" s="2"/>
      <c r="F246" s="7">
        <f t="shared" si="110"/>
        <v>2.2466370672401076E-5</v>
      </c>
      <c r="G246" s="2"/>
      <c r="H246" s="6">
        <v>55.81</v>
      </c>
      <c r="I246" s="2"/>
      <c r="J246" s="7">
        <f t="shared" si="111"/>
        <v>3.6589585982311297E-5</v>
      </c>
      <c r="K246" s="2"/>
      <c r="L246" s="6">
        <f t="shared" si="112"/>
        <v>-22.380000000000003</v>
      </c>
      <c r="M246" s="2"/>
      <c r="N246" s="7">
        <f t="shared" si="113"/>
        <v>-0.40100340440781224</v>
      </c>
      <c r="O246" s="11"/>
      <c r="P246" s="6">
        <v>102.1</v>
      </c>
      <c r="Q246" s="2"/>
      <c r="R246" s="7">
        <f t="shared" si="114"/>
        <v>2.1583391554408745E-5</v>
      </c>
      <c r="S246" s="2"/>
      <c r="T246" s="6">
        <v>255.77</v>
      </c>
      <c r="U246" s="2"/>
      <c r="V246" s="7">
        <f t="shared" si="115"/>
        <v>4.984329839528647E-5</v>
      </c>
      <c r="W246" s="2"/>
      <c r="X246" s="6">
        <f t="shared" si="116"/>
        <v>-153.67000000000002</v>
      </c>
      <c r="Y246" s="2"/>
      <c r="Z246" s="7">
        <f t="shared" si="117"/>
        <v>-0.6008132306369004</v>
      </c>
    </row>
    <row r="247" spans="1:26" s="24" customFormat="1" hidden="1" outlineLevel="2" x14ac:dyDescent="0.25">
      <c r="A247" s="28"/>
      <c r="B247" s="11" t="str">
        <f>CONCATENATE("          ", "6298", " - ", "VEHICLE MILEAGE")</f>
        <v xml:space="preserve">          6298 - VEHICLE MILEAGE</v>
      </c>
      <c r="C247" s="11"/>
      <c r="D247" s="6">
        <v>83.27</v>
      </c>
      <c r="E247" s="2"/>
      <c r="F247" s="7">
        <f t="shared" si="110"/>
        <v>5.5960953810674166E-5</v>
      </c>
      <c r="G247" s="2"/>
      <c r="H247" s="6">
        <v>22.22</v>
      </c>
      <c r="I247" s="2"/>
      <c r="J247" s="7">
        <f t="shared" si="111"/>
        <v>1.4567650968051549E-5</v>
      </c>
      <c r="K247" s="2"/>
      <c r="L247" s="6">
        <f t="shared" si="112"/>
        <v>61.05</v>
      </c>
      <c r="M247" s="2"/>
      <c r="N247" s="7">
        <f t="shared" si="113"/>
        <v>2.7475247524752477</v>
      </c>
      <c r="O247" s="11"/>
      <c r="P247" s="6">
        <v>169.99</v>
      </c>
      <c r="Q247" s="2"/>
      <c r="R247" s="7">
        <f t="shared" si="114"/>
        <v>3.5934972873006295E-5</v>
      </c>
      <c r="S247" s="2"/>
      <c r="T247" s="6">
        <v>73</v>
      </c>
      <c r="U247" s="2"/>
      <c r="V247" s="7">
        <f t="shared" si="115"/>
        <v>1.4225909148281315E-5</v>
      </c>
      <c r="W247" s="2"/>
      <c r="X247" s="6">
        <f t="shared" si="116"/>
        <v>96.990000000000009</v>
      </c>
      <c r="Y247" s="2"/>
      <c r="Z247" s="7">
        <f t="shared" si="117"/>
        <v>1.3286301369863014</v>
      </c>
    </row>
    <row r="248" spans="1:26" s="29" customFormat="1" outlineLevel="1" collapsed="1" x14ac:dyDescent="0.25">
      <c r="A248" s="27"/>
      <c r="B248" s="14" t="str">
        <f>CONCATENATE("     ","Utilities                                         ")</f>
        <v xml:space="preserve">     Utilities                                         </v>
      </c>
      <c r="C248" s="14"/>
      <c r="D248" s="1">
        <f>SUM(OSRRefD22_25x_0)</f>
        <v>6647.02</v>
      </c>
      <c r="E248" s="1"/>
      <c r="F248" s="5">
        <f t="shared" ref="F248:F249" si="118">IF(D$12=0,0,D248/D$12)</f>
        <v>4.4670779296100329E-3</v>
      </c>
      <c r="G248" s="1"/>
      <c r="H248" s="1">
        <f>SUM(OSRRefH22_25x_0)</f>
        <v>5524.41</v>
      </c>
      <c r="I248" s="1"/>
      <c r="J248" s="5">
        <f t="shared" ref="J248:J249" si="119">IF(H$12=0,0,H248/H$12)</f>
        <v>3.6218576365622708E-3</v>
      </c>
      <c r="K248" s="1"/>
      <c r="L248" s="1">
        <f t="shared" ref="L248:L249" si="120">+D248-H248</f>
        <v>1122.6100000000006</v>
      </c>
      <c r="M248" s="1"/>
      <c r="N248" s="5">
        <f t="shared" ref="N248:N249" si="121">IF(H248=0,0,L248/H248)</f>
        <v>0.20320903046660196</v>
      </c>
      <c r="O248" s="14"/>
      <c r="P248" s="1">
        <f>SUM(OSRRefP22_25x_0)</f>
        <v>12392.92</v>
      </c>
      <c r="Q248" s="1"/>
      <c r="R248" s="5">
        <f t="shared" ref="R248:R249" si="122">IF(P$12=0,0,P248/P$12)</f>
        <v>2.6197967175559576E-3</v>
      </c>
      <c r="S248" s="1"/>
      <c r="T248" s="1">
        <f>SUM(OSRRefT22_25x_0)</f>
        <v>19739.769999999997</v>
      </c>
      <c r="U248" s="1"/>
      <c r="V248" s="5">
        <f t="shared" ref="V248:V249" si="123">IF(T$12=0,0,T248/T$12)</f>
        <v>3.8467969127119043E-3</v>
      </c>
      <c r="W248" s="1"/>
      <c r="X248" s="1">
        <f t="shared" ref="X248:X249" si="124">+P248-T248</f>
        <v>-7346.8499999999967</v>
      </c>
      <c r="Y248" s="1"/>
      <c r="Z248" s="5">
        <f t="shared" ref="Z248:Z249" si="125">IF(T248=0,0,X248/T248)</f>
        <v>-0.37218518756804148</v>
      </c>
    </row>
    <row r="249" spans="1:26" s="24" customFormat="1" hidden="1" outlineLevel="2" x14ac:dyDescent="0.25">
      <c r="A249" s="28"/>
      <c r="B249" s="11" t="str">
        <f>CONCATENATE("          ", "6274", " - ", "UTILITIES")</f>
        <v xml:space="preserve">          6274 - UTILITIES</v>
      </c>
      <c r="C249" s="11"/>
      <c r="D249" s="6">
        <v>6647.02</v>
      </c>
      <c r="E249" s="2"/>
      <c r="F249" s="7">
        <f t="shared" si="118"/>
        <v>4.4670779296100329E-3</v>
      </c>
      <c r="G249" s="2"/>
      <c r="H249" s="6">
        <v>5524.41</v>
      </c>
      <c r="I249" s="2"/>
      <c r="J249" s="7">
        <f t="shared" si="119"/>
        <v>3.6218576365622708E-3</v>
      </c>
      <c r="K249" s="2"/>
      <c r="L249" s="6">
        <f t="shared" si="120"/>
        <v>1122.6100000000006</v>
      </c>
      <c r="M249" s="2"/>
      <c r="N249" s="7">
        <f t="shared" si="121"/>
        <v>0.20320903046660196</v>
      </c>
      <c r="O249" s="11"/>
      <c r="P249" s="6">
        <v>12392.92</v>
      </c>
      <c r="Q249" s="2"/>
      <c r="R249" s="7">
        <f t="shared" si="122"/>
        <v>2.6197967175559576E-3</v>
      </c>
      <c r="S249" s="2"/>
      <c r="T249" s="6">
        <v>19739.769999999997</v>
      </c>
      <c r="U249" s="2"/>
      <c r="V249" s="7">
        <f t="shared" si="123"/>
        <v>3.8467969127119043E-3</v>
      </c>
      <c r="W249" s="2"/>
      <c r="X249" s="6">
        <f t="shared" si="124"/>
        <v>-7346.8499999999967</v>
      </c>
      <c r="Y249" s="2"/>
      <c r="Z249" s="7">
        <f t="shared" si="125"/>
        <v>-0.37218518756804148</v>
      </c>
    </row>
    <row r="250" spans="1:26" s="53" customFormat="1" x14ac:dyDescent="0.25">
      <c r="A250" s="37"/>
      <c r="B250" s="37"/>
      <c r="C250" s="37"/>
      <c r="D250" s="1"/>
      <c r="E250" s="1"/>
      <c r="F250" s="5"/>
      <c r="G250" s="1"/>
      <c r="H250" s="1"/>
      <c r="I250" s="1"/>
      <c r="J250" s="5"/>
      <c r="K250" s="1"/>
      <c r="L250" s="1"/>
      <c r="M250" s="1"/>
      <c r="N250" s="5"/>
      <c r="O250" s="37"/>
      <c r="P250" s="1"/>
      <c r="Q250" s="1"/>
      <c r="R250" s="5"/>
      <c r="S250" s="1"/>
      <c r="T250" s="1"/>
      <c r="U250" s="1"/>
      <c r="V250" s="5"/>
      <c r="W250" s="1"/>
      <c r="X250" s="1"/>
      <c r="Y250" s="1"/>
      <c r="Z250" s="5"/>
    </row>
    <row r="251" spans="1:26" s="23" customFormat="1" collapsed="1" x14ac:dyDescent="0.25">
      <c r="A251" s="10"/>
      <c r="B251" s="25" t="s">
        <v>0</v>
      </c>
      <c r="C251" s="10"/>
      <c r="D251" s="4">
        <f>SUM(OSRRefD25x_0)</f>
        <v>123340.45</v>
      </c>
      <c r="E251" s="4"/>
      <c r="F251" s="12">
        <f t="shared" ref="F251:F258" si="126">IF(D$12=0,0,D251/D$12)</f>
        <v>8.2889987095445733E-2</v>
      </c>
      <c r="G251" s="4"/>
      <c r="H251" s="4">
        <f>SUM(OSRRefH25x_0)</f>
        <v>80495.14</v>
      </c>
      <c r="I251" s="4"/>
      <c r="J251" s="12">
        <f t="shared" ref="J251:J258" si="127">IF(H$12=0,0,H251/H$12)</f>
        <v>5.2773407027202741E-2</v>
      </c>
      <c r="K251" s="4"/>
      <c r="L251" s="4">
        <f t="shared" ref="L251:L258" si="128">+D251-H251</f>
        <v>42845.31</v>
      </c>
      <c r="M251" s="4"/>
      <c r="N251" s="12">
        <f t="shared" ref="N251:N258" si="129">IF(H251=0,0,L251/H251)</f>
        <v>0.53227201045926498</v>
      </c>
      <c r="O251" s="10"/>
      <c r="P251" s="4">
        <f>SUM(OSRRefP25x_0)</f>
        <v>244543.30000000002</v>
      </c>
      <c r="Q251" s="4"/>
      <c r="R251" s="12">
        <f t="shared" ref="R251:R258" si="130">IF(P$12=0,0,P251/P$12)</f>
        <v>5.1695140018680162E-2</v>
      </c>
      <c r="S251" s="4"/>
      <c r="T251" s="4">
        <f>SUM(OSRRefT25x_0)</f>
        <v>232657.56</v>
      </c>
      <c r="U251" s="4"/>
      <c r="V251" s="12">
        <f t="shared" ref="V251:V258" si="131">IF(T$12=0,0,T251/T$12)</f>
        <v>4.5339250838641224E-2</v>
      </c>
      <c r="W251" s="4"/>
      <c r="X251" s="4">
        <f t="shared" ref="X251:X258" si="132">+P251-T251</f>
        <v>11885.74000000002</v>
      </c>
      <c r="Y251" s="4"/>
      <c r="Z251" s="12">
        <f t="shared" ref="Z251:Z258" si="133">IF(T251=0,0,X251/T251)</f>
        <v>5.1086841966364732E-2</v>
      </c>
    </row>
    <row r="252" spans="1:26" s="24" customFormat="1" hidden="1" outlineLevel="1" x14ac:dyDescent="0.25">
      <c r="A252" s="44"/>
      <c r="B252" s="11" t="str">
        <f>CONCATENATE("          ", "4098", " - ", "TAXABLE SALES-GRAD RENTALS")</f>
        <v xml:space="preserve">          4098 - TAXABLE SALES-GRAD RENTALS</v>
      </c>
      <c r="C252" s="11"/>
      <c r="D252" s="2">
        <f t="shared" ref="D252:D253" si="134">0</f>
        <v>0</v>
      </c>
      <c r="E252" s="2"/>
      <c r="F252" s="19">
        <f t="shared" si="126"/>
        <v>0</v>
      </c>
      <c r="G252" s="2"/>
      <c r="H252" s="2">
        <f>0</f>
        <v>0</v>
      </c>
      <c r="I252" s="2"/>
      <c r="J252" s="19">
        <f t="shared" si="127"/>
        <v>0</v>
      </c>
      <c r="K252" s="2"/>
      <c r="L252" s="2">
        <f t="shared" si="128"/>
        <v>0</v>
      </c>
      <c r="M252" s="2"/>
      <c r="N252" s="19">
        <f t="shared" si="129"/>
        <v>0</v>
      </c>
      <c r="O252" s="11"/>
      <c r="P252" s="2">
        <f>--1626.85</f>
        <v>1626.85</v>
      </c>
      <c r="Q252" s="2"/>
      <c r="R252" s="19">
        <f t="shared" si="130"/>
        <v>3.439073511291858E-4</v>
      </c>
      <c r="S252" s="2"/>
      <c r="T252" s="2">
        <f>0</f>
        <v>0</v>
      </c>
      <c r="U252" s="2"/>
      <c r="V252" s="19">
        <f t="shared" si="131"/>
        <v>0</v>
      </c>
      <c r="W252" s="2"/>
      <c r="X252" s="2">
        <f t="shared" si="132"/>
        <v>1626.85</v>
      </c>
      <c r="Y252" s="2"/>
      <c r="Z252" s="19">
        <f t="shared" si="133"/>
        <v>0</v>
      </c>
    </row>
    <row r="253" spans="1:26" s="24" customFormat="1" hidden="1" outlineLevel="1" x14ac:dyDescent="0.25">
      <c r="A253" s="44"/>
      <c r="B253" s="11" t="str">
        <f>CONCATENATE("          ", "4197", " - ", "NON-TAXABLE SALES-RETURNED CHE")</f>
        <v xml:space="preserve">          4197 - NON-TAXABLE SALES-RETURNED CHE</v>
      </c>
      <c r="C253" s="11"/>
      <c r="D253" s="2">
        <f t="shared" si="134"/>
        <v>0</v>
      </c>
      <c r="E253" s="2"/>
      <c r="F253" s="19">
        <f t="shared" si="126"/>
        <v>0</v>
      </c>
      <c r="G253" s="2"/>
      <c r="H253" s="2">
        <f>--130</f>
        <v>130</v>
      </c>
      <c r="I253" s="2"/>
      <c r="J253" s="19">
        <f t="shared" si="127"/>
        <v>8.5229281091210685E-5</v>
      </c>
      <c r="K253" s="2"/>
      <c r="L253" s="2">
        <f t="shared" si="128"/>
        <v>-130</v>
      </c>
      <c r="M253" s="2"/>
      <c r="N253" s="19">
        <f t="shared" si="129"/>
        <v>-1</v>
      </c>
      <c r="O253" s="11"/>
      <c r="P253" s="2">
        <f>--30</f>
        <v>30</v>
      </c>
      <c r="Q253" s="2"/>
      <c r="R253" s="19">
        <f t="shared" si="130"/>
        <v>6.3418388504629028E-6</v>
      </c>
      <c r="S253" s="2"/>
      <c r="T253" s="2">
        <f>--250</f>
        <v>250</v>
      </c>
      <c r="U253" s="2"/>
      <c r="V253" s="19">
        <f t="shared" si="131"/>
        <v>4.871886694616889E-5</v>
      </c>
      <c r="W253" s="2"/>
      <c r="X253" s="2">
        <f t="shared" si="132"/>
        <v>-220</v>
      </c>
      <c r="Y253" s="2"/>
      <c r="Z253" s="19">
        <f t="shared" si="133"/>
        <v>-0.88</v>
      </c>
    </row>
    <row r="254" spans="1:26" s="24" customFormat="1" hidden="1" outlineLevel="1" x14ac:dyDescent="0.25">
      <c r="A254" s="44"/>
      <c r="B254" s="11" t="str">
        <f>CONCATENATE("          ", "4198", " - ", "NON-TAXABLE SALES-GRAD RENTALS")</f>
        <v xml:space="preserve">          4198 - NON-TAXABLE SALES-GRAD RENTALS</v>
      </c>
      <c r="C254" s="11"/>
      <c r="D254" s="2">
        <f>--30</f>
        <v>30</v>
      </c>
      <c r="E254" s="2"/>
      <c r="F254" s="19">
        <f t="shared" si="126"/>
        <v>2.0161265933952504E-5</v>
      </c>
      <c r="G254" s="2"/>
      <c r="H254" s="2">
        <f>--30</f>
        <v>30</v>
      </c>
      <c r="I254" s="2"/>
      <c r="J254" s="19">
        <f t="shared" si="127"/>
        <v>1.9668295636433234E-5</v>
      </c>
      <c r="K254" s="2"/>
      <c r="L254" s="2">
        <f t="shared" si="128"/>
        <v>0</v>
      </c>
      <c r="M254" s="2"/>
      <c r="N254" s="19">
        <f t="shared" si="129"/>
        <v>0</v>
      </c>
      <c r="O254" s="11"/>
      <c r="P254" s="2">
        <f>--495</f>
        <v>495</v>
      </c>
      <c r="Q254" s="2"/>
      <c r="R254" s="19">
        <f t="shared" si="130"/>
        <v>1.0464034103263789E-4</v>
      </c>
      <c r="S254" s="2"/>
      <c r="T254" s="2">
        <f>--435</f>
        <v>435</v>
      </c>
      <c r="U254" s="2"/>
      <c r="V254" s="19">
        <f t="shared" si="131"/>
        <v>8.4770828486333862E-5</v>
      </c>
      <c r="W254" s="2"/>
      <c r="X254" s="2">
        <f t="shared" si="132"/>
        <v>60</v>
      </c>
      <c r="Y254" s="2"/>
      <c r="Z254" s="19">
        <f t="shared" si="133"/>
        <v>0.13793103448275862</v>
      </c>
    </row>
    <row r="255" spans="1:26" s="24" customFormat="1" hidden="1" outlineLevel="1" x14ac:dyDescent="0.25">
      <c r="A255" s="44"/>
      <c r="B255" s="11" t="str">
        <f>CONCATENATE("          ", "9150", " - ", "MISC. INCOME")</f>
        <v xml:space="preserve">          9150 - MISC. INCOME</v>
      </c>
      <c r="C255" s="11"/>
      <c r="D255" s="2">
        <f>--39218.84</f>
        <v>39218.839999999997</v>
      </c>
      <c r="E255" s="2"/>
      <c r="F255" s="19">
        <f t="shared" si="126"/>
        <v>2.635671542870446E-2</v>
      </c>
      <c r="G255" s="2"/>
      <c r="H255" s="2">
        <f>--79124.69</f>
        <v>79124.69</v>
      </c>
      <c r="I255" s="2"/>
      <c r="J255" s="19">
        <f t="shared" si="127"/>
        <v>5.1874926502037746E-2</v>
      </c>
      <c r="K255" s="2"/>
      <c r="L255" s="2">
        <f t="shared" si="128"/>
        <v>-39905.850000000006</v>
      </c>
      <c r="M255" s="2"/>
      <c r="N255" s="19">
        <f t="shared" si="129"/>
        <v>-0.50434131242725888</v>
      </c>
      <c r="O255" s="11"/>
      <c r="P255" s="2">
        <f>--137386.92</f>
        <v>137386.92000000001</v>
      </c>
      <c r="Q255" s="2"/>
      <c r="R255" s="19">
        <f t="shared" si="130"/>
        <v>2.9042856893381298E-2</v>
      </c>
      <c r="S255" s="2"/>
      <c r="T255" s="2">
        <f>--229402.44</f>
        <v>229402.44</v>
      </c>
      <c r="U255" s="2"/>
      <c r="V255" s="19">
        <f t="shared" si="131"/>
        <v>4.4704907805945965E-2</v>
      </c>
      <c r="W255" s="2"/>
      <c r="X255" s="2">
        <f t="shared" si="132"/>
        <v>-92015.51999999999</v>
      </c>
      <c r="Y255" s="2"/>
      <c r="Z255" s="19">
        <f t="shared" si="133"/>
        <v>-0.40110959587003514</v>
      </c>
    </row>
    <row r="256" spans="1:26" s="24" customFormat="1" hidden="1" outlineLevel="1" x14ac:dyDescent="0.25">
      <c r="A256" s="44"/>
      <c r="B256" s="11" t="str">
        <f>CONCATENATE("          ", "9151", " - ", "MISC. INCOME")</f>
        <v xml:space="preserve">          9151 - MISC. INCOME</v>
      </c>
      <c r="C256" s="11"/>
      <c r="D256" s="2">
        <f>--83458.02</f>
        <v>83458.02</v>
      </c>
      <c r="E256" s="2"/>
      <c r="F256" s="19">
        <f t="shared" si="126"/>
        <v>5.6087311184704232E-2</v>
      </c>
      <c r="G256" s="2"/>
      <c r="H256" s="2">
        <f>--665.9</f>
        <v>665.9</v>
      </c>
      <c r="I256" s="2"/>
      <c r="J256" s="19">
        <f t="shared" si="127"/>
        <v>4.3657060214336301E-4</v>
      </c>
      <c r="K256" s="2"/>
      <c r="L256" s="2">
        <f t="shared" si="128"/>
        <v>82792.12000000001</v>
      </c>
      <c r="M256" s="2"/>
      <c r="N256" s="19">
        <f t="shared" si="129"/>
        <v>124.33116083496023</v>
      </c>
      <c r="O256" s="11"/>
      <c r="P256" s="2">
        <f>--83193.51</f>
        <v>83193.509999999995</v>
      </c>
      <c r="Q256" s="2"/>
      <c r="R256" s="19">
        <f t="shared" si="130"/>
        <v>1.7586661127479135E-2</v>
      </c>
      <c r="S256" s="2"/>
      <c r="T256" s="2">
        <f>--1060.79</f>
        <v>1060.79</v>
      </c>
      <c r="U256" s="2"/>
      <c r="V256" s="19">
        <f t="shared" si="131"/>
        <v>2.0672194747130599E-4</v>
      </c>
      <c r="W256" s="2"/>
      <c r="X256" s="2">
        <f t="shared" si="132"/>
        <v>82132.72</v>
      </c>
      <c r="Y256" s="2"/>
      <c r="Z256" s="19">
        <f t="shared" si="133"/>
        <v>77.425993834783512</v>
      </c>
    </row>
    <row r="257" spans="1:26" s="24" customFormat="1" hidden="1" outlineLevel="1" x14ac:dyDescent="0.25">
      <c r="A257" s="44"/>
      <c r="B257" s="11" t="str">
        <f>CONCATENATE("          ", "9152", " - ", "MISC. INCOME")</f>
        <v xml:space="preserve">          9152 - MISC. INCOME</v>
      </c>
      <c r="C257" s="11"/>
      <c r="D257" s="2">
        <f>--633.59</f>
        <v>633.59</v>
      </c>
      <c r="E257" s="2"/>
      <c r="F257" s="19">
        <f t="shared" si="126"/>
        <v>4.2579921610309894E-4</v>
      </c>
      <c r="G257" s="2"/>
      <c r="H257" s="2">
        <f>--544.55</f>
        <v>544.54999999999995</v>
      </c>
      <c r="I257" s="2"/>
      <c r="J257" s="19">
        <f t="shared" si="127"/>
        <v>3.5701234629399058E-4</v>
      </c>
      <c r="K257" s="2"/>
      <c r="L257" s="2">
        <f t="shared" si="128"/>
        <v>89.040000000000077</v>
      </c>
      <c r="M257" s="2"/>
      <c r="N257" s="19">
        <f t="shared" si="129"/>
        <v>0.16351115600036742</v>
      </c>
      <c r="O257" s="11"/>
      <c r="P257" s="2">
        <f>--641.02</f>
        <v>641.02</v>
      </c>
      <c r="Q257" s="2"/>
      <c r="R257" s="19">
        <f t="shared" si="130"/>
        <v>1.3550818466412433E-4</v>
      </c>
      <c r="S257" s="2"/>
      <c r="T257" s="2">
        <f>--1509.33</f>
        <v>1509.33</v>
      </c>
      <c r="U257" s="2"/>
      <c r="V257" s="19">
        <f t="shared" si="131"/>
        <v>2.9413138979144434E-4</v>
      </c>
      <c r="W257" s="2"/>
      <c r="X257" s="2">
        <f t="shared" si="132"/>
        <v>-868.31</v>
      </c>
      <c r="Y257" s="2"/>
      <c r="Z257" s="19">
        <f t="shared" si="133"/>
        <v>-0.57529499844301779</v>
      </c>
    </row>
    <row r="258" spans="1:26" s="24" customFormat="1" hidden="1" outlineLevel="1" x14ac:dyDescent="0.25">
      <c r="A258" s="44"/>
      <c r="B258" s="11" t="str">
        <f>CONCATENATE("          ", "9160", " - ", "MISC. INCOME")</f>
        <v xml:space="preserve">          9160 - MISC. INCOME</v>
      </c>
      <c r="C258" s="11"/>
      <c r="D258" s="2">
        <f>0</f>
        <v>0</v>
      </c>
      <c r="E258" s="2"/>
      <c r="F258" s="19">
        <f t="shared" si="126"/>
        <v>0</v>
      </c>
      <c r="G258" s="2"/>
      <c r="H258" s="2">
        <f>0</f>
        <v>0</v>
      </c>
      <c r="I258" s="2"/>
      <c r="J258" s="19">
        <f t="shared" si="127"/>
        <v>0</v>
      </c>
      <c r="K258" s="2"/>
      <c r="L258" s="2">
        <f t="shared" si="128"/>
        <v>0</v>
      </c>
      <c r="M258" s="2"/>
      <c r="N258" s="19">
        <f t="shared" si="129"/>
        <v>0</v>
      </c>
      <c r="O258" s="11"/>
      <c r="P258" s="2">
        <f>--21170</f>
        <v>21170</v>
      </c>
      <c r="Q258" s="2"/>
      <c r="R258" s="19">
        <f t="shared" si="130"/>
        <v>4.4752242821433216E-3</v>
      </c>
      <c r="S258" s="2"/>
      <c r="T258" s="2">
        <f>0</f>
        <v>0</v>
      </c>
      <c r="U258" s="2"/>
      <c r="V258" s="19">
        <f t="shared" si="131"/>
        <v>0</v>
      </c>
      <c r="W258" s="2"/>
      <c r="X258" s="2">
        <f t="shared" si="132"/>
        <v>21170</v>
      </c>
      <c r="Y258" s="2"/>
      <c r="Z258" s="19">
        <f t="shared" si="133"/>
        <v>0</v>
      </c>
    </row>
    <row r="259" spans="1:26" x14ac:dyDescent="0.25">
      <c r="A259" s="9"/>
      <c r="B259" s="10"/>
      <c r="C259" s="10"/>
      <c r="D259" s="3"/>
      <c r="E259" s="3"/>
      <c r="F259" s="8"/>
      <c r="G259" s="3"/>
      <c r="H259" s="3"/>
      <c r="I259" s="3"/>
      <c r="J259" s="8"/>
      <c r="K259" s="3"/>
      <c r="L259" s="3"/>
      <c r="M259" s="3"/>
      <c r="N259" s="8"/>
      <c r="O259" s="10"/>
      <c r="P259" s="3"/>
      <c r="Q259" s="3"/>
      <c r="R259" s="8"/>
      <c r="S259" s="3"/>
      <c r="T259" s="3"/>
      <c r="U259" s="3"/>
      <c r="V259" s="8"/>
      <c r="W259" s="3"/>
      <c r="X259" s="3"/>
      <c r="Y259" s="3"/>
      <c r="Z259" s="8"/>
    </row>
    <row r="260" spans="1:26" s="23" customFormat="1" x14ac:dyDescent="0.25">
      <c r="A260" s="10"/>
      <c r="B260" s="26" t="s">
        <v>3</v>
      </c>
      <c r="C260" s="26"/>
      <c r="D260" s="21">
        <f>+D160-D162+D251</f>
        <v>311728.65999999893</v>
      </c>
      <c r="E260" s="13"/>
      <c r="F260" s="20">
        <f>IF(D$12=0,0,D260/D$12)</f>
        <v>0.20949481378315471</v>
      </c>
      <c r="G260" s="13"/>
      <c r="H260" s="21">
        <f>+H160-H162+H251</f>
        <v>245255.22999999981</v>
      </c>
      <c r="I260" s="13"/>
      <c r="J260" s="20">
        <f>IF(H$12=0,0,H260/H$12)</f>
        <v>0.16079174566738086</v>
      </c>
      <c r="K260" s="15"/>
      <c r="L260" s="21">
        <f>+D260-H260</f>
        <v>66473.42999999912</v>
      </c>
      <c r="M260" s="15"/>
      <c r="N260" s="20">
        <f>IF(H260=0,0,L260/H260)</f>
        <v>0.27103776747186664</v>
      </c>
      <c r="O260" s="25"/>
      <c r="P260" s="21">
        <f>+P160-P162+P251</f>
        <v>681174.60999999894</v>
      </c>
      <c r="Q260" s="13"/>
      <c r="R260" s="20">
        <f>IF(P$12=0,0,P260/P$12)</f>
        <v>0.14399665352156366</v>
      </c>
      <c r="S260" s="13"/>
      <c r="T260" s="21">
        <f>+T160-T162+T251</f>
        <v>670892.18000000063</v>
      </c>
      <c r="U260" s="13"/>
      <c r="V260" s="20">
        <f>IF(T$12=0,0,T260/T$12)</f>
        <v>0.13074042741058087</v>
      </c>
      <c r="W260" s="15"/>
      <c r="X260" s="21">
        <f>+P260-T260</f>
        <v>10282.429999998305</v>
      </c>
      <c r="Y260" s="15"/>
      <c r="Z260" s="20">
        <f>IF(T260=0,0,X260/T260)</f>
        <v>1.5326501495364419E-2</v>
      </c>
    </row>
    <row r="261" spans="1:26" x14ac:dyDescent="0.25">
      <c r="A261" s="9"/>
      <c r="B261" s="10"/>
      <c r="C261" s="9"/>
      <c r="D261" s="3"/>
      <c r="E261" s="3"/>
      <c r="F261" s="8"/>
      <c r="G261" s="3"/>
      <c r="H261" s="3"/>
      <c r="I261" s="3"/>
      <c r="J261" s="8"/>
      <c r="K261" s="3"/>
      <c r="L261" s="3"/>
      <c r="M261" s="3"/>
      <c r="N261" s="8"/>
      <c r="P261" s="3"/>
      <c r="Q261" s="3"/>
      <c r="R261" s="8"/>
      <c r="S261" s="3"/>
      <c r="T261" s="3"/>
      <c r="U261" s="3"/>
      <c r="V261" s="8"/>
      <c r="W261" s="3"/>
      <c r="X261" s="3"/>
      <c r="Y261" s="3"/>
      <c r="Z261" s="8"/>
    </row>
    <row r="262" spans="1:26" s="23" customFormat="1" x14ac:dyDescent="0.25">
      <c r="A262" s="51"/>
      <c r="B262" s="10" t="s">
        <v>13</v>
      </c>
      <c r="C262" s="10"/>
      <c r="D262" s="4">
        <v>103838.16</v>
      </c>
      <c r="E262" s="4"/>
      <c r="F262" s="12">
        <f>IF(D$12=0,0,D262/D$12)</f>
        <v>6.9783625261743656E-2</v>
      </c>
      <c r="G262" s="4"/>
      <c r="H262" s="4">
        <v>87742.89</v>
      </c>
      <c r="I262" s="4"/>
      <c r="J262" s="12">
        <f>IF(H$12=0,0,H262/H$12)</f>
        <v>5.7525103350501379E-2</v>
      </c>
      <c r="K262" s="4"/>
      <c r="L262" s="4">
        <f>+D262-H262</f>
        <v>16095.270000000004</v>
      </c>
      <c r="M262" s="4"/>
      <c r="N262" s="12">
        <f>IF(H262=0,0,L262/H262)</f>
        <v>0.18343674342160379</v>
      </c>
      <c r="O262" s="10"/>
      <c r="P262" s="4">
        <v>508117.2</v>
      </c>
      <c r="Q262" s="4"/>
      <c r="R262" s="12">
        <f>IF(P$12=0,0,P262/P$12)</f>
        <v>0.10741324665161431</v>
      </c>
      <c r="S262" s="4"/>
      <c r="T262" s="4">
        <v>455917.33999999997</v>
      </c>
      <c r="U262" s="4"/>
      <c r="V262" s="12">
        <f>IF(T$12=0,0,T262/T$12)</f>
        <v>8.8847104903644961E-2</v>
      </c>
      <c r="W262" s="4"/>
      <c r="X262" s="4">
        <f>+P262-T262</f>
        <v>52199.860000000044</v>
      </c>
      <c r="Y262" s="4"/>
      <c r="Z262" s="12">
        <f>IF(T262=0,0,X262/T262)</f>
        <v>0.11449413176520122</v>
      </c>
    </row>
    <row r="263" spans="1:26" x14ac:dyDescent="0.25">
      <c r="A263" s="9"/>
      <c r="B263" s="10"/>
      <c r="C263" s="10"/>
      <c r="D263" s="3"/>
      <c r="E263" s="3"/>
      <c r="F263" s="8"/>
      <c r="G263" s="3"/>
      <c r="H263" s="3"/>
      <c r="I263" s="3"/>
      <c r="J263" s="8"/>
      <c r="K263" s="3"/>
      <c r="L263" s="3"/>
      <c r="M263" s="3"/>
      <c r="N263" s="8"/>
      <c r="O263" s="10"/>
      <c r="P263" s="3"/>
      <c r="Q263" s="3"/>
      <c r="R263" s="8"/>
      <c r="S263" s="3"/>
      <c r="T263" s="3"/>
      <c r="U263" s="3"/>
      <c r="V263" s="8"/>
      <c r="W263" s="3"/>
      <c r="X263" s="3"/>
      <c r="Y263" s="3"/>
      <c r="Z263" s="8"/>
    </row>
    <row r="264" spans="1:26" s="23" customFormat="1" ht="15.75" thickBot="1" x14ac:dyDescent="0.3">
      <c r="A264" s="10"/>
      <c r="B264" s="26" t="s">
        <v>4</v>
      </c>
      <c r="C264" s="26"/>
      <c r="D264" s="35">
        <f>+D260-D262</f>
        <v>207890.49999999892</v>
      </c>
      <c r="E264" s="13"/>
      <c r="F264" s="30">
        <f>IF(D$12=0,0,D264/D$12)</f>
        <v>0.13971118852141104</v>
      </c>
      <c r="G264" s="13"/>
      <c r="H264" s="35">
        <f>+H260-H262</f>
        <v>157512.33999999979</v>
      </c>
      <c r="I264" s="13"/>
      <c r="J264" s="30">
        <f>IF(H$12=0,0,H264/H$12)</f>
        <v>0.10326664231687947</v>
      </c>
      <c r="K264" s="15"/>
      <c r="L264" s="35">
        <f>D264-H264</f>
        <v>50378.15999999913</v>
      </c>
      <c r="M264" s="15"/>
      <c r="N264" s="30">
        <f>IF(H264=0,0,L264/H264)</f>
        <v>0.31983627441506612</v>
      </c>
      <c r="O264" s="25"/>
      <c r="P264" s="35">
        <f>+P260-P262</f>
        <v>173057.40999999893</v>
      </c>
      <c r="Q264" s="13"/>
      <c r="R264" s="30">
        <f>IF(P$12=0,0,P264/P$12)</f>
        <v>3.6583406869949348E-2</v>
      </c>
      <c r="S264" s="13"/>
      <c r="T264" s="35">
        <f>+T260-T262</f>
        <v>214974.84000000067</v>
      </c>
      <c r="U264" s="13"/>
      <c r="V264" s="30">
        <f>IF(T$12=0,0,T264/T$12)</f>
        <v>4.1893322506935914E-2</v>
      </c>
      <c r="W264" s="15"/>
      <c r="X264" s="35">
        <f>P264-T264</f>
        <v>-41917.430000001739</v>
      </c>
      <c r="Y264" s="15"/>
      <c r="Z264" s="30">
        <f>IF(T264=0,0,X264/T264)</f>
        <v>-0.19498760878250501</v>
      </c>
    </row>
    <row r="265" spans="1:26" ht="15.75" thickTop="1" x14ac:dyDescent="0.25">
      <c r="A265" s="9"/>
      <c r="B265" s="9"/>
      <c r="C265" s="9"/>
      <c r="D265" s="3"/>
      <c r="E265" s="3"/>
      <c r="F265" s="8"/>
      <c r="G265" s="3"/>
      <c r="H265" s="3"/>
      <c r="I265" s="3"/>
      <c r="J265" s="8"/>
      <c r="K265" s="3"/>
      <c r="L265" s="3"/>
      <c r="M265" s="3"/>
      <c r="N265" s="8"/>
      <c r="P265" s="3"/>
      <c r="Q265" s="3"/>
      <c r="R265" s="8"/>
      <c r="S265" s="3"/>
      <c r="T265" s="3"/>
      <c r="U265" s="3"/>
      <c r="V265" s="8"/>
      <c r="W265" s="3"/>
      <c r="X265" s="3"/>
      <c r="Y265" s="3"/>
      <c r="Z265" s="8"/>
    </row>
    <row r="266" spans="1:26" x14ac:dyDescent="0.25">
      <c r="A266" s="9"/>
      <c r="B266" s="9"/>
      <c r="C266" s="9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s="23" customFormat="1" ht="15.75" thickBot="1" x14ac:dyDescent="0.3">
      <c r="A267" s="10"/>
      <c r="B267" s="26" t="s">
        <v>5</v>
      </c>
      <c r="C267" s="26"/>
      <c r="D267" s="36">
        <f>SUM(D264:D266)</f>
        <v>207890.49999999892</v>
      </c>
      <c r="E267" s="13"/>
      <c r="F267" s="31">
        <f>IF(D$12=0,0,D267/D$12)</f>
        <v>0.13971118852141104</v>
      </c>
      <c r="G267" s="13"/>
      <c r="H267" s="36">
        <f>SUM(H264:H266)</f>
        <v>157512.33999999979</v>
      </c>
      <c r="I267" s="13"/>
      <c r="J267" s="31">
        <f>IF(H$12=0,0,H267/H$12)</f>
        <v>0.10326664231687947</v>
      </c>
      <c r="K267" s="15"/>
      <c r="L267" s="36">
        <f>+D267-H267</f>
        <v>50378.15999999913</v>
      </c>
      <c r="M267" s="15"/>
      <c r="N267" s="31">
        <f>IF(H267=0,0,L267/H267)</f>
        <v>0.31983627441506612</v>
      </c>
      <c r="O267" s="25"/>
      <c r="P267" s="36">
        <f>SUM(P264:P266)</f>
        <v>173057.40999999893</v>
      </c>
      <c r="Q267" s="13"/>
      <c r="R267" s="31">
        <f>IF(P$12=0,0,P267/P$12)</f>
        <v>3.6583406869949348E-2</v>
      </c>
      <c r="S267" s="13"/>
      <c r="T267" s="36">
        <f>SUM(T264:T266)</f>
        <v>214974.84000000067</v>
      </c>
      <c r="U267" s="13"/>
      <c r="V267" s="31">
        <f>IF(T$12=0,0,T267/T$12)</f>
        <v>4.1893322506935914E-2</v>
      </c>
      <c r="W267" s="15"/>
      <c r="X267" s="36">
        <f>+P267-T267</f>
        <v>-41917.430000001739</v>
      </c>
      <c r="Y267" s="15"/>
      <c r="Z267" s="31">
        <f>IF(T267=0,0,X267/T267)</f>
        <v>-0.19498760878250501</v>
      </c>
    </row>
    <row r="268" spans="1:26" ht="15.75" thickTop="1" x14ac:dyDescent="0.25">
      <c r="A268" s="9"/>
      <c r="C268" s="9"/>
      <c r="D268" s="18"/>
      <c r="E268" s="18"/>
      <c r="G268" s="18"/>
      <c r="H268" s="18"/>
      <c r="I268" s="18"/>
      <c r="J268" s="42"/>
      <c r="K268" s="18"/>
      <c r="L268" s="18"/>
      <c r="M268" s="18"/>
      <c r="P268" s="18"/>
      <c r="Q268" s="18"/>
      <c r="R268" s="42"/>
      <c r="S268" s="18"/>
      <c r="T268" s="18"/>
      <c r="U268" s="18"/>
      <c r="V268" s="42"/>
      <c r="W268" s="18"/>
      <c r="X268" s="18"/>
    </row>
    <row r="269" spans="1:26" x14ac:dyDescent="0.25">
      <c r="A269" s="9"/>
      <c r="B269" s="55">
        <v>43756.462401851852</v>
      </c>
      <c r="D269" s="18"/>
      <c r="E269" s="18"/>
      <c r="G269" s="18"/>
      <c r="H269" s="18"/>
      <c r="I269" s="18"/>
      <c r="J269" s="42"/>
      <c r="K269" s="18"/>
      <c r="L269" s="18"/>
      <c r="M269" s="18"/>
      <c r="P269" s="18"/>
      <c r="Q269" s="18"/>
      <c r="R269" s="42"/>
      <c r="S269" s="18"/>
      <c r="T269" s="18"/>
      <c r="U269" s="18"/>
      <c r="V269" s="42"/>
      <c r="W269" s="18"/>
      <c r="X269" s="18"/>
    </row>
    <row r="270" spans="1:26" x14ac:dyDescent="0.25">
      <c r="A270" s="9"/>
      <c r="B270" s="56" t="s">
        <v>313</v>
      </c>
      <c r="D270" s="18"/>
      <c r="E270" s="18"/>
      <c r="G270" s="18"/>
      <c r="H270" s="18"/>
      <c r="I270" s="18"/>
      <c r="J270" s="42"/>
      <c r="K270" s="18"/>
      <c r="L270" s="18"/>
      <c r="M270" s="18"/>
      <c r="P270" s="18"/>
      <c r="Q270" s="18"/>
      <c r="R270" s="42"/>
      <c r="S270" s="18"/>
      <c r="T270" s="18"/>
      <c r="U270" s="18"/>
      <c r="V270" s="42"/>
      <c r="W270" s="18"/>
      <c r="X270" s="18"/>
    </row>
    <row r="271" spans="1:26" x14ac:dyDescent="0.25">
      <c r="A271" s="9"/>
      <c r="B271" s="57"/>
      <c r="D271" s="18"/>
      <c r="E271" s="18"/>
      <c r="G271" s="18"/>
      <c r="H271" s="18"/>
      <c r="I271" s="18"/>
      <c r="J271" s="42"/>
      <c r="K271" s="18"/>
      <c r="L271" s="18"/>
      <c r="M271" s="18"/>
      <c r="P271" s="18"/>
      <c r="Q271" s="18"/>
      <c r="R271" s="42"/>
      <c r="S271" s="18"/>
      <c r="T271" s="18"/>
      <c r="U271" s="18"/>
      <c r="V271" s="42"/>
      <c r="W271" s="18"/>
      <c r="X271" s="18"/>
    </row>
    <row r="272" spans="1:26" x14ac:dyDescent="0.25">
      <c r="D272" s="18"/>
      <c r="E272" s="18"/>
      <c r="G272" s="18"/>
      <c r="H272" s="18"/>
      <c r="I272" s="18"/>
      <c r="J272" s="42"/>
      <c r="K272" s="18"/>
      <c r="L272" s="18"/>
      <c r="M272" s="18"/>
      <c r="P272" s="18"/>
      <c r="Q272" s="18"/>
      <c r="R272" s="42"/>
      <c r="S272" s="18"/>
      <c r="T272" s="18"/>
      <c r="U272" s="18"/>
      <c r="V272" s="42"/>
      <c r="W272" s="18"/>
      <c r="X272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6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308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1087059.2599999998</v>
      </c>
      <c r="E12" s="4"/>
      <c r="F12" s="12"/>
      <c r="G12" s="4"/>
      <c r="H12" s="4">
        <f>SUM(OSRRefH13x_0)</f>
        <v>1138168.82</v>
      </c>
      <c r="I12" s="4"/>
      <c r="J12" s="12"/>
      <c r="K12" s="4"/>
      <c r="L12" s="4">
        <f t="shared" ref="L12:L102" si="0">+D12-H12</f>
        <v>-51109.560000000289</v>
      </c>
      <c r="M12" s="4"/>
      <c r="N12" s="12">
        <f t="shared" ref="N12:N102" si="1">IF(H12=0,0,L12/H12)</f>
        <v>-4.4905078316940968E-2</v>
      </c>
      <c r="O12" s="10"/>
      <c r="P12" s="4">
        <f>SUM(OSRRefP13x_0)</f>
        <v>4142003.3299999982</v>
      </c>
      <c r="Q12" s="4"/>
      <c r="R12" s="12"/>
      <c r="S12" s="4"/>
      <c r="T12" s="4">
        <f>SUM(OSRRefT13x_0)</f>
        <v>4551504.21</v>
      </c>
      <c r="U12" s="4"/>
      <c r="V12" s="12"/>
      <c r="W12" s="4"/>
      <c r="X12" s="4">
        <f t="shared" ref="X12:X102" si="2">+P12-T12</f>
        <v>-409500.88000000175</v>
      </c>
      <c r="Y12" s="4"/>
      <c r="Z12" s="12">
        <f t="shared" ref="Z12:Z102" si="3">IF(T12=0,0,X12/T12)</f>
        <v>-8.9970449571439973E-2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--336733.45</f>
        <v>336733.45</v>
      </c>
      <c r="E13" s="2"/>
      <c r="F13" s="19"/>
      <c r="G13" s="2"/>
      <c r="H13" s="2">
        <f>--387172.58</f>
        <v>387172.58</v>
      </c>
      <c r="I13" s="2"/>
      <c r="J13" s="19"/>
      <c r="K13" s="2"/>
      <c r="L13" s="2">
        <f t="shared" si="0"/>
        <v>-50439.130000000005</v>
      </c>
      <c r="M13" s="2"/>
      <c r="N13" s="19">
        <f t="shared" si="1"/>
        <v>-0.13027557375059981</v>
      </c>
      <c r="O13" s="11"/>
      <c r="P13" s="2">
        <f>--1463955.42</f>
        <v>1463955.42</v>
      </c>
      <c r="Q13" s="2"/>
      <c r="R13" s="19"/>
      <c r="S13" s="2"/>
      <c r="T13" s="2">
        <f>--1790410.26</f>
        <v>1790410.26</v>
      </c>
      <c r="U13" s="2"/>
      <c r="V13" s="19"/>
      <c r="W13" s="2"/>
      <c r="X13" s="2">
        <f t="shared" si="2"/>
        <v>-326454.84000000008</v>
      </c>
      <c r="Y13" s="2"/>
      <c r="Z13" s="19">
        <f t="shared" si="3"/>
        <v>-0.1823352151701812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--101849.66</f>
        <v>101849.66</v>
      </c>
      <c r="E14" s="2"/>
      <c r="F14" s="19"/>
      <c r="G14" s="2"/>
      <c r="H14" s="2">
        <f>--112136.18</f>
        <v>112136.18</v>
      </c>
      <c r="I14" s="2"/>
      <c r="J14" s="19"/>
      <c r="K14" s="2"/>
      <c r="L14" s="2">
        <f t="shared" si="0"/>
        <v>-10286.51999999999</v>
      </c>
      <c r="M14" s="2"/>
      <c r="N14" s="19">
        <f t="shared" si="1"/>
        <v>-9.1732391811456301E-2</v>
      </c>
      <c r="O14" s="11"/>
      <c r="P14" s="2">
        <f>--657310.58</f>
        <v>657310.57999999996</v>
      </c>
      <c r="Q14" s="2"/>
      <c r="R14" s="19"/>
      <c r="S14" s="2"/>
      <c r="T14" s="2">
        <f>--729460.37</f>
        <v>729460.37</v>
      </c>
      <c r="U14" s="2"/>
      <c r="V14" s="19"/>
      <c r="W14" s="2"/>
      <c r="X14" s="2">
        <f t="shared" si="2"/>
        <v>-72149.790000000037</v>
      </c>
      <c r="Y14" s="2"/>
      <c r="Z14" s="19">
        <f t="shared" si="3"/>
        <v>-9.8908443785643951E-2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--2800.64</f>
        <v>2800.64</v>
      </c>
      <c r="E15" s="2"/>
      <c r="F15" s="19"/>
      <c r="G15" s="2"/>
      <c r="H15" s="2">
        <f>--4333.45</f>
        <v>4333.45</v>
      </c>
      <c r="I15" s="2"/>
      <c r="J15" s="19"/>
      <c r="K15" s="2"/>
      <c r="L15" s="2">
        <f t="shared" si="0"/>
        <v>-1532.81</v>
      </c>
      <c r="M15" s="2"/>
      <c r="N15" s="19">
        <f t="shared" si="1"/>
        <v>-0.35371586149603662</v>
      </c>
      <c r="O15" s="11"/>
      <c r="P15" s="2">
        <f>--15536.69</f>
        <v>15536.69</v>
      </c>
      <c r="Q15" s="2"/>
      <c r="R15" s="19"/>
      <c r="S15" s="2"/>
      <c r="T15" s="2">
        <f>--9859.25</f>
        <v>9859.25</v>
      </c>
      <c r="U15" s="2"/>
      <c r="V15" s="19"/>
      <c r="W15" s="2"/>
      <c r="X15" s="2">
        <f t="shared" si="2"/>
        <v>5677.4400000000005</v>
      </c>
      <c r="Y15" s="2"/>
      <c r="Z15" s="19">
        <f t="shared" si="3"/>
        <v>0.57584907574105537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--7290.37</f>
        <v>7290.37</v>
      </c>
      <c r="E16" s="2"/>
      <c r="F16" s="19"/>
      <c r="G16" s="2"/>
      <c r="H16" s="2">
        <f>--4736.66</f>
        <v>4736.66</v>
      </c>
      <c r="I16" s="2"/>
      <c r="J16" s="19"/>
      <c r="K16" s="2"/>
      <c r="L16" s="2">
        <f t="shared" si="0"/>
        <v>2553.71</v>
      </c>
      <c r="M16" s="2"/>
      <c r="N16" s="19">
        <f t="shared" si="1"/>
        <v>0.53913728238885628</v>
      </c>
      <c r="O16" s="11"/>
      <c r="P16" s="2">
        <f>--29700.44</f>
        <v>29700.44</v>
      </c>
      <c r="Q16" s="2"/>
      <c r="R16" s="19"/>
      <c r="S16" s="2"/>
      <c r="T16" s="2">
        <f>--42099.8</f>
        <v>42099.8</v>
      </c>
      <c r="U16" s="2"/>
      <c r="V16" s="19"/>
      <c r="W16" s="2"/>
      <c r="X16" s="2">
        <f t="shared" si="2"/>
        <v>-12399.360000000004</v>
      </c>
      <c r="Y16" s="2"/>
      <c r="Z16" s="19">
        <f t="shared" si="3"/>
        <v>-0.29452301436111344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--9.6</f>
        <v>9.6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9.6</v>
      </c>
      <c r="M17" s="2"/>
      <c r="N17" s="19">
        <f t="shared" si="1"/>
        <v>0</v>
      </c>
      <c r="O17" s="11"/>
      <c r="P17" s="2">
        <f>--9.6</f>
        <v>9.6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9.6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--29.95</f>
        <v>29.95</v>
      </c>
      <c r="E18" s="2"/>
      <c r="F18" s="19"/>
      <c r="G18" s="2"/>
      <c r="H18" s="2">
        <f>--187.31</f>
        <v>187.31</v>
      </c>
      <c r="I18" s="2"/>
      <c r="J18" s="19"/>
      <c r="K18" s="2"/>
      <c r="L18" s="2">
        <f t="shared" si="0"/>
        <v>-157.36000000000001</v>
      </c>
      <c r="M18" s="2"/>
      <c r="N18" s="19">
        <f t="shared" si="1"/>
        <v>-0.84010463936789281</v>
      </c>
      <c r="O18" s="11"/>
      <c r="P18" s="2">
        <f>--140.76</f>
        <v>140.76</v>
      </c>
      <c r="Q18" s="2"/>
      <c r="R18" s="19"/>
      <c r="S18" s="2"/>
      <c r="T18" s="2">
        <f>--1272.98</f>
        <v>1272.98</v>
      </c>
      <c r="U18" s="2"/>
      <c r="V18" s="19"/>
      <c r="W18" s="2"/>
      <c r="X18" s="2">
        <f t="shared" si="2"/>
        <v>-1132.22</v>
      </c>
      <c r="Y18" s="2"/>
      <c r="Z18" s="19">
        <f t="shared" si="3"/>
        <v>-0.88942481421546293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--97.44</f>
        <v>97.44</v>
      </c>
      <c r="E19" s="2"/>
      <c r="F19" s="19"/>
      <c r="G19" s="2"/>
      <c r="H19" s="2">
        <f>--240.36</f>
        <v>240.36</v>
      </c>
      <c r="I19" s="2"/>
      <c r="J19" s="19"/>
      <c r="K19" s="2"/>
      <c r="L19" s="2">
        <f t="shared" si="0"/>
        <v>-142.92000000000002</v>
      </c>
      <c r="M19" s="2"/>
      <c r="N19" s="19">
        <f t="shared" si="1"/>
        <v>-0.59460808786819774</v>
      </c>
      <c r="O19" s="11"/>
      <c r="P19" s="2">
        <f>--523.09</f>
        <v>523.09</v>
      </c>
      <c r="Q19" s="2"/>
      <c r="R19" s="19"/>
      <c r="S19" s="2"/>
      <c r="T19" s="2">
        <f>--587.87</f>
        <v>587.87</v>
      </c>
      <c r="U19" s="2"/>
      <c r="V19" s="19"/>
      <c r="W19" s="2"/>
      <c r="X19" s="2">
        <f t="shared" si="2"/>
        <v>-64.779999999999973</v>
      </c>
      <c r="Y19" s="2"/>
      <c r="Z19" s="19">
        <f t="shared" si="3"/>
        <v>-0.11019443074149042</v>
      </c>
    </row>
    <row r="20" spans="1:26" s="24" customFormat="1" hidden="1" outlineLevel="1" x14ac:dyDescent="0.25">
      <c r="A20" s="44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--65.39</f>
        <v>65.39</v>
      </c>
      <c r="E20" s="2"/>
      <c r="F20" s="19"/>
      <c r="G20" s="2"/>
      <c r="H20" s="2">
        <f>--8.94</f>
        <v>8.94</v>
      </c>
      <c r="I20" s="2"/>
      <c r="J20" s="19"/>
      <c r="K20" s="2"/>
      <c r="L20" s="2">
        <f t="shared" si="0"/>
        <v>56.45</v>
      </c>
      <c r="M20" s="2"/>
      <c r="N20" s="19">
        <f t="shared" si="1"/>
        <v>6.3143176733780768</v>
      </c>
      <c r="O20" s="11"/>
      <c r="P20" s="2">
        <f>--222.69</f>
        <v>222.69</v>
      </c>
      <c r="Q20" s="2"/>
      <c r="R20" s="19"/>
      <c r="S20" s="2"/>
      <c r="T20" s="2">
        <f>--609.29</f>
        <v>609.29</v>
      </c>
      <c r="U20" s="2"/>
      <c r="V20" s="19"/>
      <c r="W20" s="2"/>
      <c r="X20" s="2">
        <f t="shared" si="2"/>
        <v>-386.59999999999997</v>
      </c>
      <c r="Y20" s="2"/>
      <c r="Z20" s="19">
        <f t="shared" si="3"/>
        <v>-0.63450901869388954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--696.02</f>
        <v>696.02</v>
      </c>
      <c r="E21" s="2"/>
      <c r="F21" s="19"/>
      <c r="G21" s="2"/>
      <c r="H21" s="2">
        <f>--796.54</f>
        <v>796.54</v>
      </c>
      <c r="I21" s="2"/>
      <c r="J21" s="19"/>
      <c r="K21" s="2"/>
      <c r="L21" s="2">
        <f t="shared" si="0"/>
        <v>-100.51999999999998</v>
      </c>
      <c r="M21" s="2"/>
      <c r="N21" s="19">
        <f t="shared" si="1"/>
        <v>-0.1261957968212519</v>
      </c>
      <c r="O21" s="11"/>
      <c r="P21" s="2">
        <f>--2060.15</f>
        <v>2060.15</v>
      </c>
      <c r="Q21" s="2"/>
      <c r="R21" s="19"/>
      <c r="S21" s="2"/>
      <c r="T21" s="2">
        <f>--2826.61</f>
        <v>2826.61</v>
      </c>
      <c r="U21" s="2"/>
      <c r="V21" s="19"/>
      <c r="W21" s="2"/>
      <c r="X21" s="2">
        <f t="shared" si="2"/>
        <v>-766.46</v>
      </c>
      <c r="Y21" s="2"/>
      <c r="Z21" s="19">
        <f t="shared" si="3"/>
        <v>-0.27115873785205602</v>
      </c>
    </row>
    <row r="22" spans="1:26" s="24" customFormat="1" hidden="1" outlineLevel="1" x14ac:dyDescent="0.25">
      <c r="A22" s="44"/>
      <c r="B22" s="11" t="str">
        <f>CONCATENATE("          ", "4019", " - ", "TAXABLE SALES-BOOK RELATED")</f>
        <v xml:space="preserve">          4019 - TAXABLE SALES-BOOK RELATED</v>
      </c>
      <c r="C22" s="11"/>
      <c r="D22" s="2">
        <f>0</f>
        <v>0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--14.95</f>
        <v>14.95</v>
      </c>
      <c r="Q22" s="2"/>
      <c r="R22" s="19"/>
      <c r="S22" s="2"/>
      <c r="T22" s="2">
        <f>--39.9</f>
        <v>39.9</v>
      </c>
      <c r="U22" s="2"/>
      <c r="V22" s="19"/>
      <c r="W22" s="2"/>
      <c r="X22" s="2">
        <f t="shared" si="2"/>
        <v>-24.95</v>
      </c>
      <c r="Y22" s="2"/>
      <c r="Z22" s="19">
        <f t="shared" si="3"/>
        <v>-0.62531328320802004</v>
      </c>
    </row>
    <row r="23" spans="1:26" s="24" customFormat="1" hidden="1" outlineLevel="1" x14ac:dyDescent="0.25">
      <c r="A23" s="44"/>
      <c r="B23" s="11" t="str">
        <f>CONCATENATE("          ", "4025", " - ", "TAXABLE SALES-TEST FORMS")</f>
        <v xml:space="preserve">          4025 - TAXABLE SALES-TEST FORMS</v>
      </c>
      <c r="C23" s="11"/>
      <c r="D23" s="2">
        <f>--11837.54</f>
        <v>11837.54</v>
      </c>
      <c r="E23" s="2"/>
      <c r="F23" s="19"/>
      <c r="G23" s="2"/>
      <c r="H23" s="2">
        <f>--11411.77</f>
        <v>11411.77</v>
      </c>
      <c r="I23" s="2"/>
      <c r="J23" s="19"/>
      <c r="K23" s="2"/>
      <c r="L23" s="2">
        <f t="shared" si="0"/>
        <v>425.77000000000044</v>
      </c>
      <c r="M23" s="2"/>
      <c r="N23" s="19">
        <f t="shared" si="1"/>
        <v>3.7309724959405981E-2</v>
      </c>
      <c r="O23" s="11"/>
      <c r="P23" s="2">
        <f>--16296.07</f>
        <v>16296.07</v>
      </c>
      <c r="Q23" s="2"/>
      <c r="R23" s="19"/>
      <c r="S23" s="2"/>
      <c r="T23" s="2">
        <f>--16299.42</f>
        <v>16299.42</v>
      </c>
      <c r="U23" s="2"/>
      <c r="V23" s="19"/>
      <c r="W23" s="2"/>
      <c r="X23" s="2">
        <f t="shared" si="2"/>
        <v>-3.3500000000003638</v>
      </c>
      <c r="Y23" s="2"/>
      <c r="Z23" s="19">
        <f t="shared" si="3"/>
        <v>-2.0552878568687498E-4</v>
      </c>
    </row>
    <row r="24" spans="1:26" s="24" customFormat="1" hidden="1" outlineLevel="1" x14ac:dyDescent="0.25">
      <c r="A24" s="44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>--11722.76</f>
        <v>11722.76</v>
      </c>
      <c r="E24" s="2"/>
      <c r="F24" s="19"/>
      <c r="G24" s="2"/>
      <c r="H24" s="2">
        <f>--10857.34</f>
        <v>10857.34</v>
      </c>
      <c r="I24" s="2"/>
      <c r="J24" s="19"/>
      <c r="K24" s="2"/>
      <c r="L24" s="2">
        <f t="shared" si="0"/>
        <v>865.42000000000007</v>
      </c>
      <c r="M24" s="2"/>
      <c r="N24" s="19">
        <f t="shared" si="1"/>
        <v>7.9708289507374741E-2</v>
      </c>
      <c r="O24" s="11"/>
      <c r="P24" s="2">
        <f>--24499.3</f>
        <v>24499.3</v>
      </c>
      <c r="Q24" s="2"/>
      <c r="R24" s="19"/>
      <c r="S24" s="2"/>
      <c r="T24" s="2">
        <f>--23460.2</f>
        <v>23460.2</v>
      </c>
      <c r="U24" s="2"/>
      <c r="V24" s="19"/>
      <c r="W24" s="2"/>
      <c r="X24" s="2">
        <f t="shared" si="2"/>
        <v>1039.0999999999985</v>
      </c>
      <c r="Y24" s="2"/>
      <c r="Z24" s="19">
        <f t="shared" si="3"/>
        <v>4.4292035021014253E-2</v>
      </c>
    </row>
    <row r="25" spans="1:26" s="24" customFormat="1" hidden="1" outlineLevel="1" x14ac:dyDescent="0.25">
      <c r="A25" s="44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--44221.34</f>
        <v>44221.34</v>
      </c>
      <c r="E25" s="2"/>
      <c r="F25" s="19"/>
      <c r="G25" s="2"/>
      <c r="H25" s="2">
        <f>--41690.67</f>
        <v>41690.67</v>
      </c>
      <c r="I25" s="2"/>
      <c r="J25" s="19"/>
      <c r="K25" s="2"/>
      <c r="L25" s="2">
        <f t="shared" si="0"/>
        <v>2530.6699999999983</v>
      </c>
      <c r="M25" s="2"/>
      <c r="N25" s="19">
        <f t="shared" si="1"/>
        <v>6.070111130380007E-2</v>
      </c>
      <c r="O25" s="11"/>
      <c r="P25" s="2">
        <f>--123320.59</f>
        <v>123320.59</v>
      </c>
      <c r="Q25" s="2"/>
      <c r="R25" s="19"/>
      <c r="S25" s="2"/>
      <c r="T25" s="2">
        <f>--114994.05</f>
        <v>114994.05</v>
      </c>
      <c r="U25" s="2"/>
      <c r="V25" s="19"/>
      <c r="W25" s="2"/>
      <c r="X25" s="2">
        <f t="shared" si="2"/>
        <v>8326.5399999999936</v>
      </c>
      <c r="Y25" s="2"/>
      <c r="Z25" s="19">
        <f t="shared" si="3"/>
        <v>7.2408442001999182E-2</v>
      </c>
    </row>
    <row r="26" spans="1:26" s="24" customFormat="1" hidden="1" outlineLevel="1" x14ac:dyDescent="0.25">
      <c r="A26" s="44"/>
      <c r="B26" s="11" t="str">
        <f>CONCATENATE("          ", "4028", " - ", "TAXABLE SALES-ART/TECH")</f>
        <v xml:space="preserve">          4028 - TAXABLE SALES-ART/TECH</v>
      </c>
      <c r="C26" s="11"/>
      <c r="D26" s="2">
        <f>--51812.13</f>
        <v>51812.13</v>
      </c>
      <c r="E26" s="2"/>
      <c r="F26" s="19"/>
      <c r="G26" s="2"/>
      <c r="H26" s="2">
        <f>--51988.15</f>
        <v>51988.15</v>
      </c>
      <c r="I26" s="2"/>
      <c r="J26" s="19"/>
      <c r="K26" s="2"/>
      <c r="L26" s="2">
        <f t="shared" si="0"/>
        <v>-176.02000000000407</v>
      </c>
      <c r="M26" s="2"/>
      <c r="N26" s="19">
        <f t="shared" si="1"/>
        <v>-3.3857715652510058E-3</v>
      </c>
      <c r="O26" s="11"/>
      <c r="P26" s="2">
        <f>--100727.68</f>
        <v>100727.67999999999</v>
      </c>
      <c r="Q26" s="2"/>
      <c r="R26" s="19"/>
      <c r="S26" s="2"/>
      <c r="T26" s="2">
        <f>--99687.8</f>
        <v>99687.8</v>
      </c>
      <c r="U26" s="2"/>
      <c r="V26" s="19"/>
      <c r="W26" s="2"/>
      <c r="X26" s="2">
        <f t="shared" si="2"/>
        <v>1039.8799999999901</v>
      </c>
      <c r="Y26" s="2"/>
      <c r="Z26" s="19">
        <f t="shared" si="3"/>
        <v>1.0431366726921349E-2</v>
      </c>
    </row>
    <row r="27" spans="1:26" s="24" customFormat="1" hidden="1" outlineLevel="1" x14ac:dyDescent="0.25">
      <c r="A27" s="44"/>
      <c r="B27" s="11" t="str">
        <f>CONCATENATE("          ", "4031", " - ", "TAXABLE SALES-FOOD")</f>
        <v xml:space="preserve">          4031 - TAXABLE SALES-FOOD</v>
      </c>
      <c r="C27" s="11"/>
      <c r="D27" s="2">
        <f>--88.48</f>
        <v>88.48</v>
      </c>
      <c r="E27" s="2"/>
      <c r="F27" s="19"/>
      <c r="G27" s="2"/>
      <c r="H27" s="2">
        <f>--70.12</f>
        <v>70.12</v>
      </c>
      <c r="I27" s="2"/>
      <c r="J27" s="19"/>
      <c r="K27" s="2"/>
      <c r="L27" s="2">
        <f t="shared" si="0"/>
        <v>18.36</v>
      </c>
      <c r="M27" s="2"/>
      <c r="N27" s="19">
        <f t="shared" si="1"/>
        <v>0.26183685111237875</v>
      </c>
      <c r="O27" s="11"/>
      <c r="P27" s="2">
        <f>--120.82</f>
        <v>120.82</v>
      </c>
      <c r="Q27" s="2"/>
      <c r="R27" s="19"/>
      <c r="S27" s="2"/>
      <c r="T27" s="2">
        <f>--115.06</f>
        <v>115.06</v>
      </c>
      <c r="U27" s="2"/>
      <c r="V27" s="19"/>
      <c r="W27" s="2"/>
      <c r="X27" s="2">
        <f t="shared" si="2"/>
        <v>5.7599999999999909</v>
      </c>
      <c r="Y27" s="2"/>
      <c r="Z27" s="19">
        <f t="shared" si="3"/>
        <v>5.0060837823744056E-2</v>
      </c>
    </row>
    <row r="28" spans="1:26" s="24" customFormat="1" hidden="1" outlineLevel="1" x14ac:dyDescent="0.25">
      <c r="A28" s="44"/>
      <c r="B28" s="11" t="str">
        <f>CONCATENATE("          ", "4032", " - ", "TAXABLE SALES-JUICE")</f>
        <v xml:space="preserve">          4032 - TAXABLE SALES-JUICE</v>
      </c>
      <c r="C28" s="11"/>
      <c r="D28" s="2">
        <f>--17.54</f>
        <v>17.54</v>
      </c>
      <c r="E28" s="2"/>
      <c r="F28" s="19"/>
      <c r="G28" s="2"/>
      <c r="H28" s="2">
        <f>--53.78</f>
        <v>53.78</v>
      </c>
      <c r="I28" s="2"/>
      <c r="J28" s="19"/>
      <c r="K28" s="2"/>
      <c r="L28" s="2">
        <f t="shared" si="0"/>
        <v>-36.24</v>
      </c>
      <c r="M28" s="2"/>
      <c r="N28" s="19">
        <f t="shared" si="1"/>
        <v>-0.6738564522127185</v>
      </c>
      <c r="O28" s="11"/>
      <c r="P28" s="2">
        <f>--21.35</f>
        <v>21.35</v>
      </c>
      <c r="Q28" s="2"/>
      <c r="R28" s="19"/>
      <c r="S28" s="2"/>
      <c r="T28" s="2">
        <f>--56.15</f>
        <v>56.15</v>
      </c>
      <c r="U28" s="2"/>
      <c r="V28" s="19"/>
      <c r="W28" s="2"/>
      <c r="X28" s="2">
        <f t="shared" si="2"/>
        <v>-34.799999999999997</v>
      </c>
      <c r="Y28" s="2"/>
      <c r="Z28" s="19">
        <f t="shared" si="3"/>
        <v>-0.61976847729296525</v>
      </c>
    </row>
    <row r="29" spans="1:26" s="24" customFormat="1" hidden="1" outlineLevel="1" x14ac:dyDescent="0.25">
      <c r="A29" s="44"/>
      <c r="B29" s="11" t="str">
        <f>CONCATENATE("          ", "4033", " - ", "TAXABLE SALES-CANDY")</f>
        <v xml:space="preserve">          4033 - TAXABLE SALES-CANDY</v>
      </c>
      <c r="C29" s="11"/>
      <c r="D29" s="2">
        <f>--27.97</f>
        <v>27.97</v>
      </c>
      <c r="E29" s="2"/>
      <c r="F29" s="19"/>
      <c r="G29" s="2"/>
      <c r="H29" s="2">
        <f>--26.81</f>
        <v>26.81</v>
      </c>
      <c r="I29" s="2"/>
      <c r="J29" s="19"/>
      <c r="K29" s="2"/>
      <c r="L29" s="2">
        <f t="shared" si="0"/>
        <v>1.1600000000000001</v>
      </c>
      <c r="M29" s="2"/>
      <c r="N29" s="19">
        <f t="shared" si="1"/>
        <v>4.3267437523312205E-2</v>
      </c>
      <c r="O29" s="11"/>
      <c r="P29" s="2">
        <f>--40.97</f>
        <v>40.97</v>
      </c>
      <c r="Q29" s="2"/>
      <c r="R29" s="19"/>
      <c r="S29" s="2"/>
      <c r="T29" s="2">
        <f>--29.85</f>
        <v>29.85</v>
      </c>
      <c r="U29" s="2"/>
      <c r="V29" s="19"/>
      <c r="W29" s="2"/>
      <c r="X29" s="2">
        <f t="shared" si="2"/>
        <v>11.119999999999997</v>
      </c>
      <c r="Y29" s="2"/>
      <c r="Z29" s="19">
        <f t="shared" si="3"/>
        <v>0.37252931323283073</v>
      </c>
    </row>
    <row r="30" spans="1:26" s="24" customFormat="1" hidden="1" outlineLevel="1" x14ac:dyDescent="0.25">
      <c r="A30" s="44"/>
      <c r="B30" s="11" t="str">
        <f>CONCATENATE("          ", "4034", " - ", "TAXABLE SALES-SODA")</f>
        <v xml:space="preserve">          4034 - TAXABLE SALES-SODA</v>
      </c>
      <c r="C30" s="11"/>
      <c r="D30" s="2">
        <f>--1544.01</f>
        <v>1544.01</v>
      </c>
      <c r="E30" s="2"/>
      <c r="F30" s="19"/>
      <c r="G30" s="2"/>
      <c r="H30" s="2">
        <f>--1006.88</f>
        <v>1006.88</v>
      </c>
      <c r="I30" s="2"/>
      <c r="J30" s="19"/>
      <c r="K30" s="2"/>
      <c r="L30" s="2">
        <f t="shared" si="0"/>
        <v>537.13</v>
      </c>
      <c r="M30" s="2"/>
      <c r="N30" s="19">
        <f t="shared" si="1"/>
        <v>0.53345979659939613</v>
      </c>
      <c r="O30" s="11"/>
      <c r="P30" s="2">
        <f>--1859.55</f>
        <v>1859.55</v>
      </c>
      <c r="Q30" s="2"/>
      <c r="R30" s="19"/>
      <c r="S30" s="2"/>
      <c r="T30" s="2">
        <f>--1405.81</f>
        <v>1405.81</v>
      </c>
      <c r="U30" s="2"/>
      <c r="V30" s="19"/>
      <c r="W30" s="2"/>
      <c r="X30" s="2">
        <f t="shared" si="2"/>
        <v>453.74</v>
      </c>
      <c r="Y30" s="2"/>
      <c r="Z30" s="19">
        <f t="shared" si="3"/>
        <v>0.32276054374346463</v>
      </c>
    </row>
    <row r="31" spans="1:26" s="24" customFormat="1" hidden="1" outlineLevel="1" x14ac:dyDescent="0.25">
      <c r="A31" s="44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>--339.98</f>
        <v>339.98</v>
      </c>
      <c r="E31" s="2"/>
      <c r="F31" s="19"/>
      <c r="G31" s="2"/>
      <c r="H31" s="2">
        <f>--481.21</f>
        <v>481.21</v>
      </c>
      <c r="I31" s="2"/>
      <c r="J31" s="19"/>
      <c r="K31" s="2"/>
      <c r="L31" s="2">
        <f t="shared" si="0"/>
        <v>-141.22999999999996</v>
      </c>
      <c r="M31" s="2"/>
      <c r="N31" s="19">
        <f t="shared" si="1"/>
        <v>-0.29348932898318814</v>
      </c>
      <c r="O31" s="11"/>
      <c r="P31" s="2">
        <f>--438.43</f>
        <v>438.43</v>
      </c>
      <c r="Q31" s="2"/>
      <c r="R31" s="19"/>
      <c r="S31" s="2"/>
      <c r="T31" s="2">
        <f>--626.84</f>
        <v>626.84</v>
      </c>
      <c r="U31" s="2"/>
      <c r="V31" s="19"/>
      <c r="W31" s="2"/>
      <c r="X31" s="2">
        <f t="shared" si="2"/>
        <v>-188.41000000000003</v>
      </c>
      <c r="Y31" s="2"/>
      <c r="Z31" s="19">
        <f t="shared" si="3"/>
        <v>-0.30057111862676283</v>
      </c>
    </row>
    <row r="32" spans="1:26" s="24" customFormat="1" hidden="1" outlineLevel="1" x14ac:dyDescent="0.25">
      <c r="A32" s="44"/>
      <c r="B32" s="11" t="str">
        <f>CONCATENATE("          ", "4037", " - ", "TAXABLE SALES-WATER")</f>
        <v xml:space="preserve">          4037 - TAXABLE SALES-WATER</v>
      </c>
      <c r="C32" s="11"/>
      <c r="D32" s="2">
        <f>--131.98</f>
        <v>131.97999999999999</v>
      </c>
      <c r="E32" s="2"/>
      <c r="F32" s="19"/>
      <c r="G32" s="2"/>
      <c r="H32" s="2">
        <f>--123.97</f>
        <v>123.97</v>
      </c>
      <c r="I32" s="2"/>
      <c r="J32" s="19"/>
      <c r="K32" s="2"/>
      <c r="L32" s="2">
        <f t="shared" si="0"/>
        <v>8.0099999999999909</v>
      </c>
      <c r="M32" s="2"/>
      <c r="N32" s="19">
        <f t="shared" si="1"/>
        <v>6.4612406227312985E-2</v>
      </c>
      <c r="O32" s="11"/>
      <c r="P32" s="2">
        <f>--174.15</f>
        <v>174.15</v>
      </c>
      <c r="Q32" s="2"/>
      <c r="R32" s="19"/>
      <c r="S32" s="2"/>
      <c r="T32" s="2">
        <f>--157.24</f>
        <v>157.24</v>
      </c>
      <c r="U32" s="2"/>
      <c r="V32" s="19"/>
      <c r="W32" s="2"/>
      <c r="X32" s="2">
        <f t="shared" si="2"/>
        <v>16.909999999999997</v>
      </c>
      <c r="Y32" s="2"/>
      <c r="Z32" s="19">
        <f t="shared" si="3"/>
        <v>0.10754261002289491</v>
      </c>
    </row>
    <row r="33" spans="1:26" s="24" customFormat="1" hidden="1" outlineLevel="1" x14ac:dyDescent="0.25">
      <c r="A33" s="44"/>
      <c r="B33" s="11" t="str">
        <f>CONCATENATE("          ", "4040", " - ", "TAXABLE SALES-LOGO CLOTHING")</f>
        <v xml:space="preserve">          4040 - TAXABLE SALES-LOGO CLOTHING</v>
      </c>
      <c r="C33" s="11"/>
      <c r="D33" s="2">
        <f>--243145.84</f>
        <v>243145.84</v>
      </c>
      <c r="E33" s="2"/>
      <c r="F33" s="19"/>
      <c r="G33" s="2"/>
      <c r="H33" s="2">
        <f>--213321</f>
        <v>213321</v>
      </c>
      <c r="I33" s="2"/>
      <c r="J33" s="19"/>
      <c r="K33" s="2"/>
      <c r="L33" s="2">
        <f t="shared" si="0"/>
        <v>29824.839999999997</v>
      </c>
      <c r="M33" s="2"/>
      <c r="N33" s="19">
        <f t="shared" si="1"/>
        <v>0.13981202038242835</v>
      </c>
      <c r="O33" s="11"/>
      <c r="P33" s="2">
        <f>--632899.52</f>
        <v>632899.52</v>
      </c>
      <c r="Q33" s="2"/>
      <c r="R33" s="19"/>
      <c r="S33" s="2"/>
      <c r="T33" s="2">
        <f>--543157.35</f>
        <v>543157.35</v>
      </c>
      <c r="U33" s="2"/>
      <c r="V33" s="19"/>
      <c r="W33" s="2"/>
      <c r="X33" s="2">
        <f t="shared" si="2"/>
        <v>89742.170000000042</v>
      </c>
      <c r="Y33" s="2"/>
      <c r="Z33" s="19">
        <f t="shared" si="3"/>
        <v>0.16522315310655383</v>
      </c>
    </row>
    <row r="34" spans="1:26" s="24" customFormat="1" hidden="1" outlineLevel="1" x14ac:dyDescent="0.25">
      <c r="A34" s="44"/>
      <c r="B34" s="11" t="str">
        <f>CONCATENATE("          ", "4041", " - ", "TAXABLE SALES-LOGO GIFTS")</f>
        <v xml:space="preserve">          4041 - TAXABLE SALES-LOGO GIFTS</v>
      </c>
      <c r="C34" s="11"/>
      <c r="D34" s="2">
        <f>--49940.2</f>
        <v>49940.2</v>
      </c>
      <c r="E34" s="2"/>
      <c r="F34" s="19"/>
      <c r="G34" s="2"/>
      <c r="H34" s="2">
        <f>--57168.91</f>
        <v>57168.91</v>
      </c>
      <c r="I34" s="2"/>
      <c r="J34" s="19"/>
      <c r="K34" s="2"/>
      <c r="L34" s="2">
        <f t="shared" si="0"/>
        <v>-7228.7100000000064</v>
      </c>
      <c r="M34" s="2"/>
      <c r="N34" s="19">
        <f t="shared" si="1"/>
        <v>-0.12644477566565474</v>
      </c>
      <c r="O34" s="11"/>
      <c r="P34" s="2">
        <f>--201632.61</f>
        <v>201632.61</v>
      </c>
      <c r="Q34" s="2"/>
      <c r="R34" s="19"/>
      <c r="S34" s="2"/>
      <c r="T34" s="2">
        <f>--206952.26</f>
        <v>206952.26</v>
      </c>
      <c r="U34" s="2"/>
      <c r="V34" s="19"/>
      <c r="W34" s="2"/>
      <c r="X34" s="2">
        <f t="shared" si="2"/>
        <v>-5319.6500000000233</v>
      </c>
      <c r="Y34" s="2"/>
      <c r="Z34" s="19">
        <f t="shared" si="3"/>
        <v>-2.5704720499307537E-2</v>
      </c>
    </row>
    <row r="35" spans="1:26" s="24" customFormat="1" hidden="1" outlineLevel="1" x14ac:dyDescent="0.25">
      <c r="A35" s="44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--35079.3</f>
        <v>35079.300000000003</v>
      </c>
      <c r="E35" s="2"/>
      <c r="F35" s="19"/>
      <c r="G35" s="2"/>
      <c r="H35" s="2">
        <f>--29444.47</f>
        <v>29444.47</v>
      </c>
      <c r="I35" s="2"/>
      <c r="J35" s="19"/>
      <c r="K35" s="2"/>
      <c r="L35" s="2">
        <f t="shared" si="0"/>
        <v>5634.8300000000017</v>
      </c>
      <c r="M35" s="2"/>
      <c r="N35" s="19">
        <f t="shared" si="1"/>
        <v>0.19137141880971204</v>
      </c>
      <c r="O35" s="11"/>
      <c r="P35" s="2">
        <f>--95118.27</f>
        <v>95118.27</v>
      </c>
      <c r="Q35" s="2"/>
      <c r="R35" s="19"/>
      <c r="S35" s="2"/>
      <c r="T35" s="2">
        <f>--72510.46</f>
        <v>72510.460000000006</v>
      </c>
      <c r="U35" s="2"/>
      <c r="V35" s="19"/>
      <c r="W35" s="2"/>
      <c r="X35" s="2">
        <f t="shared" si="2"/>
        <v>22607.809999999998</v>
      </c>
      <c r="Y35" s="2"/>
      <c r="Z35" s="19">
        <f t="shared" si="3"/>
        <v>0.31178687874825228</v>
      </c>
    </row>
    <row r="36" spans="1:26" s="24" customFormat="1" hidden="1" outlineLevel="1" x14ac:dyDescent="0.25">
      <c r="A36" s="44"/>
      <c r="B36" s="11" t="str">
        <f>CONCATENATE("          ", "4043", " - ", "TAXABLE SALES-CARDS")</f>
        <v xml:space="preserve">          4043 - TAXABLE SALES-CARDS</v>
      </c>
      <c r="C36" s="11"/>
      <c r="D36" s="2">
        <f>--272.36</f>
        <v>272.36</v>
      </c>
      <c r="E36" s="2"/>
      <c r="F36" s="19"/>
      <c r="G36" s="2"/>
      <c r="H36" s="2">
        <f>--402.42</f>
        <v>402.42</v>
      </c>
      <c r="I36" s="2"/>
      <c r="J36" s="19"/>
      <c r="K36" s="2"/>
      <c r="L36" s="2">
        <f t="shared" si="0"/>
        <v>-130.06</v>
      </c>
      <c r="M36" s="2"/>
      <c r="N36" s="19">
        <f t="shared" si="1"/>
        <v>-0.32319467223299042</v>
      </c>
      <c r="O36" s="11"/>
      <c r="P36" s="2">
        <f>--457.81</f>
        <v>457.81</v>
      </c>
      <c r="Q36" s="2"/>
      <c r="R36" s="19"/>
      <c r="S36" s="2"/>
      <c r="T36" s="2">
        <f>--815.9</f>
        <v>815.9</v>
      </c>
      <c r="U36" s="2"/>
      <c r="V36" s="19"/>
      <c r="W36" s="2"/>
      <c r="X36" s="2">
        <f t="shared" si="2"/>
        <v>-358.09</v>
      </c>
      <c r="Y36" s="2"/>
      <c r="Z36" s="19">
        <f t="shared" si="3"/>
        <v>-0.43888956980022059</v>
      </c>
    </row>
    <row r="37" spans="1:26" s="24" customFormat="1" hidden="1" outlineLevel="1" x14ac:dyDescent="0.25">
      <c r="A37" s="44"/>
      <c r="B37" s="11" t="str">
        <f>CONCATENATE("          ", "4044", " - ", "TAXABLE SALES-ACCESSORIES")</f>
        <v xml:space="preserve">          4044 - TAXABLE SALES-ACCESSORIES</v>
      </c>
      <c r="C37" s="11"/>
      <c r="D37" s="2">
        <f>--6451.34</f>
        <v>6451.34</v>
      </c>
      <c r="E37" s="2"/>
      <c r="F37" s="19"/>
      <c r="G37" s="2"/>
      <c r="H37" s="2">
        <f>--7404.65</f>
        <v>7404.65</v>
      </c>
      <c r="I37" s="2"/>
      <c r="J37" s="19"/>
      <c r="K37" s="2"/>
      <c r="L37" s="2">
        <f t="shared" si="0"/>
        <v>-953.30999999999949</v>
      </c>
      <c r="M37" s="2"/>
      <c r="N37" s="19">
        <f t="shared" si="1"/>
        <v>-0.12874477524258399</v>
      </c>
      <c r="O37" s="11"/>
      <c r="P37" s="2">
        <f>--28228.41</f>
        <v>28228.41</v>
      </c>
      <c r="Q37" s="2"/>
      <c r="R37" s="19"/>
      <c r="S37" s="2"/>
      <c r="T37" s="2">
        <f>--30810.43</f>
        <v>30810.43</v>
      </c>
      <c r="U37" s="2"/>
      <c r="V37" s="19"/>
      <c r="W37" s="2"/>
      <c r="X37" s="2">
        <f t="shared" si="2"/>
        <v>-2582.0200000000004</v>
      </c>
      <c r="Y37" s="2"/>
      <c r="Z37" s="19">
        <f t="shared" si="3"/>
        <v>-8.3803439289876852E-2</v>
      </c>
    </row>
    <row r="38" spans="1:26" s="24" customFormat="1" hidden="1" outlineLevel="1" x14ac:dyDescent="0.25">
      <c r="A38" s="44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--5803.07</f>
        <v>5803.07</v>
      </c>
      <c r="E38" s="2"/>
      <c r="F38" s="19"/>
      <c r="G38" s="2"/>
      <c r="H38" s="2">
        <f>--5627.36</f>
        <v>5627.36</v>
      </c>
      <c r="I38" s="2"/>
      <c r="J38" s="19"/>
      <c r="K38" s="2"/>
      <c r="L38" s="2">
        <f t="shared" si="0"/>
        <v>175.71000000000004</v>
      </c>
      <c r="M38" s="2"/>
      <c r="N38" s="19">
        <f t="shared" si="1"/>
        <v>3.1224233032896429E-2</v>
      </c>
      <c r="O38" s="11"/>
      <c r="P38" s="2">
        <f>--31327.11</f>
        <v>31327.11</v>
      </c>
      <c r="Q38" s="2"/>
      <c r="R38" s="19"/>
      <c r="S38" s="2"/>
      <c r="T38" s="2">
        <f>--48586.84</f>
        <v>48586.84</v>
      </c>
      <c r="U38" s="2"/>
      <c r="V38" s="19"/>
      <c r="W38" s="2"/>
      <c r="X38" s="2">
        <f t="shared" si="2"/>
        <v>-17259.729999999996</v>
      </c>
      <c r="Y38" s="2"/>
      <c r="Z38" s="19">
        <f t="shared" si="3"/>
        <v>-0.35523466848224738</v>
      </c>
    </row>
    <row r="39" spans="1:26" s="24" customFormat="1" hidden="1" outlineLevel="1" x14ac:dyDescent="0.25">
      <c r="A39" s="44"/>
      <c r="B39" s="11" t="str">
        <f>CONCATENATE("          ", "4047", " - ", "TAXABLE SALES-MISC")</f>
        <v xml:space="preserve">          4047 - TAXABLE SALES-MISC</v>
      </c>
      <c r="C39" s="11"/>
      <c r="D39" s="2">
        <f>--488.97</f>
        <v>488.97</v>
      </c>
      <c r="E39" s="2"/>
      <c r="F39" s="19"/>
      <c r="G39" s="2"/>
      <c r="H39" s="2">
        <f>--300.22</f>
        <v>300.22000000000003</v>
      </c>
      <c r="I39" s="2"/>
      <c r="J39" s="19"/>
      <c r="K39" s="2"/>
      <c r="L39" s="2">
        <f t="shared" si="0"/>
        <v>188.75</v>
      </c>
      <c r="M39" s="2"/>
      <c r="N39" s="19">
        <f t="shared" si="1"/>
        <v>0.62870561588168672</v>
      </c>
      <c r="O39" s="11"/>
      <c r="P39" s="2">
        <f>--971.35</f>
        <v>971.35</v>
      </c>
      <c r="Q39" s="2"/>
      <c r="R39" s="19"/>
      <c r="S39" s="2"/>
      <c r="T39" s="2">
        <f>--649.51</f>
        <v>649.51</v>
      </c>
      <c r="U39" s="2"/>
      <c r="V39" s="19"/>
      <c r="W39" s="2"/>
      <c r="X39" s="2">
        <f t="shared" si="2"/>
        <v>321.84000000000003</v>
      </c>
      <c r="Y39" s="2"/>
      <c r="Z39" s="19">
        <f t="shared" si="3"/>
        <v>0.49551200135486756</v>
      </c>
    </row>
    <row r="40" spans="1:26" s="24" customFormat="1" hidden="1" outlineLevel="1" x14ac:dyDescent="0.25">
      <c r="A40" s="44"/>
      <c r="B40" s="11" t="str">
        <f>CONCATENATE("          ", "4081", " - ", "TAXABLE SALES-ELECTRONICS")</f>
        <v xml:space="preserve">          4081 - TAXABLE SALES-ELECTRONICS</v>
      </c>
      <c r="C40" s="11"/>
      <c r="D40" s="2">
        <f>--650.56</f>
        <v>650.55999999999995</v>
      </c>
      <c r="E40" s="2"/>
      <c r="F40" s="19"/>
      <c r="G40" s="2"/>
      <c r="H40" s="2">
        <f>--910.32</f>
        <v>910.32</v>
      </c>
      <c r="I40" s="2"/>
      <c r="J40" s="19"/>
      <c r="K40" s="2"/>
      <c r="L40" s="2">
        <f t="shared" si="0"/>
        <v>-259.7600000000001</v>
      </c>
      <c r="M40" s="2"/>
      <c r="N40" s="19">
        <f t="shared" si="1"/>
        <v>-0.28535020652078402</v>
      </c>
      <c r="O40" s="11"/>
      <c r="P40" s="2">
        <f>--919.42</f>
        <v>919.42</v>
      </c>
      <c r="Q40" s="2"/>
      <c r="R40" s="19"/>
      <c r="S40" s="2"/>
      <c r="T40" s="2">
        <f>--1208.12</f>
        <v>1208.1199999999999</v>
      </c>
      <c r="U40" s="2"/>
      <c r="V40" s="19"/>
      <c r="W40" s="2"/>
      <c r="X40" s="2">
        <f t="shared" si="2"/>
        <v>-288.69999999999993</v>
      </c>
      <c r="Y40" s="2"/>
      <c r="Z40" s="19">
        <f t="shared" si="3"/>
        <v>-0.23896632784822697</v>
      </c>
    </row>
    <row r="41" spans="1:26" s="24" customFormat="1" hidden="1" outlineLevel="1" x14ac:dyDescent="0.25">
      <c r="A41" s="44"/>
      <c r="B41" s="11" t="str">
        <f>CONCATENATE("          ", "4082", " - ", "TAXABLE SALES-COMPUTER HARDWAR")</f>
        <v xml:space="preserve">          4082 - TAXABLE SALES-COMPUTER HARDWAR</v>
      </c>
      <c r="C41" s="11"/>
      <c r="D41" s="2">
        <f>--124</f>
        <v>124</v>
      </c>
      <c r="E41" s="2"/>
      <c r="F41" s="19"/>
      <c r="G41" s="2"/>
      <c r="H41" s="2">
        <f>--106</f>
        <v>106</v>
      </c>
      <c r="I41" s="2"/>
      <c r="J41" s="19"/>
      <c r="K41" s="2"/>
      <c r="L41" s="2">
        <f t="shared" si="0"/>
        <v>18</v>
      </c>
      <c r="M41" s="2"/>
      <c r="N41" s="19">
        <f t="shared" si="1"/>
        <v>0.16981132075471697</v>
      </c>
      <c r="O41" s="11"/>
      <c r="P41" s="2">
        <f>--162</f>
        <v>162</v>
      </c>
      <c r="Q41" s="2"/>
      <c r="R41" s="19"/>
      <c r="S41" s="2"/>
      <c r="T41" s="2">
        <f>--135</f>
        <v>135</v>
      </c>
      <c r="U41" s="2"/>
      <c r="V41" s="19"/>
      <c r="W41" s="2"/>
      <c r="X41" s="2">
        <f t="shared" si="2"/>
        <v>27</v>
      </c>
      <c r="Y41" s="2"/>
      <c r="Z41" s="19">
        <f t="shared" si="3"/>
        <v>0.2</v>
      </c>
    </row>
    <row r="42" spans="1:26" s="24" customFormat="1" hidden="1" outlineLevel="1" x14ac:dyDescent="0.25">
      <c r="A42" s="44"/>
      <c r="B42" s="11" t="str">
        <f>CONCATENATE("          ", "4083", " - ", "TAXABLE SALES-COMPUTER EQUIPME")</f>
        <v xml:space="preserve">          4083 - TAXABLE SALES-COMPUTER EQUIPME</v>
      </c>
      <c r="C42" s="11"/>
      <c r="D42" s="2">
        <f>--269.82</f>
        <v>269.82</v>
      </c>
      <c r="E42" s="2"/>
      <c r="F42" s="19"/>
      <c r="G42" s="2"/>
      <c r="H42" s="2">
        <f>--254.8</f>
        <v>254.8</v>
      </c>
      <c r="I42" s="2"/>
      <c r="J42" s="19"/>
      <c r="K42" s="2"/>
      <c r="L42" s="2">
        <f t="shared" si="0"/>
        <v>15.019999999999982</v>
      </c>
      <c r="M42" s="2"/>
      <c r="N42" s="19">
        <f t="shared" si="1"/>
        <v>5.8948194662480302E-2</v>
      </c>
      <c r="O42" s="11"/>
      <c r="P42" s="2">
        <f>--299.8</f>
        <v>299.8</v>
      </c>
      <c r="Q42" s="2"/>
      <c r="R42" s="19"/>
      <c r="S42" s="2"/>
      <c r="T42" s="2">
        <f>--389.68</f>
        <v>389.68</v>
      </c>
      <c r="U42" s="2"/>
      <c r="V42" s="19"/>
      <c r="W42" s="2"/>
      <c r="X42" s="2">
        <f t="shared" si="2"/>
        <v>-89.88</v>
      </c>
      <c r="Y42" s="2"/>
      <c r="Z42" s="19">
        <f t="shared" si="3"/>
        <v>-0.23065079039211658</v>
      </c>
    </row>
    <row r="43" spans="1:26" s="24" customFormat="1" hidden="1" outlineLevel="1" x14ac:dyDescent="0.25">
      <c r="A43" s="44"/>
      <c r="B43" s="11" t="str">
        <f>CONCATENATE("          ", "4086", " - ", "TAXABLE SALES-COMPUTER SUPPLIE")</f>
        <v xml:space="preserve">          4086 - TAXABLE SALES-COMPUTER SUPPLIE</v>
      </c>
      <c r="C43" s="11"/>
      <c r="D43" s="2">
        <f>--344.87</f>
        <v>344.87</v>
      </c>
      <c r="E43" s="2"/>
      <c r="F43" s="19"/>
      <c r="G43" s="2"/>
      <c r="H43" s="2">
        <f>--390.79</f>
        <v>390.79</v>
      </c>
      <c r="I43" s="2"/>
      <c r="J43" s="19"/>
      <c r="K43" s="2"/>
      <c r="L43" s="2">
        <f t="shared" si="0"/>
        <v>-45.920000000000016</v>
      </c>
      <c r="M43" s="2"/>
      <c r="N43" s="19">
        <f t="shared" si="1"/>
        <v>-0.11750556564906987</v>
      </c>
      <c r="O43" s="11"/>
      <c r="P43" s="2">
        <f>--453.82</f>
        <v>453.82</v>
      </c>
      <c r="Q43" s="2"/>
      <c r="R43" s="19"/>
      <c r="S43" s="2"/>
      <c r="T43" s="2">
        <f>--560.7</f>
        <v>560.70000000000005</v>
      </c>
      <c r="U43" s="2"/>
      <c r="V43" s="19"/>
      <c r="W43" s="2"/>
      <c r="X43" s="2">
        <f t="shared" si="2"/>
        <v>-106.88000000000005</v>
      </c>
      <c r="Y43" s="2"/>
      <c r="Z43" s="19">
        <f t="shared" si="3"/>
        <v>-0.19061886927055474</v>
      </c>
    </row>
    <row r="44" spans="1:26" s="24" customFormat="1" hidden="1" outlineLevel="1" x14ac:dyDescent="0.25">
      <c r="A44" s="44"/>
      <c r="B44" s="11" t="str">
        <f>CONCATENATE("          ", "4092", " - ", "TAXABLE SALES-GRAD MERCH")</f>
        <v xml:space="preserve">          4092 - TAXABLE SALES-GRAD MERCH</v>
      </c>
      <c r="C44" s="11"/>
      <c r="D44" s="2">
        <f>--49.9</f>
        <v>49.9</v>
      </c>
      <c r="E44" s="2"/>
      <c r="F44" s="19"/>
      <c r="G44" s="2"/>
      <c r="H44" s="2">
        <f>--49.9</f>
        <v>49.9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--3872.63</f>
        <v>3872.63</v>
      </c>
      <c r="Q44" s="2"/>
      <c r="R44" s="19"/>
      <c r="S44" s="2"/>
      <c r="T44" s="2">
        <f>--4066.3</f>
        <v>4066.3</v>
      </c>
      <c r="U44" s="2"/>
      <c r="V44" s="19"/>
      <c r="W44" s="2"/>
      <c r="X44" s="2">
        <f t="shared" si="2"/>
        <v>-193.67000000000007</v>
      </c>
      <c r="Y44" s="2"/>
      <c r="Z44" s="19">
        <f t="shared" si="3"/>
        <v>-4.7628064825517069E-2</v>
      </c>
    </row>
    <row r="45" spans="1:26" s="24" customFormat="1" hidden="1" outlineLevel="1" x14ac:dyDescent="0.25">
      <c r="A45" s="44"/>
      <c r="B45" s="11" t="str">
        <f>CONCATENATE("          ", "4095", " - ", "TAXABLE SALES-CUSTOMER SERVICE")</f>
        <v xml:space="preserve">          4095 - TAXABLE SALES-CUSTOMER SERVICE</v>
      </c>
      <c r="C45" s="11"/>
      <c r="D45" s="2">
        <f>--26.83</f>
        <v>26.83</v>
      </c>
      <c r="E45" s="2"/>
      <c r="F45" s="19"/>
      <c r="G45" s="2"/>
      <c r="H45" s="2">
        <f>--106.96</f>
        <v>106.96</v>
      </c>
      <c r="I45" s="2"/>
      <c r="J45" s="19"/>
      <c r="K45" s="2"/>
      <c r="L45" s="2">
        <f t="shared" si="0"/>
        <v>-80.13</v>
      </c>
      <c r="M45" s="2"/>
      <c r="N45" s="19">
        <f t="shared" si="1"/>
        <v>-0.74915856394913982</v>
      </c>
      <c r="O45" s="11"/>
      <c r="P45" s="2">
        <f>--200.85</f>
        <v>200.85</v>
      </c>
      <c r="Q45" s="2"/>
      <c r="R45" s="19"/>
      <c r="S45" s="2"/>
      <c r="T45" s="2">
        <f>--620.77</f>
        <v>620.77</v>
      </c>
      <c r="U45" s="2"/>
      <c r="V45" s="19"/>
      <c r="W45" s="2"/>
      <c r="X45" s="2">
        <f t="shared" si="2"/>
        <v>-419.91999999999996</v>
      </c>
      <c r="Y45" s="2"/>
      <c r="Z45" s="19">
        <f t="shared" si="3"/>
        <v>-0.67645021505549552</v>
      </c>
    </row>
    <row r="46" spans="1:26" s="24" customFormat="1" hidden="1" outlineLevel="1" x14ac:dyDescent="0.25">
      <c r="A46" s="44"/>
      <c r="B46" s="11" t="str">
        <f>CONCATENATE("          ", "4100", " - ", "NON-TAXABLE SALES")</f>
        <v xml:space="preserve">          4100 - NON-TAXABLE SALES</v>
      </c>
      <c r="C46" s="11"/>
      <c r="D46" s="2">
        <f>--66153.34</f>
        <v>66153.34</v>
      </c>
      <c r="E46" s="2"/>
      <c r="F46" s="19"/>
      <c r="G46" s="2"/>
      <c r="H46" s="2">
        <f>--74429.25</f>
        <v>74429.25</v>
      </c>
      <c r="I46" s="2"/>
      <c r="J46" s="19"/>
      <c r="K46" s="2"/>
      <c r="L46" s="2">
        <f t="shared" si="0"/>
        <v>-8275.9100000000035</v>
      </c>
      <c r="M46" s="2"/>
      <c r="N46" s="19">
        <f t="shared" si="1"/>
        <v>-0.11119163500908585</v>
      </c>
      <c r="O46" s="11"/>
      <c r="P46" s="2">
        <f>--331667.77</f>
        <v>331667.77</v>
      </c>
      <c r="Q46" s="2"/>
      <c r="R46" s="19"/>
      <c r="S46" s="2"/>
      <c r="T46" s="2">
        <f>--385488.41</f>
        <v>385488.41</v>
      </c>
      <c r="U46" s="2"/>
      <c r="V46" s="19"/>
      <c r="W46" s="2"/>
      <c r="X46" s="2">
        <f t="shared" si="2"/>
        <v>-53820.639999999956</v>
      </c>
      <c r="Y46" s="2"/>
      <c r="Z46" s="19">
        <f t="shared" si="3"/>
        <v>-0.13961675268006102</v>
      </c>
    </row>
    <row r="47" spans="1:26" s="24" customFormat="1" hidden="1" outlineLevel="1" x14ac:dyDescent="0.25">
      <c r="A47" s="44"/>
      <c r="B47" s="11" t="str">
        <f>CONCATENATE("          ", "4101", " - ", "NON-TAXABLE SALES-NEW TEXT")</f>
        <v xml:space="preserve">          4101 - NON-TAXABLE SALES-NEW TEXT</v>
      </c>
      <c r="C47" s="11"/>
      <c r="D47" s="2">
        <f>--27999.53</f>
        <v>27999.53</v>
      </c>
      <c r="E47" s="2"/>
      <c r="F47" s="19"/>
      <c r="G47" s="2"/>
      <c r="H47" s="2">
        <f>--51572.49</f>
        <v>51572.49</v>
      </c>
      <c r="I47" s="2"/>
      <c r="J47" s="19"/>
      <c r="K47" s="2"/>
      <c r="L47" s="2">
        <f t="shared" si="0"/>
        <v>-23572.959999999999</v>
      </c>
      <c r="M47" s="2"/>
      <c r="N47" s="19">
        <f t="shared" si="1"/>
        <v>-0.45708399962848412</v>
      </c>
      <c r="O47" s="11"/>
      <c r="P47" s="2">
        <f>--83892.55</f>
        <v>83892.55</v>
      </c>
      <c r="Q47" s="2"/>
      <c r="R47" s="19"/>
      <c r="S47" s="2"/>
      <c r="T47" s="2">
        <f>--141019.7</f>
        <v>141019.70000000001</v>
      </c>
      <c r="U47" s="2"/>
      <c r="V47" s="19"/>
      <c r="W47" s="2"/>
      <c r="X47" s="2">
        <f t="shared" si="2"/>
        <v>-57127.150000000009</v>
      </c>
      <c r="Y47" s="2"/>
      <c r="Z47" s="19">
        <f t="shared" si="3"/>
        <v>-0.40510049305168006</v>
      </c>
    </row>
    <row r="48" spans="1:26" s="24" customFormat="1" hidden="1" outlineLevel="1" x14ac:dyDescent="0.25">
      <c r="A48" s="44"/>
      <c r="B48" s="11" t="str">
        <f>CONCATENATE("          ", "4102", " - ", "NON-TAXABLE SALES-USED TEXT")</f>
        <v xml:space="preserve">          4102 - NON-TAXABLE SALES-USED TEXT</v>
      </c>
      <c r="C48" s="11"/>
      <c r="D48" s="2">
        <f>--3969.18</f>
        <v>3969.18</v>
      </c>
      <c r="E48" s="2"/>
      <c r="F48" s="19"/>
      <c r="G48" s="2"/>
      <c r="H48" s="2">
        <f>--7949.5</f>
        <v>7949.5</v>
      </c>
      <c r="I48" s="2"/>
      <c r="J48" s="19"/>
      <c r="K48" s="2"/>
      <c r="L48" s="2">
        <f t="shared" si="0"/>
        <v>-3980.32</v>
      </c>
      <c r="M48" s="2"/>
      <c r="N48" s="19">
        <f t="shared" si="1"/>
        <v>-0.50070067299830179</v>
      </c>
      <c r="O48" s="11"/>
      <c r="P48" s="2">
        <f>--36443.51</f>
        <v>36443.51</v>
      </c>
      <c r="Q48" s="2"/>
      <c r="R48" s="19"/>
      <c r="S48" s="2"/>
      <c r="T48" s="2">
        <f>--49251.93</f>
        <v>49251.93</v>
      </c>
      <c r="U48" s="2"/>
      <c r="V48" s="19"/>
      <c r="W48" s="2"/>
      <c r="X48" s="2">
        <f t="shared" si="2"/>
        <v>-12808.419999999998</v>
      </c>
      <c r="Y48" s="2"/>
      <c r="Z48" s="19">
        <f t="shared" si="3"/>
        <v>-0.26005925046998152</v>
      </c>
    </row>
    <row r="49" spans="1:26" s="24" customFormat="1" hidden="1" outlineLevel="1" x14ac:dyDescent="0.25">
      <c r="A49" s="44"/>
      <c r="B49" s="11" t="str">
        <f>CONCATENATE("          ", "4103", " - ", "NON-TAXABLE SALES-RENTAL TEXT")</f>
        <v xml:space="preserve">          4103 - NON-TAXABLE SALES-RENTAL TEXT</v>
      </c>
      <c r="C49" s="11"/>
      <c r="D49" s="2">
        <f>-144.99</f>
        <v>-144.99</v>
      </c>
      <c r="E49" s="2"/>
      <c r="F49" s="19"/>
      <c r="G49" s="2"/>
      <c r="H49" s="2">
        <f>--339.9</f>
        <v>339.9</v>
      </c>
      <c r="I49" s="2"/>
      <c r="J49" s="19"/>
      <c r="K49" s="2"/>
      <c r="L49" s="2">
        <f t="shared" si="0"/>
        <v>-484.89</v>
      </c>
      <c r="M49" s="2"/>
      <c r="N49" s="19">
        <f t="shared" si="1"/>
        <v>-1.4265666372462489</v>
      </c>
      <c r="O49" s="11"/>
      <c r="P49" s="2">
        <f>--329.98</f>
        <v>329.98</v>
      </c>
      <c r="Q49" s="2"/>
      <c r="R49" s="19"/>
      <c r="S49" s="2"/>
      <c r="T49" s="2">
        <f>--509.85</f>
        <v>509.85</v>
      </c>
      <c r="U49" s="2"/>
      <c r="V49" s="19"/>
      <c r="W49" s="2"/>
      <c r="X49" s="2">
        <f t="shared" si="2"/>
        <v>-179.87</v>
      </c>
      <c r="Y49" s="2"/>
      <c r="Z49" s="19">
        <f t="shared" si="3"/>
        <v>-0.35279003628518191</v>
      </c>
    </row>
    <row r="50" spans="1:26" s="24" customFormat="1" hidden="1" outlineLevel="1" x14ac:dyDescent="0.25">
      <c r="A50" s="44"/>
      <c r="B50" s="11" t="str">
        <f>CONCATENATE("          ", "4104", " - ", "NON-TAXABLE SALES-DIGITAL TEXT")</f>
        <v xml:space="preserve">          4104 - NON-TAXABLE SALES-DIGITAL TEXT</v>
      </c>
      <c r="C50" s="11"/>
      <c r="D50" s="2">
        <f>--59065.75</f>
        <v>59065.75</v>
      </c>
      <c r="E50" s="2"/>
      <c r="F50" s="19"/>
      <c r="G50" s="2"/>
      <c r="H50" s="2">
        <f>--69600.97</f>
        <v>69600.97</v>
      </c>
      <c r="I50" s="2"/>
      <c r="J50" s="19"/>
      <c r="K50" s="2"/>
      <c r="L50" s="2">
        <f t="shared" si="0"/>
        <v>-10535.220000000001</v>
      </c>
      <c r="M50" s="2"/>
      <c r="N50" s="19">
        <f t="shared" si="1"/>
        <v>-0.15136599389347594</v>
      </c>
      <c r="O50" s="11"/>
      <c r="P50" s="2">
        <f>--318933.82</f>
        <v>318933.82</v>
      </c>
      <c r="Q50" s="2"/>
      <c r="R50" s="19"/>
      <c r="S50" s="2"/>
      <c r="T50" s="2">
        <f>--334741.53</f>
        <v>334741.53000000003</v>
      </c>
      <c r="U50" s="2"/>
      <c r="V50" s="19"/>
      <c r="W50" s="2"/>
      <c r="X50" s="2">
        <f t="shared" si="2"/>
        <v>-15807.710000000021</v>
      </c>
      <c r="Y50" s="2"/>
      <c r="Z50" s="19">
        <f t="shared" si="3"/>
        <v>-4.7223629526936858E-2</v>
      </c>
    </row>
    <row r="51" spans="1:26" s="24" customFormat="1" hidden="1" outlineLevel="1" x14ac:dyDescent="0.25">
      <c r="A51" s="44"/>
      <c r="B51" s="11" t="str">
        <f>CONCATENATE("          ", "4111", " - ", "NON-TAXABLE SALES-NO VALUE TEX")</f>
        <v xml:space="preserve">          4111 - NON-TAXABLE SALES-NO VALUE TEX</v>
      </c>
      <c r="C51" s="11"/>
      <c r="D51" s="2">
        <f>--594.06</f>
        <v>594.05999999999995</v>
      </c>
      <c r="E51" s="2"/>
      <c r="F51" s="19"/>
      <c r="G51" s="2"/>
      <c r="H51" s="2">
        <f>--1921.77</f>
        <v>1921.77</v>
      </c>
      <c r="I51" s="2"/>
      <c r="J51" s="19"/>
      <c r="K51" s="2"/>
      <c r="L51" s="2">
        <f t="shared" si="0"/>
        <v>-1327.71</v>
      </c>
      <c r="M51" s="2"/>
      <c r="N51" s="19">
        <f t="shared" si="1"/>
        <v>-0.69087872117891325</v>
      </c>
      <c r="O51" s="11"/>
      <c r="P51" s="2">
        <f>--6342.17</f>
        <v>6342.17</v>
      </c>
      <c r="Q51" s="2"/>
      <c r="R51" s="19"/>
      <c r="S51" s="2"/>
      <c r="T51" s="2">
        <f>--8589.74</f>
        <v>8589.74</v>
      </c>
      <c r="U51" s="2"/>
      <c r="V51" s="19"/>
      <c r="W51" s="2"/>
      <c r="X51" s="2">
        <f t="shared" si="2"/>
        <v>-2247.5699999999997</v>
      </c>
      <c r="Y51" s="2"/>
      <c r="Z51" s="19">
        <f t="shared" si="3"/>
        <v>-0.26165751233448276</v>
      </c>
    </row>
    <row r="52" spans="1:26" s="24" customFormat="1" hidden="1" outlineLevel="1" x14ac:dyDescent="0.25">
      <c r="A52" s="44"/>
      <c r="B52" s="11" t="str">
        <f>CONCATENATE("          ", "4113", " - ", "NON-TAXABLE SALES-TRADE BOOKS")</f>
        <v xml:space="preserve">          4113 - NON-TAXABLE SALES-TRADE BOOKS</v>
      </c>
      <c r="C52" s="11"/>
      <c r="D52" s="2">
        <f>0</f>
        <v>0</v>
      </c>
      <c r="E52" s="2"/>
      <c r="F52" s="19"/>
      <c r="G52" s="2"/>
      <c r="H52" s="2">
        <f t="shared" ref="H52:H53" si="4">0</f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--1146.72</f>
        <v>1146.72</v>
      </c>
      <c r="Q52" s="2"/>
      <c r="R52" s="19"/>
      <c r="S52" s="2"/>
      <c r="T52" s="2">
        <f>--38.23</f>
        <v>38.229999999999997</v>
      </c>
      <c r="U52" s="2"/>
      <c r="V52" s="19"/>
      <c r="W52" s="2"/>
      <c r="X52" s="2">
        <f t="shared" si="2"/>
        <v>1108.49</v>
      </c>
      <c r="Y52" s="2"/>
      <c r="Z52" s="19">
        <f t="shared" si="3"/>
        <v>28.995291655767723</v>
      </c>
    </row>
    <row r="53" spans="1:26" s="24" customFormat="1" hidden="1" outlineLevel="1" x14ac:dyDescent="0.25">
      <c r="A53" s="44"/>
      <c r="B53" s="11" t="str">
        <f>CONCATENATE("          ", "4118", " - ", "NON-TAXABLE SALES-STUDY GUIDES")</f>
        <v xml:space="preserve">          4118 - NON-TAXABLE SALES-STUDY GUIDES</v>
      </c>
      <c r="C53" s="11"/>
      <c r="D53" s="2">
        <f>--6.95</f>
        <v>6.95</v>
      </c>
      <c r="E53" s="2"/>
      <c r="F53" s="19"/>
      <c r="G53" s="2"/>
      <c r="H53" s="2">
        <f t="shared" si="4"/>
        <v>0</v>
      </c>
      <c r="I53" s="2"/>
      <c r="J53" s="19"/>
      <c r="K53" s="2"/>
      <c r="L53" s="2">
        <f t="shared" si="0"/>
        <v>6.95</v>
      </c>
      <c r="M53" s="2"/>
      <c r="N53" s="19">
        <f t="shared" si="1"/>
        <v>0</v>
      </c>
      <c r="O53" s="11"/>
      <c r="P53" s="2">
        <f>--20.92</f>
        <v>20.92</v>
      </c>
      <c r="Q53" s="2"/>
      <c r="R53" s="19"/>
      <c r="S53" s="2"/>
      <c r="T53" s="2">
        <f>--111.41</f>
        <v>111.41</v>
      </c>
      <c r="U53" s="2"/>
      <c r="V53" s="19"/>
      <c r="W53" s="2"/>
      <c r="X53" s="2">
        <f t="shared" si="2"/>
        <v>-90.49</v>
      </c>
      <c r="Y53" s="2"/>
      <c r="Z53" s="19">
        <f t="shared" si="3"/>
        <v>-0.81222511444215062</v>
      </c>
    </row>
    <row r="54" spans="1:26" s="24" customFormat="1" hidden="1" outlineLevel="1" x14ac:dyDescent="0.25">
      <c r="A54" s="44"/>
      <c r="B54" s="11" t="str">
        <f>CONCATENATE("          ", "4125", " - ", "NON-TAXABLE SALES-TEST FORMS")</f>
        <v xml:space="preserve">          4125 - NON-TAXABLE SALES-TEST FORMS</v>
      </c>
      <c r="C54" s="11"/>
      <c r="D54" s="2">
        <f>--42.03</f>
        <v>42.03</v>
      </c>
      <c r="E54" s="2"/>
      <c r="F54" s="19"/>
      <c r="G54" s="2"/>
      <c r="H54" s="2">
        <f>--51.94</f>
        <v>51.94</v>
      </c>
      <c r="I54" s="2"/>
      <c r="J54" s="19"/>
      <c r="K54" s="2"/>
      <c r="L54" s="2">
        <f t="shared" si="0"/>
        <v>-9.9099999999999966</v>
      </c>
      <c r="M54" s="2"/>
      <c r="N54" s="19">
        <f t="shared" si="1"/>
        <v>-0.19079707354639963</v>
      </c>
      <c r="O54" s="11"/>
      <c r="P54" s="2">
        <f>--124.18</f>
        <v>124.18</v>
      </c>
      <c r="Q54" s="2"/>
      <c r="R54" s="19"/>
      <c r="S54" s="2"/>
      <c r="T54" s="2">
        <f>--160.73</f>
        <v>160.72999999999999</v>
      </c>
      <c r="U54" s="2"/>
      <c r="V54" s="19"/>
      <c r="W54" s="2"/>
      <c r="X54" s="2">
        <f t="shared" si="2"/>
        <v>-36.549999999999983</v>
      </c>
      <c r="Y54" s="2"/>
      <c r="Z54" s="19">
        <f t="shared" si="3"/>
        <v>-0.22739998755677213</v>
      </c>
    </row>
    <row r="55" spans="1:26" s="24" customFormat="1" hidden="1" outlineLevel="1" x14ac:dyDescent="0.25">
      <c r="A55" s="44"/>
      <c r="B55" s="11" t="str">
        <f>CONCATENATE("          ", "4126", " - ", "NON-TAXABLE SALES-WRITING INST")</f>
        <v xml:space="preserve">          4126 - NON-TAXABLE SALES-WRITING INST</v>
      </c>
      <c r="C55" s="11"/>
      <c r="D55" s="2">
        <f>--332.14</f>
        <v>332.14</v>
      </c>
      <c r="E55" s="2"/>
      <c r="F55" s="19"/>
      <c r="G55" s="2"/>
      <c r="H55" s="2">
        <f>--514.49</f>
        <v>514.49</v>
      </c>
      <c r="I55" s="2"/>
      <c r="J55" s="19"/>
      <c r="K55" s="2"/>
      <c r="L55" s="2">
        <f t="shared" si="0"/>
        <v>-182.35000000000002</v>
      </c>
      <c r="M55" s="2"/>
      <c r="N55" s="19">
        <f t="shared" si="1"/>
        <v>-0.35442865750549091</v>
      </c>
      <c r="O55" s="11"/>
      <c r="P55" s="2">
        <f>--1343.26</f>
        <v>1343.26</v>
      </c>
      <c r="Q55" s="2"/>
      <c r="R55" s="19"/>
      <c r="S55" s="2"/>
      <c r="T55" s="2">
        <f>--1695.46</f>
        <v>1695.46</v>
      </c>
      <c r="U55" s="2"/>
      <c r="V55" s="19"/>
      <c r="W55" s="2"/>
      <c r="X55" s="2">
        <f t="shared" si="2"/>
        <v>-352.20000000000005</v>
      </c>
      <c r="Y55" s="2"/>
      <c r="Z55" s="19">
        <f t="shared" si="3"/>
        <v>-0.20773123518101286</v>
      </c>
    </row>
    <row r="56" spans="1:26" s="24" customFormat="1" hidden="1" outlineLevel="1" x14ac:dyDescent="0.25">
      <c r="A56" s="44"/>
      <c r="B56" s="11" t="str">
        <f>CONCATENATE("          ", "4127", " - ", "NON-TAXABLE SALES-SCHOOL SUPPL")</f>
        <v xml:space="preserve">          4127 - NON-TAXABLE SALES-SCHOOL SUPPL</v>
      </c>
      <c r="C56" s="11"/>
      <c r="D56" s="2">
        <f>--547.21</f>
        <v>547.21</v>
      </c>
      <c r="E56" s="2"/>
      <c r="F56" s="19"/>
      <c r="G56" s="2"/>
      <c r="H56" s="2">
        <f>--636.96</f>
        <v>636.96</v>
      </c>
      <c r="I56" s="2"/>
      <c r="J56" s="19"/>
      <c r="K56" s="2"/>
      <c r="L56" s="2">
        <f t="shared" si="0"/>
        <v>-89.75</v>
      </c>
      <c r="M56" s="2"/>
      <c r="N56" s="19">
        <f t="shared" si="1"/>
        <v>-0.14090366742024615</v>
      </c>
      <c r="O56" s="11"/>
      <c r="P56" s="2">
        <f>--2417.49</f>
        <v>2417.4899999999998</v>
      </c>
      <c r="Q56" s="2"/>
      <c r="R56" s="19"/>
      <c r="S56" s="2"/>
      <c r="T56" s="2">
        <f>--2536.68</f>
        <v>2536.6799999999998</v>
      </c>
      <c r="U56" s="2"/>
      <c r="V56" s="19"/>
      <c r="W56" s="2"/>
      <c r="X56" s="2">
        <f t="shared" si="2"/>
        <v>-119.19000000000005</v>
      </c>
      <c r="Y56" s="2"/>
      <c r="Z56" s="19">
        <f t="shared" si="3"/>
        <v>-4.6986612422536565E-2</v>
      </c>
    </row>
    <row r="57" spans="1:26" s="24" customFormat="1" hidden="1" outlineLevel="1" x14ac:dyDescent="0.25">
      <c r="A57" s="44"/>
      <c r="B57" s="11" t="str">
        <f>CONCATENATE("          ", "4128", " - ", "NON-TAXABLE SALES-ART/TECH")</f>
        <v xml:space="preserve">          4128 - NON-TAXABLE SALES-ART/TECH</v>
      </c>
      <c r="C57" s="11"/>
      <c r="D57" s="2">
        <f>--132.8</f>
        <v>132.80000000000001</v>
      </c>
      <c r="E57" s="2"/>
      <c r="F57" s="19"/>
      <c r="G57" s="2"/>
      <c r="H57" s="2">
        <f>--158.57</f>
        <v>158.57</v>
      </c>
      <c r="I57" s="2"/>
      <c r="J57" s="19"/>
      <c r="K57" s="2"/>
      <c r="L57" s="2">
        <f t="shared" si="0"/>
        <v>-25.769999999999982</v>
      </c>
      <c r="M57" s="2"/>
      <c r="N57" s="19">
        <f t="shared" si="1"/>
        <v>-0.16251497761241082</v>
      </c>
      <c r="O57" s="11"/>
      <c r="P57" s="2">
        <f>--262.9</f>
        <v>262.89999999999998</v>
      </c>
      <c r="Q57" s="2"/>
      <c r="R57" s="19"/>
      <c r="S57" s="2"/>
      <c r="T57" s="2">
        <f>--562.56</f>
        <v>562.55999999999995</v>
      </c>
      <c r="U57" s="2"/>
      <c r="V57" s="19"/>
      <c r="W57" s="2"/>
      <c r="X57" s="2">
        <f t="shared" si="2"/>
        <v>-299.65999999999997</v>
      </c>
      <c r="Y57" s="2"/>
      <c r="Z57" s="19">
        <f t="shared" si="3"/>
        <v>-0.53267207053469856</v>
      </c>
    </row>
    <row r="58" spans="1:26" s="24" customFormat="1" hidden="1" outlineLevel="1" x14ac:dyDescent="0.25">
      <c r="A58" s="44"/>
      <c r="B58" s="11" t="str">
        <f>CONCATENATE("          ", "4131", " - ", "NON-TAXABLE SALES-FOOD")</f>
        <v xml:space="preserve">          4131 - NON-TAXABLE SALES-FOOD</v>
      </c>
      <c r="C58" s="11"/>
      <c r="D58" s="2">
        <f>--10548.09</f>
        <v>10548.09</v>
      </c>
      <c r="E58" s="2"/>
      <c r="F58" s="19"/>
      <c r="G58" s="2"/>
      <c r="H58" s="2">
        <f>--10229.12</f>
        <v>10229.120000000001</v>
      </c>
      <c r="I58" s="2"/>
      <c r="J58" s="19"/>
      <c r="K58" s="2"/>
      <c r="L58" s="2">
        <f t="shared" si="0"/>
        <v>318.96999999999935</v>
      </c>
      <c r="M58" s="2"/>
      <c r="N58" s="19">
        <f t="shared" si="1"/>
        <v>3.1182545517111866E-2</v>
      </c>
      <c r="O58" s="11"/>
      <c r="P58" s="2">
        <f>--13265.29</f>
        <v>13265.29</v>
      </c>
      <c r="Q58" s="2"/>
      <c r="R58" s="19"/>
      <c r="S58" s="2"/>
      <c r="T58" s="2">
        <f>--13183.57</f>
        <v>13183.57</v>
      </c>
      <c r="U58" s="2"/>
      <c r="V58" s="19"/>
      <c r="W58" s="2"/>
      <c r="X58" s="2">
        <f t="shared" si="2"/>
        <v>81.720000000001164</v>
      </c>
      <c r="Y58" s="2"/>
      <c r="Z58" s="19">
        <f t="shared" si="3"/>
        <v>6.1986245000406693E-3</v>
      </c>
    </row>
    <row r="59" spans="1:26" s="24" customFormat="1" hidden="1" outlineLevel="1" x14ac:dyDescent="0.25">
      <c r="A59" s="44"/>
      <c r="B59" s="11" t="str">
        <f>CONCATENATE("          ", "4132", " - ", "NON-TAXABLE SALES-JUICE")</f>
        <v xml:space="preserve">          4132 - NON-TAXABLE SALES-JUICE</v>
      </c>
      <c r="C59" s="11"/>
      <c r="D59" s="2">
        <f>--3051.46</f>
        <v>3051.46</v>
      </c>
      <c r="E59" s="2"/>
      <c r="F59" s="19"/>
      <c r="G59" s="2"/>
      <c r="H59" s="2">
        <f>--2688.01</f>
        <v>2688.01</v>
      </c>
      <c r="I59" s="2"/>
      <c r="J59" s="19"/>
      <c r="K59" s="2"/>
      <c r="L59" s="2">
        <f t="shared" si="0"/>
        <v>363.44999999999982</v>
      </c>
      <c r="M59" s="2"/>
      <c r="N59" s="19">
        <f t="shared" si="1"/>
        <v>0.13521155055226722</v>
      </c>
      <c r="O59" s="11"/>
      <c r="P59" s="2">
        <f>--3810.37</f>
        <v>3810.37</v>
      </c>
      <c r="Q59" s="2"/>
      <c r="R59" s="19"/>
      <c r="S59" s="2"/>
      <c r="T59" s="2">
        <f>--3382.5</f>
        <v>3382.5</v>
      </c>
      <c r="U59" s="2"/>
      <c r="V59" s="19"/>
      <c r="W59" s="2"/>
      <c r="X59" s="2">
        <f t="shared" si="2"/>
        <v>427.86999999999989</v>
      </c>
      <c r="Y59" s="2"/>
      <c r="Z59" s="19">
        <f t="shared" si="3"/>
        <v>0.12649519586104949</v>
      </c>
    </row>
    <row r="60" spans="1:26" s="24" customFormat="1" hidden="1" outlineLevel="1" x14ac:dyDescent="0.25">
      <c r="A60" s="44"/>
      <c r="B60" s="11" t="str">
        <f>CONCATENATE("          ", "4133", " - ", "NON-TAXABLE SALES-CANDY")</f>
        <v xml:space="preserve">          4133 - NON-TAXABLE SALES-CANDY</v>
      </c>
      <c r="C60" s="11"/>
      <c r="D60" s="2">
        <f>--3292.63</f>
        <v>3292.63</v>
      </c>
      <c r="E60" s="2"/>
      <c r="F60" s="19"/>
      <c r="G60" s="2"/>
      <c r="H60" s="2">
        <f>--2613.86</f>
        <v>2613.86</v>
      </c>
      <c r="I60" s="2"/>
      <c r="J60" s="19"/>
      <c r="K60" s="2"/>
      <c r="L60" s="2">
        <f t="shared" si="0"/>
        <v>678.77</v>
      </c>
      <c r="M60" s="2"/>
      <c r="N60" s="19">
        <f t="shared" si="1"/>
        <v>0.25968108467936307</v>
      </c>
      <c r="O60" s="11"/>
      <c r="P60" s="2">
        <f>--4664.98</f>
        <v>4664.9799999999996</v>
      </c>
      <c r="Q60" s="2"/>
      <c r="R60" s="19"/>
      <c r="S60" s="2"/>
      <c r="T60" s="2">
        <f>--3806.67</f>
        <v>3806.67</v>
      </c>
      <c r="U60" s="2"/>
      <c r="V60" s="19"/>
      <c r="W60" s="2"/>
      <c r="X60" s="2">
        <f t="shared" si="2"/>
        <v>858.30999999999949</v>
      </c>
      <c r="Y60" s="2"/>
      <c r="Z60" s="19">
        <f t="shared" si="3"/>
        <v>0.2254752841722554</v>
      </c>
    </row>
    <row r="61" spans="1:26" s="24" customFormat="1" hidden="1" outlineLevel="1" x14ac:dyDescent="0.25">
      <c r="A61" s="44"/>
      <c r="B61" s="11" t="str">
        <f>CONCATENATE("          ", "4134", " - ", "NON-TAXABLE SALES-SODA")</f>
        <v xml:space="preserve">          4134 - NON-TAXABLE SALES-SODA</v>
      </c>
      <c r="C61" s="11"/>
      <c r="D61" s="2">
        <f>0</f>
        <v>0</v>
      </c>
      <c r="E61" s="2"/>
      <c r="F61" s="19"/>
      <c r="G61" s="2"/>
      <c r="H61" s="2">
        <f>--55.74</f>
        <v>55.74</v>
      </c>
      <c r="I61" s="2"/>
      <c r="J61" s="19"/>
      <c r="K61" s="2"/>
      <c r="L61" s="2">
        <f t="shared" si="0"/>
        <v>-55.74</v>
      </c>
      <c r="M61" s="2"/>
      <c r="N61" s="19">
        <f t="shared" si="1"/>
        <v>-1</v>
      </c>
      <c r="O61" s="11"/>
      <c r="P61" s="2">
        <f>0</f>
        <v>0</v>
      </c>
      <c r="Q61" s="2"/>
      <c r="R61" s="19"/>
      <c r="S61" s="2"/>
      <c r="T61" s="2">
        <f>--109.47</f>
        <v>109.47</v>
      </c>
      <c r="U61" s="2"/>
      <c r="V61" s="19"/>
      <c r="W61" s="2"/>
      <c r="X61" s="2">
        <f t="shared" si="2"/>
        <v>-109.47</v>
      </c>
      <c r="Y61" s="2"/>
      <c r="Z61" s="19">
        <f t="shared" si="3"/>
        <v>-1</v>
      </c>
    </row>
    <row r="62" spans="1:26" s="24" customFormat="1" hidden="1" outlineLevel="1" x14ac:dyDescent="0.25">
      <c r="A62" s="44"/>
      <c r="B62" s="11" t="str">
        <f>CONCATENATE("          ", "4135", " - ", "NON-TAXABLE SALES")</f>
        <v xml:space="preserve">          4135 - NON-TAXABLE SALES</v>
      </c>
      <c r="C62" s="11"/>
      <c r="D62" s="2">
        <f>--32.31</f>
        <v>32.31</v>
      </c>
      <c r="E62" s="2"/>
      <c r="F62" s="19"/>
      <c r="G62" s="2"/>
      <c r="H62" s="2">
        <f>--34.03</f>
        <v>34.03</v>
      </c>
      <c r="I62" s="2"/>
      <c r="J62" s="19"/>
      <c r="K62" s="2"/>
      <c r="L62" s="2">
        <f t="shared" si="0"/>
        <v>-1.7199999999999989</v>
      </c>
      <c r="M62" s="2"/>
      <c r="N62" s="19">
        <f t="shared" si="1"/>
        <v>-5.0543637966500111E-2</v>
      </c>
      <c r="O62" s="11"/>
      <c r="P62" s="2">
        <f>--86.06</f>
        <v>86.06</v>
      </c>
      <c r="Q62" s="2"/>
      <c r="R62" s="19"/>
      <c r="S62" s="2"/>
      <c r="T62" s="2">
        <f>--50.62</f>
        <v>50.62</v>
      </c>
      <c r="U62" s="2"/>
      <c r="V62" s="19"/>
      <c r="W62" s="2"/>
      <c r="X62" s="2">
        <f t="shared" si="2"/>
        <v>35.440000000000005</v>
      </c>
      <c r="Y62" s="2"/>
      <c r="Z62" s="19">
        <f t="shared" si="3"/>
        <v>0.70011853022520754</v>
      </c>
    </row>
    <row r="63" spans="1:26" s="24" customFormat="1" hidden="1" outlineLevel="1" x14ac:dyDescent="0.25">
      <c r="A63" s="44"/>
      <c r="B63" s="11" t="str">
        <f>CONCATENATE("          ", "4137", " - ", "NON-TAXABLE SALES-WATER")</f>
        <v xml:space="preserve">          4137 - NON-TAXABLE SALES-WATER</v>
      </c>
      <c r="C63" s="11"/>
      <c r="D63" s="2">
        <f>--1634.15</f>
        <v>1634.15</v>
      </c>
      <c r="E63" s="2"/>
      <c r="F63" s="19"/>
      <c r="G63" s="2"/>
      <c r="H63" s="2">
        <f>--1349.71</f>
        <v>1349.71</v>
      </c>
      <c r="I63" s="2"/>
      <c r="J63" s="19"/>
      <c r="K63" s="2"/>
      <c r="L63" s="2">
        <f t="shared" si="0"/>
        <v>284.44000000000005</v>
      </c>
      <c r="M63" s="2"/>
      <c r="N63" s="19">
        <f t="shared" si="1"/>
        <v>0.21074156670692226</v>
      </c>
      <c r="O63" s="11"/>
      <c r="P63" s="2">
        <f>--2240.87</f>
        <v>2240.87</v>
      </c>
      <c r="Q63" s="2"/>
      <c r="R63" s="19"/>
      <c r="S63" s="2"/>
      <c r="T63" s="2">
        <f>--1813.68</f>
        <v>1813.68</v>
      </c>
      <c r="U63" s="2"/>
      <c r="V63" s="19"/>
      <c r="W63" s="2"/>
      <c r="X63" s="2">
        <f t="shared" si="2"/>
        <v>427.18999999999983</v>
      </c>
      <c r="Y63" s="2"/>
      <c r="Z63" s="19">
        <f t="shared" si="3"/>
        <v>0.23553769132371741</v>
      </c>
    </row>
    <row r="64" spans="1:26" s="24" customFormat="1" hidden="1" outlineLevel="1" x14ac:dyDescent="0.25">
      <c r="A64" s="44"/>
      <c r="B64" s="11" t="str">
        <f>CONCATENATE("          ", "4140", " - ", "NON-TAXABLE SALES-LOGO CLOTHIN")</f>
        <v xml:space="preserve">          4140 - NON-TAXABLE SALES-LOGO CLOTHIN</v>
      </c>
      <c r="C64" s="11"/>
      <c r="D64" s="2">
        <f>--3114.74</f>
        <v>3114.74</v>
      </c>
      <c r="E64" s="2"/>
      <c r="F64" s="19"/>
      <c r="G64" s="2"/>
      <c r="H64" s="2">
        <f>--2646.49</f>
        <v>2646.49</v>
      </c>
      <c r="I64" s="2"/>
      <c r="J64" s="19"/>
      <c r="K64" s="2"/>
      <c r="L64" s="2">
        <f t="shared" si="0"/>
        <v>468.25</v>
      </c>
      <c r="M64" s="2"/>
      <c r="N64" s="19">
        <f t="shared" si="1"/>
        <v>0.1769324652653137</v>
      </c>
      <c r="O64" s="11"/>
      <c r="P64" s="2">
        <f>--8257.7</f>
        <v>8257.7000000000007</v>
      </c>
      <c r="Q64" s="2"/>
      <c r="R64" s="19"/>
      <c r="S64" s="2"/>
      <c r="T64" s="2">
        <f>--7904.3</f>
        <v>7904.3</v>
      </c>
      <c r="U64" s="2"/>
      <c r="V64" s="19"/>
      <c r="W64" s="2"/>
      <c r="X64" s="2">
        <f t="shared" si="2"/>
        <v>353.40000000000055</v>
      </c>
      <c r="Y64" s="2"/>
      <c r="Z64" s="19">
        <f t="shared" si="3"/>
        <v>4.470984147868888E-2</v>
      </c>
    </row>
    <row r="65" spans="1:26" s="24" customFormat="1" hidden="1" outlineLevel="1" x14ac:dyDescent="0.25">
      <c r="A65" s="44"/>
      <c r="B65" s="11" t="str">
        <f>CONCATENATE("          ", "4141", " - ", "NON-TAXABLE SALES-LOGO GIFTS")</f>
        <v xml:space="preserve">          4141 - NON-TAXABLE SALES-LOGO GIFTS</v>
      </c>
      <c r="C65" s="11"/>
      <c r="D65" s="2">
        <f>--120.34</f>
        <v>120.34</v>
      </c>
      <c r="E65" s="2"/>
      <c r="F65" s="19"/>
      <c r="G65" s="2"/>
      <c r="H65" s="2">
        <f>--608.29</f>
        <v>608.29</v>
      </c>
      <c r="I65" s="2"/>
      <c r="J65" s="19"/>
      <c r="K65" s="2"/>
      <c r="L65" s="2">
        <f t="shared" si="0"/>
        <v>-487.94999999999993</v>
      </c>
      <c r="M65" s="2"/>
      <c r="N65" s="19">
        <f t="shared" si="1"/>
        <v>-0.80216672968485425</v>
      </c>
      <c r="O65" s="11"/>
      <c r="P65" s="2">
        <f>--814.64</f>
        <v>814.64</v>
      </c>
      <c r="Q65" s="2"/>
      <c r="R65" s="19"/>
      <c r="S65" s="2"/>
      <c r="T65" s="2">
        <f>--1728.29</f>
        <v>1728.29</v>
      </c>
      <c r="U65" s="2"/>
      <c r="V65" s="19"/>
      <c r="W65" s="2"/>
      <c r="X65" s="2">
        <f t="shared" si="2"/>
        <v>-913.65</v>
      </c>
      <c r="Y65" s="2"/>
      <c r="Z65" s="19">
        <f t="shared" si="3"/>
        <v>-0.5286439197125482</v>
      </c>
    </row>
    <row r="66" spans="1:26" s="24" customFormat="1" hidden="1" outlineLevel="1" x14ac:dyDescent="0.25">
      <c r="A66" s="44"/>
      <c r="B66" s="11" t="str">
        <f>CONCATENATE("          ", "4142", " - ", "NON-TAXABLE SALES-EVERYDAY GIF")</f>
        <v xml:space="preserve">          4142 - NON-TAXABLE SALES-EVERYDAY GIF</v>
      </c>
      <c r="C66" s="11"/>
      <c r="D66" s="2">
        <f>--2116.4</f>
        <v>2116.4</v>
      </c>
      <c r="E66" s="2"/>
      <c r="F66" s="19"/>
      <c r="G66" s="2"/>
      <c r="H66" s="2">
        <f>--1788.77</f>
        <v>1788.77</v>
      </c>
      <c r="I66" s="2"/>
      <c r="J66" s="19"/>
      <c r="K66" s="2"/>
      <c r="L66" s="2">
        <f t="shared" si="0"/>
        <v>327.63000000000011</v>
      </c>
      <c r="M66" s="2"/>
      <c r="N66" s="19">
        <f t="shared" si="1"/>
        <v>0.18315937767292614</v>
      </c>
      <c r="O66" s="11"/>
      <c r="P66" s="2">
        <f>--3036.5</f>
        <v>3036.5</v>
      </c>
      <c r="Q66" s="2"/>
      <c r="R66" s="19"/>
      <c r="S66" s="2"/>
      <c r="T66" s="2">
        <f>--2447.76</f>
        <v>2447.7600000000002</v>
      </c>
      <c r="U66" s="2"/>
      <c r="V66" s="19"/>
      <c r="W66" s="2"/>
      <c r="X66" s="2">
        <f t="shared" si="2"/>
        <v>588.73999999999978</v>
      </c>
      <c r="Y66" s="2"/>
      <c r="Z66" s="19">
        <f t="shared" si="3"/>
        <v>0.2405219465960714</v>
      </c>
    </row>
    <row r="67" spans="1:26" s="24" customFormat="1" hidden="1" outlineLevel="1" x14ac:dyDescent="0.25">
      <c r="A67" s="44"/>
      <c r="B67" s="11" t="str">
        <f>CONCATENATE("          ", "4144", " - ", "NON-TAXABLE SALES-ACCESSORIES")</f>
        <v xml:space="preserve">          4144 - NON-TAXABLE SALES-ACCESSORIES</v>
      </c>
      <c r="C67" s="11"/>
      <c r="D67" s="2">
        <f t="shared" ref="D67:D68" si="5">0</f>
        <v>0</v>
      </c>
      <c r="E67" s="2"/>
      <c r="F67" s="19"/>
      <c r="G67" s="2"/>
      <c r="H67" s="2">
        <f>--89.85</f>
        <v>89.85</v>
      </c>
      <c r="I67" s="2"/>
      <c r="J67" s="19"/>
      <c r="K67" s="2"/>
      <c r="L67" s="2">
        <f t="shared" si="0"/>
        <v>-89.85</v>
      </c>
      <c r="M67" s="2"/>
      <c r="N67" s="19">
        <f t="shared" si="1"/>
        <v>-1</v>
      </c>
      <c r="O67" s="11"/>
      <c r="P67" s="2">
        <f>--139.76</f>
        <v>139.76</v>
      </c>
      <c r="Q67" s="2"/>
      <c r="R67" s="19"/>
      <c r="S67" s="2"/>
      <c r="T67" s="2">
        <f>--174.75</f>
        <v>174.75</v>
      </c>
      <c r="U67" s="2"/>
      <c r="V67" s="19"/>
      <c r="W67" s="2"/>
      <c r="X67" s="2">
        <f t="shared" si="2"/>
        <v>-34.990000000000009</v>
      </c>
      <c r="Y67" s="2"/>
      <c r="Z67" s="19">
        <f t="shared" si="3"/>
        <v>-0.20022889842632338</v>
      </c>
    </row>
    <row r="68" spans="1:26" s="24" customFormat="1" hidden="1" outlineLevel="1" x14ac:dyDescent="0.25">
      <c r="A68" s="44"/>
      <c r="B68" s="11" t="str">
        <f>CONCATENATE("          ", "4145", " - ", "NON-TAXABLE SALES-SPECIAL ORDE")</f>
        <v xml:space="preserve">          4145 - NON-TAXABLE SALES-SPECIAL ORDE</v>
      </c>
      <c r="C68" s="11"/>
      <c r="D68" s="2">
        <f t="shared" si="5"/>
        <v>0</v>
      </c>
      <c r="E68" s="2"/>
      <c r="F68" s="19"/>
      <c r="G68" s="2"/>
      <c r="H68" s="2">
        <f>0</f>
        <v>0</v>
      </c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>--90</f>
        <v>90</v>
      </c>
      <c r="Q68" s="2"/>
      <c r="R68" s="19"/>
      <c r="S68" s="2"/>
      <c r="T68" s="2">
        <f>--201.75</f>
        <v>201.75</v>
      </c>
      <c r="U68" s="2"/>
      <c r="V68" s="19"/>
      <c r="W68" s="2"/>
      <c r="X68" s="2">
        <f t="shared" si="2"/>
        <v>-111.75</v>
      </c>
      <c r="Y68" s="2"/>
      <c r="Z68" s="19">
        <f t="shared" si="3"/>
        <v>-0.55390334572490707</v>
      </c>
    </row>
    <row r="69" spans="1:26" s="24" customFormat="1" hidden="1" outlineLevel="1" x14ac:dyDescent="0.25">
      <c r="A69" s="44"/>
      <c r="B69" s="11" t="str">
        <f>CONCATENATE("          ", "4146", " - ", "NON-TAXABLE SALES-COIN OP MACH")</f>
        <v xml:space="preserve">          4146 - NON-TAXABLE SALES-COIN OP MACH</v>
      </c>
      <c r="C69" s="11"/>
      <c r="D69" s="2">
        <f>--34744.75</f>
        <v>34744.75</v>
      </c>
      <c r="E69" s="2"/>
      <c r="F69" s="19"/>
      <c r="G69" s="2"/>
      <c r="H69" s="2">
        <f>--34411.4</f>
        <v>34411.4</v>
      </c>
      <c r="I69" s="2"/>
      <c r="J69" s="19"/>
      <c r="K69" s="2"/>
      <c r="L69" s="2">
        <f t="shared" si="0"/>
        <v>333.34999999999854</v>
      </c>
      <c r="M69" s="2"/>
      <c r="N69" s="19">
        <f t="shared" si="1"/>
        <v>9.6871966848195226E-3</v>
      </c>
      <c r="O69" s="11"/>
      <c r="P69" s="2">
        <f>--50093.5</f>
        <v>50093.5</v>
      </c>
      <c r="Q69" s="2"/>
      <c r="R69" s="19"/>
      <c r="S69" s="2"/>
      <c r="T69" s="2">
        <f>--49114.45</f>
        <v>49114.45</v>
      </c>
      <c r="U69" s="2"/>
      <c r="V69" s="19"/>
      <c r="W69" s="2"/>
      <c r="X69" s="2">
        <f t="shared" si="2"/>
        <v>979.05000000000291</v>
      </c>
      <c r="Y69" s="2"/>
      <c r="Z69" s="19">
        <f t="shared" si="3"/>
        <v>1.9934051994881404E-2</v>
      </c>
    </row>
    <row r="70" spans="1:26" s="24" customFormat="1" hidden="1" outlineLevel="1" x14ac:dyDescent="0.25">
      <c r="A70" s="44"/>
      <c r="B70" s="11" t="str">
        <f>CONCATENATE("          ", "4147", " - ", "NON-TAXABLE SALES-MISC")</f>
        <v xml:space="preserve">          4147 - NON-TAXABLE SALES-MISC</v>
      </c>
      <c r="C70" s="11"/>
      <c r="D70" s="2">
        <f>--344.5</f>
        <v>344.5</v>
      </c>
      <c r="E70" s="2"/>
      <c r="F70" s="19"/>
      <c r="G70" s="2"/>
      <c r="H70" s="2">
        <f>--92</f>
        <v>92</v>
      </c>
      <c r="I70" s="2"/>
      <c r="J70" s="19"/>
      <c r="K70" s="2"/>
      <c r="L70" s="2">
        <f t="shared" si="0"/>
        <v>252.5</v>
      </c>
      <c r="M70" s="2"/>
      <c r="N70" s="19">
        <f t="shared" si="1"/>
        <v>2.7445652173913042</v>
      </c>
      <c r="O70" s="11"/>
      <c r="P70" s="2">
        <f>--414.9</f>
        <v>414.9</v>
      </c>
      <c r="Q70" s="2"/>
      <c r="R70" s="19"/>
      <c r="S70" s="2"/>
      <c r="T70" s="2">
        <f>--190</f>
        <v>190</v>
      </c>
      <c r="U70" s="2"/>
      <c r="V70" s="19"/>
      <c r="W70" s="2"/>
      <c r="X70" s="2">
        <f t="shared" si="2"/>
        <v>224.89999999999998</v>
      </c>
      <c r="Y70" s="2"/>
      <c r="Z70" s="19">
        <f t="shared" si="3"/>
        <v>1.1836842105263157</v>
      </c>
    </row>
    <row r="71" spans="1:26" s="24" customFormat="1" hidden="1" outlineLevel="1" x14ac:dyDescent="0.25">
      <c r="A71" s="44"/>
      <c r="B71" s="11" t="str">
        <f>CONCATENATE("          ", "4186", " - ", "NON-TAXABLE SALES-COMPUTER SUP")</f>
        <v xml:space="preserve">          4186 - NON-TAXABLE SALES-COMPUTER SUP</v>
      </c>
      <c r="C71" s="11"/>
      <c r="D71" s="2">
        <f>-34.98</f>
        <v>-34.979999999999997</v>
      </c>
      <c r="E71" s="2"/>
      <c r="F71" s="19"/>
      <c r="G71" s="2"/>
      <c r="H71" s="2">
        <f>-33.99</f>
        <v>-33.99</v>
      </c>
      <c r="I71" s="2"/>
      <c r="J71" s="19"/>
      <c r="K71" s="2"/>
      <c r="L71" s="2">
        <f t="shared" si="0"/>
        <v>-0.98999999999999488</v>
      </c>
      <c r="M71" s="2"/>
      <c r="N71" s="19">
        <f t="shared" si="1"/>
        <v>2.9126213592232858E-2</v>
      </c>
      <c r="O71" s="11"/>
      <c r="P71" s="2">
        <f>-34.98</f>
        <v>-34.979999999999997</v>
      </c>
      <c r="Q71" s="2"/>
      <c r="R71" s="19"/>
      <c r="S71" s="2"/>
      <c r="T71" s="2">
        <f>-48.98</f>
        <v>-48.98</v>
      </c>
      <c r="U71" s="2"/>
      <c r="V71" s="19"/>
      <c r="W71" s="2"/>
      <c r="X71" s="2">
        <f t="shared" si="2"/>
        <v>14</v>
      </c>
      <c r="Y71" s="2"/>
      <c r="Z71" s="19">
        <f t="shared" si="3"/>
        <v>-0.28583095140873827</v>
      </c>
    </row>
    <row r="72" spans="1:26" s="24" customFormat="1" hidden="1" outlineLevel="1" x14ac:dyDescent="0.25">
      <c r="A72" s="44"/>
      <c r="B72" s="11" t="str">
        <f>CONCATENATE("          ", "4201", " - ", "SALES RETURN TAXABLE-NEW TEXT")</f>
        <v xml:space="preserve">          4201 - SALES RETURN TAXABLE-NEW TEXT</v>
      </c>
      <c r="C72" s="11"/>
      <c r="D72" s="2">
        <f>-14069.34</f>
        <v>-14069.34</v>
      </c>
      <c r="E72" s="2"/>
      <c r="F72" s="19"/>
      <c r="G72" s="2"/>
      <c r="H72" s="2">
        <f>-24266.28</f>
        <v>-24266.28</v>
      </c>
      <c r="I72" s="2"/>
      <c r="J72" s="19"/>
      <c r="K72" s="2"/>
      <c r="L72" s="2">
        <f t="shared" si="0"/>
        <v>10196.939999999999</v>
      </c>
      <c r="M72" s="2"/>
      <c r="N72" s="19">
        <f t="shared" si="1"/>
        <v>-0.42021026708667331</v>
      </c>
      <c r="O72" s="11"/>
      <c r="P72" s="2">
        <f>-73239.75</f>
        <v>-73239.75</v>
      </c>
      <c r="Q72" s="2"/>
      <c r="R72" s="19"/>
      <c r="S72" s="2"/>
      <c r="T72" s="2">
        <f>-98792.22</f>
        <v>-98792.22</v>
      </c>
      <c r="U72" s="2"/>
      <c r="V72" s="19"/>
      <c r="W72" s="2"/>
      <c r="X72" s="2">
        <f t="shared" si="2"/>
        <v>25552.47</v>
      </c>
      <c r="Y72" s="2"/>
      <c r="Z72" s="19">
        <f t="shared" si="3"/>
        <v>-0.25864860613517948</v>
      </c>
    </row>
    <row r="73" spans="1:26" s="24" customFormat="1" hidden="1" outlineLevel="1" x14ac:dyDescent="0.25">
      <c r="A73" s="44"/>
      <c r="B73" s="11" t="str">
        <f>CONCATENATE("          ", "4202", " - ", "SALES RETURN TAXABLE-USED TEXT")</f>
        <v xml:space="preserve">          4202 - SALES RETURN TAXABLE-USED TEXT</v>
      </c>
      <c r="C73" s="11"/>
      <c r="D73" s="2">
        <f>-2096.65</f>
        <v>-2096.65</v>
      </c>
      <c r="E73" s="2"/>
      <c r="F73" s="19"/>
      <c r="G73" s="2"/>
      <c r="H73" s="2">
        <f>-3228.4</f>
        <v>-3228.4</v>
      </c>
      <c r="I73" s="2"/>
      <c r="J73" s="19"/>
      <c r="K73" s="2"/>
      <c r="L73" s="2">
        <f t="shared" si="0"/>
        <v>1131.75</v>
      </c>
      <c r="M73" s="2"/>
      <c r="N73" s="19">
        <f t="shared" si="1"/>
        <v>-0.35056064923801261</v>
      </c>
      <c r="O73" s="11"/>
      <c r="P73" s="2">
        <f>-23351.1</f>
        <v>-23351.1</v>
      </c>
      <c r="Q73" s="2"/>
      <c r="R73" s="19"/>
      <c r="S73" s="2"/>
      <c r="T73" s="2">
        <f>-26655.65</f>
        <v>-26655.65</v>
      </c>
      <c r="U73" s="2"/>
      <c r="V73" s="19"/>
      <c r="W73" s="2"/>
      <c r="X73" s="2">
        <f t="shared" si="2"/>
        <v>3304.5500000000029</v>
      </c>
      <c r="Y73" s="2"/>
      <c r="Z73" s="19">
        <f t="shared" si="3"/>
        <v>-0.12397184086675818</v>
      </c>
    </row>
    <row r="74" spans="1:26" s="24" customFormat="1" hidden="1" outlineLevel="1" x14ac:dyDescent="0.25">
      <c r="A74" s="44"/>
      <c r="B74" s="11" t="str">
        <f>CONCATENATE("          ", "4203", " - ", "SALES RETURN TAXABLE-RENTAL TE")</f>
        <v xml:space="preserve">          4203 - SALES RETURN TAXABLE-RENTAL TE</v>
      </c>
      <c r="C74" s="11"/>
      <c r="D74" s="2">
        <f>-144.99</f>
        <v>-144.99</v>
      </c>
      <c r="E74" s="2"/>
      <c r="F74" s="19"/>
      <c r="G74" s="2"/>
      <c r="H74" s="2">
        <f>-1529.55</f>
        <v>-1529.55</v>
      </c>
      <c r="I74" s="2"/>
      <c r="J74" s="19"/>
      <c r="K74" s="2"/>
      <c r="L74" s="2">
        <f t="shared" si="0"/>
        <v>1384.56</v>
      </c>
      <c r="M74" s="2"/>
      <c r="N74" s="19">
        <f t="shared" si="1"/>
        <v>-0.90520741394527804</v>
      </c>
      <c r="O74" s="11"/>
      <c r="P74" s="2">
        <f>-144.99</f>
        <v>-144.99</v>
      </c>
      <c r="Q74" s="2"/>
      <c r="R74" s="19"/>
      <c r="S74" s="2"/>
      <c r="T74" s="2">
        <f>-1529.55</f>
        <v>-1529.55</v>
      </c>
      <c r="U74" s="2"/>
      <c r="V74" s="19"/>
      <c r="W74" s="2"/>
      <c r="X74" s="2">
        <f t="shared" si="2"/>
        <v>1384.56</v>
      </c>
      <c r="Y74" s="2"/>
      <c r="Z74" s="19">
        <f t="shared" si="3"/>
        <v>-0.90520741394527804</v>
      </c>
    </row>
    <row r="75" spans="1:26" s="24" customFormat="1" hidden="1" outlineLevel="1" x14ac:dyDescent="0.25">
      <c r="A75" s="44"/>
      <c r="B75" s="11" t="str">
        <f>CONCATENATE("          ", "4204", " - ", "SALES RETURN TAXABLE-DIGITAL T")</f>
        <v xml:space="preserve">          4204 - SALES RETURN TAXABLE-DIGITAL T</v>
      </c>
      <c r="C75" s="11"/>
      <c r="D75" s="2">
        <f>-4208.35</f>
        <v>-4208.3500000000004</v>
      </c>
      <c r="E75" s="2"/>
      <c r="F75" s="19"/>
      <c r="G75" s="2"/>
      <c r="H75" s="2">
        <f>-2237.91</f>
        <v>-2237.91</v>
      </c>
      <c r="I75" s="2"/>
      <c r="J75" s="19"/>
      <c r="K75" s="2"/>
      <c r="L75" s="2">
        <f t="shared" si="0"/>
        <v>-1970.4400000000005</v>
      </c>
      <c r="M75" s="2"/>
      <c r="N75" s="19">
        <f t="shared" si="1"/>
        <v>0.88048223565737704</v>
      </c>
      <c r="O75" s="11"/>
      <c r="P75" s="2">
        <f>-11056.72</f>
        <v>-11056.72</v>
      </c>
      <c r="Q75" s="2"/>
      <c r="R75" s="19"/>
      <c r="S75" s="2"/>
      <c r="T75" s="2">
        <f>-15141.64</f>
        <v>-15141.64</v>
      </c>
      <c r="U75" s="2"/>
      <c r="V75" s="19"/>
      <c r="W75" s="2"/>
      <c r="X75" s="2">
        <f t="shared" si="2"/>
        <v>4084.92</v>
      </c>
      <c r="Y75" s="2"/>
      <c r="Z75" s="19">
        <f t="shared" si="3"/>
        <v>-0.2697805521726841</v>
      </c>
    </row>
    <row r="76" spans="1:26" s="24" customFormat="1" hidden="1" outlineLevel="1" x14ac:dyDescent="0.25">
      <c r="A76" s="44"/>
      <c r="B76" s="11" t="str">
        <f>CONCATENATE("          ", "4213", " - ", "NON-TAXABLE SALES-TRADE BOOKS")</f>
        <v xml:space="preserve">          4213 - NON-TAXABLE SALES-TRADE BOOKS</v>
      </c>
      <c r="C76" s="11"/>
      <c r="D76" s="2">
        <f t="shared" ref="D76:D77" si="6">0</f>
        <v>0</v>
      </c>
      <c r="E76" s="2"/>
      <c r="F76" s="19"/>
      <c r="G76" s="2"/>
      <c r="H76" s="2">
        <f t="shared" ref="H76:H77" si="7"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 t="shared" ref="P76:P77" si="8">0</f>
        <v>0</v>
      </c>
      <c r="Q76" s="2"/>
      <c r="R76" s="19"/>
      <c r="S76" s="2"/>
      <c r="T76" s="2">
        <f>-15</f>
        <v>-15</v>
      </c>
      <c r="U76" s="2"/>
      <c r="V76" s="19"/>
      <c r="W76" s="2"/>
      <c r="X76" s="2">
        <f t="shared" si="2"/>
        <v>15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"4217", " - ", "NON-TAXABLE SALES-DORM/HOUSEWA")</f>
        <v xml:space="preserve">          4217 - NON-TAXABLE SALES-DORM/HOUSEWA</v>
      </c>
      <c r="C77" s="11"/>
      <c r="D77" s="2">
        <f t="shared" si="6"/>
        <v>0</v>
      </c>
      <c r="E77" s="2"/>
      <c r="F77" s="19"/>
      <c r="G77" s="2"/>
      <c r="H77" s="2">
        <f t="shared" si="7"/>
        <v>0</v>
      </c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 t="shared" si="8"/>
        <v>0</v>
      </c>
      <c r="Q77" s="2"/>
      <c r="R77" s="19"/>
      <c r="S77" s="2"/>
      <c r="T77" s="2">
        <f>-1.5</f>
        <v>-1.5</v>
      </c>
      <c r="U77" s="2"/>
      <c r="V77" s="19"/>
      <c r="W77" s="2"/>
      <c r="X77" s="2">
        <f t="shared" si="2"/>
        <v>1.5</v>
      </c>
      <c r="Y77" s="2"/>
      <c r="Z77" s="19">
        <f t="shared" si="3"/>
        <v>-1</v>
      </c>
    </row>
    <row r="78" spans="1:26" s="24" customFormat="1" hidden="1" outlineLevel="1" x14ac:dyDescent="0.25">
      <c r="A78" s="44"/>
      <c r="B78" s="11" t="str">
        <f>CONCATENATE("          ", "4218", " - ", "SALES RETURN TAXABLE-STUDY GUI")</f>
        <v xml:space="preserve">          4218 - SALES RETURN TAXABLE-STUDY GUI</v>
      </c>
      <c r="C78" s="11"/>
      <c r="D78" s="2">
        <f>-5.95</f>
        <v>-5.95</v>
      </c>
      <c r="E78" s="2"/>
      <c r="F78" s="19"/>
      <c r="G78" s="2"/>
      <c r="H78" s="2">
        <f>-6.95</f>
        <v>-6.95</v>
      </c>
      <c r="I78" s="2"/>
      <c r="J78" s="19"/>
      <c r="K78" s="2"/>
      <c r="L78" s="2">
        <f t="shared" si="0"/>
        <v>1</v>
      </c>
      <c r="M78" s="2"/>
      <c r="N78" s="19">
        <f t="shared" si="1"/>
        <v>-0.14388489208633093</v>
      </c>
      <c r="O78" s="11"/>
      <c r="P78" s="2">
        <f>-32.75</f>
        <v>-32.75</v>
      </c>
      <c r="Q78" s="2"/>
      <c r="R78" s="19"/>
      <c r="S78" s="2"/>
      <c r="T78" s="2">
        <f>-22.9</f>
        <v>-22.9</v>
      </c>
      <c r="U78" s="2"/>
      <c r="V78" s="19"/>
      <c r="W78" s="2"/>
      <c r="X78" s="2">
        <f t="shared" si="2"/>
        <v>-9.8500000000000014</v>
      </c>
      <c r="Y78" s="2"/>
      <c r="Z78" s="19">
        <f t="shared" si="3"/>
        <v>0.43013100436681234</v>
      </c>
    </row>
    <row r="79" spans="1:26" s="24" customFormat="1" hidden="1" outlineLevel="1" x14ac:dyDescent="0.25">
      <c r="A79" s="44"/>
      <c r="B79" s="11" t="str">
        <f>CONCATENATE("          ", "4225", " - ", "SALES RETURN TAXABLE-TEST FORM")</f>
        <v xml:space="preserve">          4225 - SALES RETURN TAXABLE-TEST FORM</v>
      </c>
      <c r="C79" s="11"/>
      <c r="D79" s="2">
        <f>-20.41</f>
        <v>-20.41</v>
      </c>
      <c r="E79" s="2"/>
      <c r="F79" s="19"/>
      <c r="G79" s="2"/>
      <c r="H79" s="2">
        <f>-23.53</f>
        <v>-23.53</v>
      </c>
      <c r="I79" s="2"/>
      <c r="J79" s="19"/>
      <c r="K79" s="2"/>
      <c r="L79" s="2">
        <f t="shared" si="0"/>
        <v>3.120000000000001</v>
      </c>
      <c r="M79" s="2"/>
      <c r="N79" s="19">
        <f t="shared" si="1"/>
        <v>-0.13259668508287295</v>
      </c>
      <c r="O79" s="11"/>
      <c r="P79" s="2">
        <f>-33.1</f>
        <v>-33.1</v>
      </c>
      <c r="Q79" s="2"/>
      <c r="R79" s="19"/>
      <c r="S79" s="2"/>
      <c r="T79" s="2">
        <f>-37.33</f>
        <v>-37.33</v>
      </c>
      <c r="U79" s="2"/>
      <c r="V79" s="19"/>
      <c r="W79" s="2"/>
      <c r="X79" s="2">
        <f t="shared" si="2"/>
        <v>4.2299999999999969</v>
      </c>
      <c r="Y79" s="2"/>
      <c r="Z79" s="19">
        <f t="shared" si="3"/>
        <v>-0.11331368872220726</v>
      </c>
    </row>
    <row r="80" spans="1:26" s="24" customFormat="1" hidden="1" outlineLevel="1" x14ac:dyDescent="0.25">
      <c r="A80" s="44"/>
      <c r="B80" s="11" t="str">
        <f>CONCATENATE("          ", "4226", " - ", "SALES RETURN TAXABLE-WRITING I")</f>
        <v xml:space="preserve">          4226 - SALES RETURN TAXABLE-WRITING I</v>
      </c>
      <c r="C80" s="11"/>
      <c r="D80" s="2">
        <f>-184.86</f>
        <v>-184.86</v>
      </c>
      <c r="E80" s="2"/>
      <c r="F80" s="19"/>
      <c r="G80" s="2"/>
      <c r="H80" s="2">
        <f>-48.02</f>
        <v>-48.02</v>
      </c>
      <c r="I80" s="2"/>
      <c r="J80" s="19"/>
      <c r="K80" s="2"/>
      <c r="L80" s="2">
        <f t="shared" si="0"/>
        <v>-136.84</v>
      </c>
      <c r="M80" s="2"/>
      <c r="N80" s="19">
        <f t="shared" si="1"/>
        <v>2.8496459808413159</v>
      </c>
      <c r="O80" s="11"/>
      <c r="P80" s="2">
        <f>-309.07</f>
        <v>-309.07</v>
      </c>
      <c r="Q80" s="2"/>
      <c r="R80" s="19"/>
      <c r="S80" s="2"/>
      <c r="T80" s="2">
        <f>-117.26</f>
        <v>-117.26</v>
      </c>
      <c r="U80" s="2"/>
      <c r="V80" s="19"/>
      <c r="W80" s="2"/>
      <c r="X80" s="2">
        <f t="shared" si="2"/>
        <v>-191.81</v>
      </c>
      <c r="Y80" s="2"/>
      <c r="Z80" s="19">
        <f t="shared" si="3"/>
        <v>1.6357666723520381</v>
      </c>
    </row>
    <row r="81" spans="1:26" s="24" customFormat="1" hidden="1" outlineLevel="1" x14ac:dyDescent="0.25">
      <c r="A81" s="44"/>
      <c r="B81" s="11" t="str">
        <f>CONCATENATE("          ", "4227", " - ", "SALES RETURN TAXABLE-SCHOOL SU")</f>
        <v xml:space="preserve">          4227 - SALES RETURN TAXABLE-SCHOOL SU</v>
      </c>
      <c r="C81" s="11"/>
      <c r="D81" s="2">
        <f>-2805.04</f>
        <v>-2805.04</v>
      </c>
      <c r="E81" s="2"/>
      <c r="F81" s="19"/>
      <c r="G81" s="2"/>
      <c r="H81" s="2">
        <f>-974.33</f>
        <v>-974.33</v>
      </c>
      <c r="I81" s="2"/>
      <c r="J81" s="19"/>
      <c r="K81" s="2"/>
      <c r="L81" s="2">
        <f t="shared" si="0"/>
        <v>-1830.71</v>
      </c>
      <c r="M81" s="2"/>
      <c r="N81" s="19">
        <f t="shared" si="1"/>
        <v>1.878942452762411</v>
      </c>
      <c r="O81" s="11"/>
      <c r="P81" s="2">
        <f>-4501.63</f>
        <v>-4501.63</v>
      </c>
      <c r="Q81" s="2"/>
      <c r="R81" s="19"/>
      <c r="S81" s="2"/>
      <c r="T81" s="2">
        <f>-1946.22</f>
        <v>-1946.22</v>
      </c>
      <c r="U81" s="2"/>
      <c r="V81" s="19"/>
      <c r="W81" s="2"/>
      <c r="X81" s="2">
        <f t="shared" si="2"/>
        <v>-2555.41</v>
      </c>
      <c r="Y81" s="2"/>
      <c r="Z81" s="19">
        <f t="shared" si="3"/>
        <v>1.3130118897144207</v>
      </c>
    </row>
    <row r="82" spans="1:26" s="24" customFormat="1" hidden="1" outlineLevel="1" x14ac:dyDescent="0.25">
      <c r="A82" s="44"/>
      <c r="B82" s="11" t="str">
        <f>CONCATENATE("          ", "4228", " - ", "SALES RETURN TAXABLE-ART/TECH")</f>
        <v xml:space="preserve">          4228 - SALES RETURN TAXABLE-ART/TECH</v>
      </c>
      <c r="C82" s="11"/>
      <c r="D82" s="2">
        <f>-1058.54</f>
        <v>-1058.54</v>
      </c>
      <c r="E82" s="2"/>
      <c r="F82" s="19"/>
      <c r="G82" s="2"/>
      <c r="H82" s="2">
        <f>-1715.94</f>
        <v>-1715.94</v>
      </c>
      <c r="I82" s="2"/>
      <c r="J82" s="19"/>
      <c r="K82" s="2"/>
      <c r="L82" s="2">
        <f t="shared" si="0"/>
        <v>657.40000000000009</v>
      </c>
      <c r="M82" s="2"/>
      <c r="N82" s="19">
        <f t="shared" si="1"/>
        <v>-0.38311362868165555</v>
      </c>
      <c r="O82" s="11"/>
      <c r="P82" s="2">
        <f>-1927.27</f>
        <v>-1927.27</v>
      </c>
      <c r="Q82" s="2"/>
      <c r="R82" s="19"/>
      <c r="S82" s="2"/>
      <c r="T82" s="2">
        <f>-2781.43</f>
        <v>-2781.43</v>
      </c>
      <c r="U82" s="2"/>
      <c r="V82" s="19"/>
      <c r="W82" s="2"/>
      <c r="X82" s="2">
        <f t="shared" si="2"/>
        <v>854.15999999999985</v>
      </c>
      <c r="Y82" s="2"/>
      <c r="Z82" s="19">
        <f t="shared" si="3"/>
        <v>-0.30709383302833432</v>
      </c>
    </row>
    <row r="83" spans="1:26" s="24" customFormat="1" hidden="1" outlineLevel="1" x14ac:dyDescent="0.25">
      <c r="A83" s="44"/>
      <c r="B83" s="11" t="str">
        <f>CONCATENATE("          ", "4240", " - ", "SALES RETURN TAXABLE-LOGO CLOT")</f>
        <v xml:space="preserve">          4240 - SALES RETURN TAXABLE-LOGO CLOT</v>
      </c>
      <c r="C83" s="11"/>
      <c r="D83" s="2">
        <f>-9538.49</f>
        <v>-9538.49</v>
      </c>
      <c r="E83" s="2"/>
      <c r="F83" s="19"/>
      <c r="G83" s="2"/>
      <c r="H83" s="2">
        <f>-8956.8</f>
        <v>-8956.7999999999993</v>
      </c>
      <c r="I83" s="2"/>
      <c r="J83" s="19"/>
      <c r="K83" s="2"/>
      <c r="L83" s="2">
        <f t="shared" si="0"/>
        <v>-581.69000000000051</v>
      </c>
      <c r="M83" s="2"/>
      <c r="N83" s="19">
        <f t="shared" si="1"/>
        <v>6.4943953197570625E-2</v>
      </c>
      <c r="O83" s="11"/>
      <c r="P83" s="2">
        <f>-20792.98</f>
        <v>-20792.98</v>
      </c>
      <c r="Q83" s="2"/>
      <c r="R83" s="19"/>
      <c r="S83" s="2"/>
      <c r="T83" s="2">
        <f>-20528.6</f>
        <v>-20528.599999999999</v>
      </c>
      <c r="U83" s="2"/>
      <c r="V83" s="19"/>
      <c r="W83" s="2"/>
      <c r="X83" s="2">
        <f t="shared" si="2"/>
        <v>-264.38000000000102</v>
      </c>
      <c r="Y83" s="2"/>
      <c r="Z83" s="19">
        <f t="shared" si="3"/>
        <v>1.2878618123008926E-2</v>
      </c>
    </row>
    <row r="84" spans="1:26" s="24" customFormat="1" hidden="1" outlineLevel="1" x14ac:dyDescent="0.25">
      <c r="A84" s="44"/>
      <c r="B84" s="11" t="str">
        <f>CONCATENATE("          ", "4241", " - ", "SALES RETURN TAXABLE-LOGO GIFT")</f>
        <v xml:space="preserve">          4241 - SALES RETURN TAXABLE-LOGO GIFT</v>
      </c>
      <c r="C84" s="11"/>
      <c r="D84" s="2">
        <f>-700.87</f>
        <v>-700.87</v>
      </c>
      <c r="E84" s="2"/>
      <c r="F84" s="19"/>
      <c r="G84" s="2"/>
      <c r="H84" s="2">
        <f>-1002.83</f>
        <v>-1002.83</v>
      </c>
      <c r="I84" s="2"/>
      <c r="J84" s="19"/>
      <c r="K84" s="2"/>
      <c r="L84" s="2">
        <f t="shared" si="0"/>
        <v>301.96000000000004</v>
      </c>
      <c r="M84" s="2"/>
      <c r="N84" s="19">
        <f t="shared" si="1"/>
        <v>-0.30110786474277795</v>
      </c>
      <c r="O84" s="11"/>
      <c r="P84" s="2">
        <f>-2390.88</f>
        <v>-2390.88</v>
      </c>
      <c r="Q84" s="2"/>
      <c r="R84" s="19"/>
      <c r="S84" s="2"/>
      <c r="T84" s="2">
        <f>-2600.74</f>
        <v>-2600.7399999999998</v>
      </c>
      <c r="U84" s="2"/>
      <c r="V84" s="19"/>
      <c r="W84" s="2"/>
      <c r="X84" s="2">
        <f t="shared" si="2"/>
        <v>209.85999999999967</v>
      </c>
      <c r="Y84" s="2"/>
      <c r="Z84" s="19">
        <f t="shared" si="3"/>
        <v>-8.0692418311711159E-2</v>
      </c>
    </row>
    <row r="85" spans="1:26" s="24" customFormat="1" hidden="1" outlineLevel="1" x14ac:dyDescent="0.25">
      <c r="A85" s="44"/>
      <c r="B85" s="11" t="str">
        <f>CONCATENATE("          ", "4242", " - ", "SALES RETURN TAXABLE-EVERYDAY")</f>
        <v xml:space="preserve">          4242 - SALES RETURN TAXABLE-EVERYDAY</v>
      </c>
      <c r="C85" s="11"/>
      <c r="D85" s="2">
        <f>-169.66</f>
        <v>-169.66</v>
      </c>
      <c r="E85" s="2"/>
      <c r="F85" s="19"/>
      <c r="G85" s="2"/>
      <c r="H85" s="2">
        <f>-316.56</f>
        <v>-316.56</v>
      </c>
      <c r="I85" s="2"/>
      <c r="J85" s="19"/>
      <c r="K85" s="2"/>
      <c r="L85" s="2">
        <f t="shared" si="0"/>
        <v>146.9</v>
      </c>
      <c r="M85" s="2"/>
      <c r="N85" s="19">
        <f t="shared" si="1"/>
        <v>-0.46405104877432402</v>
      </c>
      <c r="O85" s="11"/>
      <c r="P85" s="2">
        <f>-994.47</f>
        <v>-994.47</v>
      </c>
      <c r="Q85" s="2"/>
      <c r="R85" s="19"/>
      <c r="S85" s="2"/>
      <c r="T85" s="2">
        <f>-738.35</f>
        <v>-738.35</v>
      </c>
      <c r="U85" s="2"/>
      <c r="V85" s="19"/>
      <c r="W85" s="2"/>
      <c r="X85" s="2">
        <f t="shared" si="2"/>
        <v>-256.12</v>
      </c>
      <c r="Y85" s="2"/>
      <c r="Z85" s="19">
        <f t="shared" si="3"/>
        <v>0.34688156023566058</v>
      </c>
    </row>
    <row r="86" spans="1:26" s="24" customFormat="1" hidden="1" outlineLevel="1" x14ac:dyDescent="0.25">
      <c r="A86" s="44"/>
      <c r="B86" s="11" t="str">
        <f>CONCATENATE("          ", "4243", " - ", "SALES RETURN TAXABLE-CARDS")</f>
        <v xml:space="preserve">          4243 - SALES RETURN TAXABLE-CARDS</v>
      </c>
      <c r="C86" s="11"/>
      <c r="D86" s="2">
        <f>-4.5</f>
        <v>-4.5</v>
      </c>
      <c r="E86" s="2"/>
      <c r="F86" s="19"/>
      <c r="G86" s="2"/>
      <c r="H86" s="2">
        <f>-12.95</f>
        <v>-12.95</v>
      </c>
      <c r="I86" s="2"/>
      <c r="J86" s="19"/>
      <c r="K86" s="2"/>
      <c r="L86" s="2">
        <f t="shared" si="0"/>
        <v>8.4499999999999993</v>
      </c>
      <c r="M86" s="2"/>
      <c r="N86" s="19">
        <f t="shared" si="1"/>
        <v>-0.65250965250965254</v>
      </c>
      <c r="O86" s="11"/>
      <c r="P86" s="2">
        <f>-4.5</f>
        <v>-4.5</v>
      </c>
      <c r="Q86" s="2"/>
      <c r="R86" s="19"/>
      <c r="S86" s="2"/>
      <c r="T86" s="2">
        <f>-12.95</f>
        <v>-12.95</v>
      </c>
      <c r="U86" s="2"/>
      <c r="V86" s="19"/>
      <c r="W86" s="2"/>
      <c r="X86" s="2">
        <f t="shared" si="2"/>
        <v>8.4499999999999993</v>
      </c>
      <c r="Y86" s="2"/>
      <c r="Z86" s="19">
        <f t="shared" si="3"/>
        <v>-0.65250965250965254</v>
      </c>
    </row>
    <row r="87" spans="1:26" s="24" customFormat="1" hidden="1" outlineLevel="1" x14ac:dyDescent="0.25">
      <c r="A87" s="44"/>
      <c r="B87" s="11" t="str">
        <f>CONCATENATE("          ", "4244", " - ", "SALES RETURN TAXABLE-ACCESSORI")</f>
        <v xml:space="preserve">          4244 - SALES RETURN TAXABLE-ACCESSORI</v>
      </c>
      <c r="C87" s="11"/>
      <c r="D87" s="2">
        <f>-704.04</f>
        <v>-704.04</v>
      </c>
      <c r="E87" s="2"/>
      <c r="F87" s="19"/>
      <c r="G87" s="2"/>
      <c r="H87" s="2">
        <f>-264.1</f>
        <v>-264.10000000000002</v>
      </c>
      <c r="I87" s="2"/>
      <c r="J87" s="19"/>
      <c r="K87" s="2"/>
      <c r="L87" s="2">
        <f t="shared" si="0"/>
        <v>-439.93999999999994</v>
      </c>
      <c r="M87" s="2"/>
      <c r="N87" s="19">
        <f t="shared" si="1"/>
        <v>1.6658084059068532</v>
      </c>
      <c r="O87" s="11"/>
      <c r="P87" s="2">
        <f>-1254.51</f>
        <v>-1254.51</v>
      </c>
      <c r="Q87" s="2"/>
      <c r="R87" s="19"/>
      <c r="S87" s="2"/>
      <c r="T87" s="2">
        <f>-2023.36</f>
        <v>-2023.36</v>
      </c>
      <c r="U87" s="2"/>
      <c r="V87" s="19"/>
      <c r="W87" s="2"/>
      <c r="X87" s="2">
        <f t="shared" si="2"/>
        <v>768.84999999999991</v>
      </c>
      <c r="Y87" s="2"/>
      <c r="Z87" s="19">
        <f t="shared" si="3"/>
        <v>-0.37998675470504506</v>
      </c>
    </row>
    <row r="88" spans="1:26" s="24" customFormat="1" hidden="1" outlineLevel="1" x14ac:dyDescent="0.25">
      <c r="A88" s="44"/>
      <c r="B88" s="11" t="str">
        <f>CONCATENATE("          ", "4245", " - ", "SALES RETURN TAXABLE-SPECIAL O")</f>
        <v xml:space="preserve">          4245 - SALES RETURN TAXABLE-SPECIAL O</v>
      </c>
      <c r="C88" s="11"/>
      <c r="D88" s="2">
        <f>-71.98</f>
        <v>-71.98</v>
      </c>
      <c r="E88" s="2"/>
      <c r="F88" s="19"/>
      <c r="G88" s="2"/>
      <c r="H88" s="2">
        <f t="shared" ref="H88:H91" si="9">0</f>
        <v>0</v>
      </c>
      <c r="I88" s="2"/>
      <c r="J88" s="19"/>
      <c r="K88" s="2"/>
      <c r="L88" s="2">
        <f t="shared" si="0"/>
        <v>-71.98</v>
      </c>
      <c r="M88" s="2"/>
      <c r="N88" s="19">
        <f t="shared" si="1"/>
        <v>0</v>
      </c>
      <c r="O88" s="11"/>
      <c r="P88" s="2">
        <f>-91.96</f>
        <v>-91.96</v>
      </c>
      <c r="Q88" s="2"/>
      <c r="R88" s="19"/>
      <c r="S88" s="2"/>
      <c r="T88" s="2">
        <f>-174.85</f>
        <v>-174.85</v>
      </c>
      <c r="U88" s="2"/>
      <c r="V88" s="19"/>
      <c r="W88" s="2"/>
      <c r="X88" s="2">
        <f t="shared" si="2"/>
        <v>82.89</v>
      </c>
      <c r="Y88" s="2"/>
      <c r="Z88" s="19">
        <f t="shared" si="3"/>
        <v>-0.47406348298541606</v>
      </c>
    </row>
    <row r="89" spans="1:26" s="24" customFormat="1" hidden="1" outlineLevel="1" x14ac:dyDescent="0.25">
      <c r="A89" s="44"/>
      <c r="B89" s="11" t="str">
        <f>CONCATENATE("          ", "4281", " - ", "SALES RETURN TAXABLE-ELECTRONI")</f>
        <v xml:space="preserve">          4281 - SALES RETURN TAXABLE-ELECTRONI</v>
      </c>
      <c r="C89" s="11"/>
      <c r="D89" s="2">
        <f>-24.99</f>
        <v>-24.99</v>
      </c>
      <c r="E89" s="2"/>
      <c r="F89" s="19"/>
      <c r="G89" s="2"/>
      <c r="H89" s="2">
        <f t="shared" si="9"/>
        <v>0</v>
      </c>
      <c r="I89" s="2"/>
      <c r="J89" s="19"/>
      <c r="K89" s="2"/>
      <c r="L89" s="2">
        <f t="shared" si="0"/>
        <v>-24.99</v>
      </c>
      <c r="M89" s="2"/>
      <c r="N89" s="19">
        <f t="shared" si="1"/>
        <v>0</v>
      </c>
      <c r="O89" s="11"/>
      <c r="P89" s="2">
        <f>-24.99</f>
        <v>-24.99</v>
      </c>
      <c r="Q89" s="2"/>
      <c r="R89" s="19"/>
      <c r="S89" s="2"/>
      <c r="T89" s="2">
        <f>0</f>
        <v>0</v>
      </c>
      <c r="U89" s="2"/>
      <c r="V89" s="19"/>
      <c r="W89" s="2"/>
      <c r="X89" s="2">
        <f t="shared" si="2"/>
        <v>-24.99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"4292", " - ", "SALES RETURN TAXABLE-GRAD MERC")</f>
        <v xml:space="preserve">          4292 - SALES RETURN TAXABLE-GRAD MERC</v>
      </c>
      <c r="C90" s="11"/>
      <c r="D90" s="2">
        <f t="shared" ref="D90:D91" si="10">0</f>
        <v>0</v>
      </c>
      <c r="E90" s="2"/>
      <c r="F90" s="19"/>
      <c r="G90" s="2"/>
      <c r="H90" s="2">
        <f t="shared" si="9"/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-369.15</f>
        <v>-369.15</v>
      </c>
      <c r="Q90" s="2"/>
      <c r="R90" s="19"/>
      <c r="S90" s="2"/>
      <c r="T90" s="2">
        <f>-478.25</f>
        <v>-478.25</v>
      </c>
      <c r="U90" s="2"/>
      <c r="V90" s="19"/>
      <c r="W90" s="2"/>
      <c r="X90" s="2">
        <f t="shared" si="2"/>
        <v>109.10000000000002</v>
      </c>
      <c r="Y90" s="2"/>
      <c r="Z90" s="19">
        <f t="shared" si="3"/>
        <v>-0.22812336644014641</v>
      </c>
    </row>
    <row r="91" spans="1:26" s="24" customFormat="1" hidden="1" outlineLevel="1" x14ac:dyDescent="0.25">
      <c r="A91" s="44"/>
      <c r="B91" s="11" t="str">
        <f>CONCATENATE("          ", "4295", " - ", "SALES RETURN TAXABLE-CUSTOMER")</f>
        <v xml:space="preserve">          4295 - SALES RETURN TAXABLE-CUSTOMER</v>
      </c>
      <c r="C91" s="11"/>
      <c r="D91" s="2">
        <f t="shared" si="10"/>
        <v>0</v>
      </c>
      <c r="E91" s="2"/>
      <c r="F91" s="19"/>
      <c r="G91" s="2"/>
      <c r="H91" s="2">
        <f t="shared" si="9"/>
        <v>0</v>
      </c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--0.99</f>
        <v>0.99</v>
      </c>
      <c r="Q91" s="2"/>
      <c r="R91" s="19"/>
      <c r="S91" s="2"/>
      <c r="T91" s="2">
        <f>-99</f>
        <v>-99</v>
      </c>
      <c r="U91" s="2"/>
      <c r="V91" s="19"/>
      <c r="W91" s="2"/>
      <c r="X91" s="2">
        <f t="shared" si="2"/>
        <v>99.99</v>
      </c>
      <c r="Y91" s="2"/>
      <c r="Z91" s="19">
        <f t="shared" si="3"/>
        <v>-1.01</v>
      </c>
    </row>
    <row r="92" spans="1:26" s="24" customFormat="1" hidden="1" outlineLevel="1" x14ac:dyDescent="0.25">
      <c r="A92" s="44"/>
      <c r="B92" s="11" t="str">
        <f>CONCATENATE("          ", "4301", " - ", "SALES RETURN NON TAXABLE-NEW T")</f>
        <v xml:space="preserve">          4301 - SALES RETURN NON TAXABLE-NEW T</v>
      </c>
      <c r="C92" s="11"/>
      <c r="D92" s="2">
        <f>-3805.44</f>
        <v>-3805.44</v>
      </c>
      <c r="E92" s="2"/>
      <c r="F92" s="19"/>
      <c r="G92" s="2"/>
      <c r="H92" s="2">
        <f>-18193.09</f>
        <v>-18193.09</v>
      </c>
      <c r="I92" s="2"/>
      <c r="J92" s="19"/>
      <c r="K92" s="2"/>
      <c r="L92" s="2">
        <f t="shared" si="0"/>
        <v>14387.65</v>
      </c>
      <c r="M92" s="2"/>
      <c r="N92" s="19">
        <f t="shared" si="1"/>
        <v>-0.79083047464724243</v>
      </c>
      <c r="O92" s="11"/>
      <c r="P92" s="2">
        <f>-6725.22</f>
        <v>-6725.22</v>
      </c>
      <c r="Q92" s="2"/>
      <c r="R92" s="19"/>
      <c r="S92" s="2"/>
      <c r="T92" s="2">
        <f>-21042.19</f>
        <v>-21042.19</v>
      </c>
      <c r="U92" s="2"/>
      <c r="V92" s="19"/>
      <c r="W92" s="2"/>
      <c r="X92" s="2">
        <f t="shared" si="2"/>
        <v>14316.969999999998</v>
      </c>
      <c r="Y92" s="2"/>
      <c r="Z92" s="19">
        <f t="shared" si="3"/>
        <v>-0.68039353318262019</v>
      </c>
    </row>
    <row r="93" spans="1:26" s="24" customFormat="1" hidden="1" outlineLevel="1" x14ac:dyDescent="0.25">
      <c r="A93" s="44"/>
      <c r="B93" s="11" t="str">
        <f>CONCATENATE("          ", "4302", " - ", "SALES RETURN NON TAXABLE-TEXT")</f>
        <v xml:space="preserve">          4302 - SALES RETURN NON TAXABLE-TEXT</v>
      </c>
      <c r="C93" s="11"/>
      <c r="D93" s="2">
        <f>-398.45</f>
        <v>-398.45</v>
      </c>
      <c r="E93" s="2"/>
      <c r="F93" s="19"/>
      <c r="G93" s="2"/>
      <c r="H93" s="2">
        <f>-1424.51</f>
        <v>-1424.51</v>
      </c>
      <c r="I93" s="2"/>
      <c r="J93" s="19"/>
      <c r="K93" s="2"/>
      <c r="L93" s="2">
        <f t="shared" si="0"/>
        <v>1026.06</v>
      </c>
      <c r="M93" s="2"/>
      <c r="N93" s="19">
        <f t="shared" si="1"/>
        <v>-0.72028978385550113</v>
      </c>
      <c r="O93" s="11"/>
      <c r="P93" s="2">
        <f>-648.7</f>
        <v>-648.70000000000005</v>
      </c>
      <c r="Q93" s="2"/>
      <c r="R93" s="19"/>
      <c r="S93" s="2"/>
      <c r="T93" s="2">
        <f>-2092.04</f>
        <v>-2092.04</v>
      </c>
      <c r="U93" s="2"/>
      <c r="V93" s="19"/>
      <c r="W93" s="2"/>
      <c r="X93" s="2">
        <f t="shared" si="2"/>
        <v>1443.34</v>
      </c>
      <c r="Y93" s="2"/>
      <c r="Z93" s="19">
        <f t="shared" si="3"/>
        <v>-0.68991988680904759</v>
      </c>
    </row>
    <row r="94" spans="1:26" s="24" customFormat="1" hidden="1" outlineLevel="1" x14ac:dyDescent="0.25">
      <c r="A94" s="44"/>
      <c r="B94" s="11" t="str">
        <f>CONCATENATE("          ", "4303", " - ", "SALES RETURN NON-TAXABLE-RENTA")</f>
        <v xml:space="preserve">          4303 - SALES RETURN NON-TAXABLE-RENTA</v>
      </c>
      <c r="C94" s="11"/>
      <c r="D94" s="2">
        <f>-184.99</f>
        <v>-184.99</v>
      </c>
      <c r="E94" s="2"/>
      <c r="F94" s="19"/>
      <c r="G94" s="2"/>
      <c r="H94" s="2">
        <f>-509.85</f>
        <v>-509.85</v>
      </c>
      <c r="I94" s="2"/>
      <c r="J94" s="19"/>
      <c r="K94" s="2"/>
      <c r="L94" s="2">
        <f t="shared" si="0"/>
        <v>324.86</v>
      </c>
      <c r="M94" s="2"/>
      <c r="N94" s="19">
        <f t="shared" si="1"/>
        <v>-0.63716779444934779</v>
      </c>
      <c r="O94" s="11"/>
      <c r="P94" s="2">
        <f>-184.99</f>
        <v>-184.99</v>
      </c>
      <c r="Q94" s="2"/>
      <c r="R94" s="19"/>
      <c r="S94" s="2"/>
      <c r="T94" s="2">
        <f>-509.85</f>
        <v>-509.85</v>
      </c>
      <c r="U94" s="2"/>
      <c r="V94" s="19"/>
      <c r="W94" s="2"/>
      <c r="X94" s="2">
        <f t="shared" si="2"/>
        <v>324.86</v>
      </c>
      <c r="Y94" s="2"/>
      <c r="Z94" s="19">
        <f t="shared" si="3"/>
        <v>-0.63716779444934779</v>
      </c>
    </row>
    <row r="95" spans="1:26" s="24" customFormat="1" hidden="1" outlineLevel="1" x14ac:dyDescent="0.25">
      <c r="A95" s="44"/>
      <c r="B95" s="11" t="str">
        <f>CONCATENATE("          ", "4304", " - ", "SALES RETURN NON TAXABLE-DIGIT")</f>
        <v xml:space="preserve">          4304 - SALES RETURN NON TAXABLE-DIGIT</v>
      </c>
      <c r="C95" s="11"/>
      <c r="D95" s="2">
        <f>-4048.76</f>
        <v>-4048.76</v>
      </c>
      <c r="E95" s="2"/>
      <c r="F95" s="19"/>
      <c r="G95" s="2"/>
      <c r="H95" s="2">
        <f>-3459.28</f>
        <v>-3459.28</v>
      </c>
      <c r="I95" s="2"/>
      <c r="J95" s="19"/>
      <c r="K95" s="2"/>
      <c r="L95" s="2">
        <f t="shared" si="0"/>
        <v>-589.48</v>
      </c>
      <c r="M95" s="2"/>
      <c r="N95" s="19">
        <f t="shared" si="1"/>
        <v>0.17040540228024328</v>
      </c>
      <c r="O95" s="11"/>
      <c r="P95" s="2">
        <f>-12515.31</f>
        <v>-12515.31</v>
      </c>
      <c r="Q95" s="2"/>
      <c r="R95" s="19"/>
      <c r="S95" s="2"/>
      <c r="T95" s="2">
        <f>-3743.75</f>
        <v>-3743.75</v>
      </c>
      <c r="U95" s="2"/>
      <c r="V95" s="19"/>
      <c r="W95" s="2"/>
      <c r="X95" s="2">
        <f t="shared" si="2"/>
        <v>-8771.56</v>
      </c>
      <c r="Y95" s="2"/>
      <c r="Z95" s="19">
        <f t="shared" si="3"/>
        <v>2.3429876460767947</v>
      </c>
    </row>
    <row r="96" spans="1:26" s="24" customFormat="1" hidden="1" outlineLevel="1" x14ac:dyDescent="0.25">
      <c r="A96" s="44"/>
      <c r="B96" s="11" t="str">
        <f>CONCATENATE("          ", "4311", " - ", "SALES RETURN NON TAXABLE-NO VA")</f>
        <v xml:space="preserve">          4311 - SALES RETURN NON TAXABLE-NO VA</v>
      </c>
      <c r="C96" s="11"/>
      <c r="D96" s="2">
        <f>-276.9</f>
        <v>-276.89999999999998</v>
      </c>
      <c r="E96" s="2"/>
      <c r="F96" s="19"/>
      <c r="G96" s="2"/>
      <c r="H96" s="2">
        <f>-145.04</f>
        <v>-145.04</v>
      </c>
      <c r="I96" s="2"/>
      <c r="J96" s="19"/>
      <c r="K96" s="2"/>
      <c r="L96" s="2">
        <f t="shared" si="0"/>
        <v>-131.85999999999999</v>
      </c>
      <c r="M96" s="2"/>
      <c r="N96" s="19">
        <f t="shared" si="1"/>
        <v>0.90912851627137337</v>
      </c>
      <c r="O96" s="11"/>
      <c r="P96" s="2">
        <f>-387.94</f>
        <v>-387.94</v>
      </c>
      <c r="Q96" s="2"/>
      <c r="R96" s="19"/>
      <c r="S96" s="2"/>
      <c r="T96" s="2">
        <f>-357.92</f>
        <v>-357.92</v>
      </c>
      <c r="U96" s="2"/>
      <c r="V96" s="19"/>
      <c r="W96" s="2"/>
      <c r="X96" s="2">
        <f t="shared" si="2"/>
        <v>-30.019999999999982</v>
      </c>
      <c r="Y96" s="2"/>
      <c r="Z96" s="19">
        <f t="shared" si="3"/>
        <v>8.3873491282968213E-2</v>
      </c>
    </row>
    <row r="97" spans="1:26" s="24" customFormat="1" hidden="1" outlineLevel="1" x14ac:dyDescent="0.25">
      <c r="A97" s="44"/>
      <c r="B97" s="11" t="str">
        <f>CONCATENATE("          ", "4326", " - ", "SALES RETURN NON TAXABLE-WRITI")</f>
        <v xml:space="preserve">          4326 - SALES RETURN NON TAXABLE-WRITI</v>
      </c>
      <c r="C97" s="11"/>
      <c r="D97" s="2">
        <f>0</f>
        <v>0</v>
      </c>
      <c r="E97" s="2"/>
      <c r="F97" s="19"/>
      <c r="G97" s="2"/>
      <c r="H97" s="2">
        <f t="shared" ref="H97:H98" si="11">0</f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0</f>
        <v>0</v>
      </c>
      <c r="Q97" s="2"/>
      <c r="R97" s="19"/>
      <c r="S97" s="2"/>
      <c r="T97" s="2">
        <f>-5.58</f>
        <v>-5.58</v>
      </c>
      <c r="U97" s="2"/>
      <c r="V97" s="19"/>
      <c r="W97" s="2"/>
      <c r="X97" s="2">
        <f t="shared" si="2"/>
        <v>5.58</v>
      </c>
      <c r="Y97" s="2"/>
      <c r="Z97" s="19">
        <f t="shared" si="3"/>
        <v>-1</v>
      </c>
    </row>
    <row r="98" spans="1:26" s="24" customFormat="1" hidden="1" outlineLevel="1" x14ac:dyDescent="0.25">
      <c r="A98" s="44"/>
      <c r="B98" s="11" t="str">
        <f>CONCATENATE("          ", "4327", " - ", "SALES RETURN NON TAXABLE-SCHOO")</f>
        <v xml:space="preserve">          4327 - SALES RETURN NON TAXABLE-SCHOO</v>
      </c>
      <c r="C98" s="11"/>
      <c r="D98" s="2">
        <f>-8.29</f>
        <v>-8.2899999999999991</v>
      </c>
      <c r="E98" s="2"/>
      <c r="F98" s="19"/>
      <c r="G98" s="2"/>
      <c r="H98" s="2">
        <f t="shared" si="11"/>
        <v>0</v>
      </c>
      <c r="I98" s="2"/>
      <c r="J98" s="19"/>
      <c r="K98" s="2"/>
      <c r="L98" s="2">
        <f t="shared" si="0"/>
        <v>-8.2899999999999991</v>
      </c>
      <c r="M98" s="2"/>
      <c r="N98" s="19">
        <f t="shared" si="1"/>
        <v>0</v>
      </c>
      <c r="O98" s="11"/>
      <c r="P98" s="2">
        <f>-21.87</f>
        <v>-21.87</v>
      </c>
      <c r="Q98" s="2"/>
      <c r="R98" s="19"/>
      <c r="S98" s="2"/>
      <c r="T98" s="2">
        <f>0</f>
        <v>0</v>
      </c>
      <c r="U98" s="2"/>
      <c r="V98" s="19"/>
      <c r="W98" s="2"/>
      <c r="X98" s="2">
        <f t="shared" si="2"/>
        <v>-21.87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"4340", " - ", "SALES RETURN NON TAXABLE-LOGO")</f>
        <v xml:space="preserve">          4340 - SALES RETURN NON TAXABLE-LOGO</v>
      </c>
      <c r="C99" s="11"/>
      <c r="D99" s="2">
        <f>-24.95</f>
        <v>-24.95</v>
      </c>
      <c r="E99" s="2"/>
      <c r="F99" s="19"/>
      <c r="G99" s="2"/>
      <c r="H99" s="2">
        <f>-34.95</f>
        <v>-34.950000000000003</v>
      </c>
      <c r="I99" s="2"/>
      <c r="J99" s="19"/>
      <c r="K99" s="2"/>
      <c r="L99" s="2">
        <f t="shared" si="0"/>
        <v>10.000000000000004</v>
      </c>
      <c r="M99" s="2"/>
      <c r="N99" s="19">
        <f t="shared" si="1"/>
        <v>-0.28612303290414887</v>
      </c>
      <c r="O99" s="11"/>
      <c r="P99" s="2">
        <f>-293.45</f>
        <v>-293.45</v>
      </c>
      <c r="Q99" s="2"/>
      <c r="R99" s="19"/>
      <c r="S99" s="2"/>
      <c r="T99" s="2">
        <f>-226.69</f>
        <v>-226.69</v>
      </c>
      <c r="U99" s="2"/>
      <c r="V99" s="19"/>
      <c r="W99" s="2"/>
      <c r="X99" s="2">
        <f t="shared" si="2"/>
        <v>-66.759999999999991</v>
      </c>
      <c r="Y99" s="2"/>
      <c r="Z99" s="19">
        <f t="shared" si="3"/>
        <v>0.29449909568132687</v>
      </c>
    </row>
    <row r="100" spans="1:26" s="24" customFormat="1" hidden="1" outlineLevel="1" x14ac:dyDescent="0.25">
      <c r="A100" s="44"/>
      <c r="B100" s="11" t="str">
        <f>CONCATENATE("          ", "4341", " - ", "SALES RETURN NON TAXABLE-LOGO")</f>
        <v xml:space="preserve">          4341 - SALES RETURN NON TAXABLE-LOGO</v>
      </c>
      <c r="C100" s="11"/>
      <c r="D100" s="2">
        <f>0</f>
        <v>0</v>
      </c>
      <c r="E100" s="2"/>
      <c r="F100" s="19"/>
      <c r="G100" s="2"/>
      <c r="H100" s="2">
        <f>-39.95</f>
        <v>-39.950000000000003</v>
      </c>
      <c r="I100" s="2"/>
      <c r="J100" s="19"/>
      <c r="K100" s="2"/>
      <c r="L100" s="2">
        <f t="shared" si="0"/>
        <v>39.950000000000003</v>
      </c>
      <c r="M100" s="2"/>
      <c r="N100" s="19">
        <f t="shared" si="1"/>
        <v>-1</v>
      </c>
      <c r="O100" s="11"/>
      <c r="P100" s="2">
        <f>-3.95</f>
        <v>-3.95</v>
      </c>
      <c r="Q100" s="2"/>
      <c r="R100" s="19"/>
      <c r="S100" s="2"/>
      <c r="T100" s="2">
        <f>-48.1</f>
        <v>-48.1</v>
      </c>
      <c r="U100" s="2"/>
      <c r="V100" s="19"/>
      <c r="W100" s="2"/>
      <c r="X100" s="2">
        <f t="shared" si="2"/>
        <v>44.15</v>
      </c>
      <c r="Y100" s="2"/>
      <c r="Z100" s="19">
        <f t="shared" si="3"/>
        <v>-0.91787941787941785</v>
      </c>
    </row>
    <row r="101" spans="1:26" s="24" customFormat="1" hidden="1" outlineLevel="1" x14ac:dyDescent="0.25">
      <c r="A101" s="44"/>
      <c r="B101" s="11" t="str">
        <f>CONCATENATE("          ", "4342", " - ", "SALES RETURN NON TAXABLE-EVERY")</f>
        <v xml:space="preserve">          4342 - SALES RETURN NON TAXABLE-EVERY</v>
      </c>
      <c r="C101" s="11"/>
      <c r="D101" s="2">
        <f>-10</f>
        <v>-10</v>
      </c>
      <c r="E101" s="2"/>
      <c r="F101" s="19"/>
      <c r="G101" s="2"/>
      <c r="H101" s="2">
        <f t="shared" ref="H101:H102" si="12">0</f>
        <v>0</v>
      </c>
      <c r="I101" s="2"/>
      <c r="J101" s="19"/>
      <c r="K101" s="2"/>
      <c r="L101" s="2">
        <f t="shared" si="0"/>
        <v>-10</v>
      </c>
      <c r="M101" s="2"/>
      <c r="N101" s="19">
        <f t="shared" si="1"/>
        <v>0</v>
      </c>
      <c r="O101" s="11"/>
      <c r="P101" s="2">
        <f>-10</f>
        <v>-10</v>
      </c>
      <c r="Q101" s="2"/>
      <c r="R101" s="19"/>
      <c r="S101" s="2"/>
      <c r="T101" s="2">
        <f t="shared" ref="T101:T102" si="13">0</f>
        <v>0</v>
      </c>
      <c r="U101" s="2"/>
      <c r="V101" s="19"/>
      <c r="W101" s="2"/>
      <c r="X101" s="2">
        <f t="shared" si="2"/>
        <v>-10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"4346", " - ", "SALES RETURN NON TAXABLE-COIN-")</f>
        <v xml:space="preserve">          4346 - SALES RETURN NON TAXABLE-COIN-</v>
      </c>
      <c r="C102" s="11"/>
      <c r="D102" s="2">
        <f>0</f>
        <v>0</v>
      </c>
      <c r="E102" s="2"/>
      <c r="F102" s="19"/>
      <c r="G102" s="2"/>
      <c r="H102" s="2">
        <f t="shared" si="12"/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-8.15</f>
        <v>-8.15</v>
      </c>
      <c r="Q102" s="2"/>
      <c r="R102" s="19"/>
      <c r="S102" s="2"/>
      <c r="T102" s="2">
        <f t="shared" si="13"/>
        <v>0</v>
      </c>
      <c r="U102" s="2"/>
      <c r="V102" s="19"/>
      <c r="W102" s="2"/>
      <c r="X102" s="2">
        <f t="shared" si="2"/>
        <v>-8.15</v>
      </c>
      <c r="Y102" s="2"/>
      <c r="Z102" s="19">
        <f t="shared" si="3"/>
        <v>0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collapsed="1" x14ac:dyDescent="0.25">
      <c r="A104" s="10"/>
      <c r="B104" s="25" t="s">
        <v>8</v>
      </c>
      <c r="C104" s="10"/>
      <c r="D104" s="4">
        <f>SUM(OSRRefD16x_0)</f>
        <v>637902.36000000034</v>
      </c>
      <c r="E104" s="4"/>
      <c r="F104" s="12">
        <f t="shared" ref="F104:F152" si="14">IF(D$12=0,0,D104/D$12)</f>
        <v>0.58681470594344642</v>
      </c>
      <c r="G104" s="4"/>
      <c r="H104" s="4">
        <f>SUM(OSRRefH16x_0)</f>
        <v>701218.11999999988</v>
      </c>
      <c r="I104" s="4"/>
      <c r="J104" s="12">
        <f t="shared" ref="J104:J152" si="15">IF(H$12=0,0,H104/H$12)</f>
        <v>0.61609324353130657</v>
      </c>
      <c r="K104" s="4"/>
      <c r="L104" s="4">
        <f t="shared" ref="L104:L152" si="16">+D104-H104</f>
        <v>-63315.759999999544</v>
      </c>
      <c r="M104" s="4"/>
      <c r="N104" s="12">
        <f t="shared" ref="N104:N152" si="17">IF(H104=0,0,L104/H104)</f>
        <v>-9.0293958747100764E-2</v>
      </c>
      <c r="O104" s="10"/>
      <c r="P104" s="4">
        <f>SUM(OSRRefP16x_0)</f>
        <v>2602102.6199999992</v>
      </c>
      <c r="Q104" s="4"/>
      <c r="R104" s="12">
        <f t="shared" ref="R104:R152" si="18">IF(P$12=0,0,P104/P$12)</f>
        <v>0.62822320811605925</v>
      </c>
      <c r="S104" s="4"/>
      <c r="T104" s="4">
        <f>SUM(OSRRefT16x_0)</f>
        <v>2948109.83</v>
      </c>
      <c r="U104" s="4"/>
      <c r="V104" s="12">
        <f t="shared" ref="V104:V152" si="19">IF(T$12=0,0,T104/T$12)</f>
        <v>0.64772209229704303</v>
      </c>
      <c r="W104" s="4"/>
      <c r="X104" s="4">
        <f t="shared" ref="X104:X152" si="20">+P104-T104</f>
        <v>-346007.21000000089</v>
      </c>
      <c r="Y104" s="4"/>
      <c r="Z104" s="12">
        <f t="shared" ref="Z104:Z152" si="21">IF(T104=0,0,X104/T104)</f>
        <v>-0.11736578009374939</v>
      </c>
    </row>
    <row r="105" spans="1:26" s="24" customFormat="1" hidden="1" outlineLevel="1" x14ac:dyDescent="0.25">
      <c r="A105" s="44"/>
      <c r="B105" s="11" t="str">
        <f>CONCATENATE("          ", "5001", " - ", "PURCHASES @ COST-NEW TEXT")</f>
        <v xml:space="preserve">          5001 - PURCHASES @ COST-NEW TEXT</v>
      </c>
      <c r="C105" s="11"/>
      <c r="D105" s="2">
        <v>104892.25</v>
      </c>
      <c r="E105" s="2"/>
      <c r="F105" s="19">
        <f t="shared" si="14"/>
        <v>9.6491749677013947E-2</v>
      </c>
      <c r="G105" s="2"/>
      <c r="H105" s="2">
        <v>297306.68</v>
      </c>
      <c r="I105" s="2"/>
      <c r="J105" s="19">
        <f t="shared" si="15"/>
        <v>0.26121492240492056</v>
      </c>
      <c r="K105" s="2"/>
      <c r="L105" s="2">
        <f t="shared" si="16"/>
        <v>-192414.43</v>
      </c>
      <c r="M105" s="2"/>
      <c r="N105" s="19">
        <f t="shared" si="17"/>
        <v>-0.64719174826478842</v>
      </c>
      <c r="O105" s="11"/>
      <c r="P105" s="2">
        <v>1932650.95</v>
      </c>
      <c r="Q105" s="2"/>
      <c r="R105" s="19">
        <f t="shared" si="18"/>
        <v>0.46659811594115758</v>
      </c>
      <c r="S105" s="2"/>
      <c r="T105" s="2">
        <v>2052477.64</v>
      </c>
      <c r="U105" s="2"/>
      <c r="V105" s="19">
        <f t="shared" si="19"/>
        <v>0.45094490640930329</v>
      </c>
      <c r="W105" s="2"/>
      <c r="X105" s="2">
        <f t="shared" si="20"/>
        <v>-119826.68999999994</v>
      </c>
      <c r="Y105" s="2"/>
      <c r="Z105" s="19">
        <f t="shared" si="21"/>
        <v>-5.8381483756383308E-2</v>
      </c>
    </row>
    <row r="106" spans="1:26" s="24" customFormat="1" hidden="1" outlineLevel="1" x14ac:dyDescent="0.25">
      <c r="A106" s="44"/>
      <c r="B106" s="11" t="str">
        <f>CONCATENATE("          ", "5002", " - ", "PURCHASES @ COST-USED TEXT")</f>
        <v xml:space="preserve">          5002 - PURCHASES @ COST-USED TEXT</v>
      </c>
      <c r="C106" s="11"/>
      <c r="D106" s="2">
        <v>18830.57</v>
      </c>
      <c r="E106" s="2"/>
      <c r="F106" s="19">
        <f t="shared" si="14"/>
        <v>1.7322487092378023E-2</v>
      </c>
      <c r="G106" s="2"/>
      <c r="H106" s="2">
        <v>144475.76</v>
      </c>
      <c r="I106" s="2"/>
      <c r="J106" s="19">
        <f t="shared" si="15"/>
        <v>0.12693702152199179</v>
      </c>
      <c r="K106" s="2"/>
      <c r="L106" s="2">
        <f t="shared" si="16"/>
        <v>-125645.19</v>
      </c>
      <c r="M106" s="2"/>
      <c r="N106" s="19">
        <f t="shared" si="17"/>
        <v>-0.86966277249553836</v>
      </c>
      <c r="O106" s="11"/>
      <c r="P106" s="2">
        <v>353811.24</v>
      </c>
      <c r="Q106" s="2"/>
      <c r="R106" s="19">
        <f t="shared" si="18"/>
        <v>8.5420317612347293E-2</v>
      </c>
      <c r="S106" s="2"/>
      <c r="T106" s="2">
        <v>315050.18</v>
      </c>
      <c r="U106" s="2"/>
      <c r="V106" s="19">
        <f t="shared" si="19"/>
        <v>6.9218914333378151E-2</v>
      </c>
      <c r="W106" s="2"/>
      <c r="X106" s="2">
        <f t="shared" si="20"/>
        <v>38761.06</v>
      </c>
      <c r="Y106" s="2"/>
      <c r="Z106" s="19">
        <f t="shared" si="21"/>
        <v>0.1230313850320606</v>
      </c>
    </row>
    <row r="107" spans="1:26" s="24" customFormat="1" hidden="1" outlineLevel="1" x14ac:dyDescent="0.25">
      <c r="A107" s="44"/>
      <c r="B107" s="11" t="str">
        <f>CONCATENATE("          ", "5003", " - ", "PURCHASES @ COST-RENTAL TEXT")</f>
        <v xml:space="preserve">          5003 - PURCHASES @ COST-RENTAL TEXT</v>
      </c>
      <c r="C107" s="11"/>
      <c r="D107" s="2"/>
      <c r="E107" s="2"/>
      <c r="F107" s="19">
        <f t="shared" si="14"/>
        <v>0</v>
      </c>
      <c r="G107" s="2"/>
      <c r="H107" s="2">
        <v>-2966.4</v>
      </c>
      <c r="I107" s="2"/>
      <c r="J107" s="19">
        <f t="shared" si="15"/>
        <v>-2.6062917450154714E-3</v>
      </c>
      <c r="K107" s="2"/>
      <c r="L107" s="2">
        <f t="shared" si="16"/>
        <v>2966.4</v>
      </c>
      <c r="M107" s="2"/>
      <c r="N107" s="19">
        <f t="shared" si="17"/>
        <v>-1</v>
      </c>
      <c r="O107" s="11"/>
      <c r="P107" s="2">
        <v>-78.400000000000006</v>
      </c>
      <c r="Q107" s="2"/>
      <c r="R107" s="19">
        <f t="shared" si="18"/>
        <v>-1.8928038862779001E-5</v>
      </c>
      <c r="S107" s="2"/>
      <c r="T107" s="2">
        <v>-522.1</v>
      </c>
      <c r="U107" s="2"/>
      <c r="V107" s="19">
        <f t="shared" si="19"/>
        <v>-1.1470933034685691E-4</v>
      </c>
      <c r="W107" s="2"/>
      <c r="X107" s="2">
        <f t="shared" si="20"/>
        <v>443.70000000000005</v>
      </c>
      <c r="Y107" s="2"/>
      <c r="Z107" s="19">
        <f t="shared" si="21"/>
        <v>-0.84983719593947527</v>
      </c>
    </row>
    <row r="108" spans="1:26" s="24" customFormat="1" hidden="1" outlineLevel="1" x14ac:dyDescent="0.25">
      <c r="A108" s="44"/>
      <c r="B108" s="11" t="str">
        <f>CONCATENATE("          ", "5004", " - ", "PURCHASES @ COST-DIGITAL TEXT")</f>
        <v xml:space="preserve">          5004 - PURCHASES @ COST-DIGITAL TEXT</v>
      </c>
      <c r="C108" s="11"/>
      <c r="D108" s="2">
        <v>50761.9</v>
      </c>
      <c r="E108" s="2"/>
      <c r="F108" s="19">
        <f t="shared" si="14"/>
        <v>4.6696534280937008E-2</v>
      </c>
      <c r="G108" s="2"/>
      <c r="H108" s="2">
        <v>37466.380000000005</v>
      </c>
      <c r="I108" s="2"/>
      <c r="J108" s="19">
        <f t="shared" si="15"/>
        <v>3.291812193554907E-2</v>
      </c>
      <c r="K108" s="2"/>
      <c r="L108" s="2">
        <f t="shared" si="16"/>
        <v>13295.519999999997</v>
      </c>
      <c r="M108" s="2"/>
      <c r="N108" s="19">
        <f t="shared" si="17"/>
        <v>0.35486534861387714</v>
      </c>
      <c r="O108" s="11"/>
      <c r="P108" s="2">
        <v>353728.39</v>
      </c>
      <c r="Q108" s="2"/>
      <c r="R108" s="19">
        <f t="shared" si="18"/>
        <v>8.5400315214135811E-2</v>
      </c>
      <c r="S108" s="2"/>
      <c r="T108" s="2">
        <v>239679.49000000002</v>
      </c>
      <c r="U108" s="2"/>
      <c r="V108" s="19">
        <f t="shared" si="19"/>
        <v>5.2659402022172362E-2</v>
      </c>
      <c r="W108" s="2"/>
      <c r="X108" s="2">
        <f t="shared" si="20"/>
        <v>114048.9</v>
      </c>
      <c r="Y108" s="2"/>
      <c r="Z108" s="19">
        <f t="shared" si="21"/>
        <v>0.47583921344291907</v>
      </c>
    </row>
    <row r="109" spans="1:26" s="24" customFormat="1" hidden="1" outlineLevel="1" x14ac:dyDescent="0.25">
      <c r="A109" s="44"/>
      <c r="B109" s="11" t="str">
        <f>CONCATENATE("          ", "5011", " - ", "PURCHASES @ COST-NO VALUE TEXT")</f>
        <v xml:space="preserve">          5011 - PURCHASES @ COST-NO VALUE TEXT</v>
      </c>
      <c r="C109" s="11"/>
      <c r="D109" s="2">
        <v>2928</v>
      </c>
      <c r="E109" s="2"/>
      <c r="F109" s="19">
        <f t="shared" si="14"/>
        <v>2.6935054120232602E-3</v>
      </c>
      <c r="G109" s="2"/>
      <c r="H109" s="2">
        <v>126</v>
      </c>
      <c r="I109" s="2"/>
      <c r="J109" s="19">
        <f t="shared" si="15"/>
        <v>1.1070413965478337E-4</v>
      </c>
      <c r="K109" s="2"/>
      <c r="L109" s="2">
        <f t="shared" si="16"/>
        <v>2802</v>
      </c>
      <c r="M109" s="2"/>
      <c r="N109" s="19">
        <f t="shared" si="17"/>
        <v>22.238095238095237</v>
      </c>
      <c r="O109" s="11"/>
      <c r="P109" s="2">
        <v>3585</v>
      </c>
      <c r="Q109" s="2"/>
      <c r="R109" s="19">
        <f t="shared" si="18"/>
        <v>8.655232056513102E-4</v>
      </c>
      <c r="S109" s="2"/>
      <c r="T109" s="2">
        <v>1083</v>
      </c>
      <c r="U109" s="2"/>
      <c r="V109" s="19">
        <f t="shared" si="19"/>
        <v>2.3794331500794107E-4</v>
      </c>
      <c r="W109" s="2"/>
      <c r="X109" s="2">
        <f t="shared" si="20"/>
        <v>2502</v>
      </c>
      <c r="Y109" s="2"/>
      <c r="Z109" s="19">
        <f t="shared" si="21"/>
        <v>2.3102493074792245</v>
      </c>
    </row>
    <row r="110" spans="1:26" s="24" customFormat="1" hidden="1" outlineLevel="1" x14ac:dyDescent="0.25">
      <c r="A110" s="44"/>
      <c r="B110" s="11" t="str">
        <f>CONCATENATE("          ", "5013", " - ", "PURCHASES @ COST-TRADE BOOKS")</f>
        <v xml:space="preserve">          5013 - PURCHASES @ COST-TRADE BOOKS</v>
      </c>
      <c r="C110" s="11"/>
      <c r="D110" s="2">
        <v>269.89</v>
      </c>
      <c r="E110" s="2"/>
      <c r="F110" s="19">
        <f t="shared" si="14"/>
        <v>2.4827533321412492E-4</v>
      </c>
      <c r="G110" s="2"/>
      <c r="H110" s="2">
        <v>-1023.61</v>
      </c>
      <c r="I110" s="2"/>
      <c r="J110" s="19">
        <f t="shared" si="15"/>
        <v>-8.993481300954984E-4</v>
      </c>
      <c r="K110" s="2"/>
      <c r="L110" s="2">
        <f t="shared" si="16"/>
        <v>1293.5</v>
      </c>
      <c r="M110" s="2"/>
      <c r="N110" s="19">
        <f t="shared" si="17"/>
        <v>-1.2636648723634978</v>
      </c>
      <c r="O110" s="11"/>
      <c r="P110" s="2">
        <v>474.79</v>
      </c>
      <c r="Q110" s="2"/>
      <c r="R110" s="19">
        <f t="shared" si="18"/>
        <v>1.1462810678136278E-4</v>
      </c>
      <c r="S110" s="2"/>
      <c r="T110" s="2">
        <v>579.38</v>
      </c>
      <c r="U110" s="2"/>
      <c r="V110" s="19">
        <f t="shared" si="19"/>
        <v>1.2729418083961302E-4</v>
      </c>
      <c r="W110" s="2"/>
      <c r="X110" s="2">
        <f t="shared" si="20"/>
        <v>-104.58999999999997</v>
      </c>
      <c r="Y110" s="2"/>
      <c r="Z110" s="19">
        <f t="shared" si="21"/>
        <v>-0.18052055645690215</v>
      </c>
    </row>
    <row r="111" spans="1:26" s="24" customFormat="1" hidden="1" outlineLevel="1" x14ac:dyDescent="0.25">
      <c r="A111" s="44"/>
      <c r="B111" s="11" t="str">
        <f>CONCATENATE("          ", "5014", " - ", "PURCHASES @ COST-REMAINDERS")</f>
        <v xml:space="preserve">          5014 - PURCHASES @ COST-REMAINDERS</v>
      </c>
      <c r="C111" s="11"/>
      <c r="D111" s="2">
        <v>55.65</v>
      </c>
      <c r="E111" s="2"/>
      <c r="F111" s="19">
        <f t="shared" si="14"/>
        <v>5.1193161263351925E-5</v>
      </c>
      <c r="G111" s="2"/>
      <c r="H111" s="2">
        <v>197.26</v>
      </c>
      <c r="I111" s="2"/>
      <c r="J111" s="19">
        <f t="shared" si="15"/>
        <v>1.7331348085954418E-4</v>
      </c>
      <c r="K111" s="2"/>
      <c r="L111" s="2">
        <f t="shared" si="16"/>
        <v>-141.60999999999999</v>
      </c>
      <c r="M111" s="2"/>
      <c r="N111" s="19">
        <f t="shared" si="17"/>
        <v>-0.71788502484031225</v>
      </c>
      <c r="O111" s="11"/>
      <c r="P111" s="2">
        <v>289.97000000000003</v>
      </c>
      <c r="Q111" s="2"/>
      <c r="R111" s="19">
        <f t="shared" si="18"/>
        <v>7.0007186594898315E-5</v>
      </c>
      <c r="S111" s="2"/>
      <c r="T111" s="2">
        <v>401.26</v>
      </c>
      <c r="U111" s="2"/>
      <c r="V111" s="19">
        <f t="shared" si="19"/>
        <v>8.815986572491822E-5</v>
      </c>
      <c r="W111" s="2"/>
      <c r="X111" s="2">
        <f t="shared" si="20"/>
        <v>-111.28999999999996</v>
      </c>
      <c r="Y111" s="2"/>
      <c r="Z111" s="19">
        <f t="shared" si="21"/>
        <v>-0.27735134326870348</v>
      </c>
    </row>
    <row r="112" spans="1:26" s="24" customFormat="1" hidden="1" outlineLevel="1" x14ac:dyDescent="0.25">
      <c r="A112" s="44"/>
      <c r="B112" s="11" t="str">
        <f>CONCATENATE("          ", "5017", " - ", "PURCHASES @ COST-DORM/HOUSEWAR")</f>
        <v xml:space="preserve">          5017 - PURCHASES @ COST-DORM/HOUSEWAR</v>
      </c>
      <c r="C112" s="11"/>
      <c r="D112" s="2">
        <v>-139.86000000000001</v>
      </c>
      <c r="E112" s="2"/>
      <c r="F112" s="19">
        <f t="shared" si="14"/>
        <v>-1.286590392505373E-4</v>
      </c>
      <c r="G112" s="2"/>
      <c r="H112" s="2">
        <v>-959.6</v>
      </c>
      <c r="I112" s="2"/>
      <c r="J112" s="19">
        <f t="shared" si="15"/>
        <v>-8.4310866994230255E-4</v>
      </c>
      <c r="K112" s="2"/>
      <c r="L112" s="2">
        <f t="shared" si="16"/>
        <v>819.74</v>
      </c>
      <c r="M112" s="2"/>
      <c r="N112" s="19">
        <f t="shared" si="17"/>
        <v>-0.85425177157148813</v>
      </c>
      <c r="O112" s="11"/>
      <c r="P112" s="2">
        <v>0</v>
      </c>
      <c r="Q112" s="2"/>
      <c r="R112" s="19">
        <f t="shared" si="18"/>
        <v>0</v>
      </c>
      <c r="S112" s="2"/>
      <c r="T112" s="2">
        <v>0</v>
      </c>
      <c r="U112" s="2"/>
      <c r="V112" s="19">
        <f t="shared" si="19"/>
        <v>0</v>
      </c>
      <c r="W112" s="2"/>
      <c r="X112" s="2">
        <f t="shared" si="20"/>
        <v>0</v>
      </c>
      <c r="Y112" s="2"/>
      <c r="Z112" s="19">
        <f t="shared" si="21"/>
        <v>0</v>
      </c>
    </row>
    <row r="113" spans="1:26" s="24" customFormat="1" hidden="1" outlineLevel="1" x14ac:dyDescent="0.25">
      <c r="A113" s="44"/>
      <c r="B113" s="11" t="str">
        <f>CONCATENATE("          ", "5018", " - ", "PURCHASES @ COST-STUDY GUIDES")</f>
        <v xml:space="preserve">          5018 - PURCHASES @ COST-STUDY GUIDES</v>
      </c>
      <c r="C113" s="11"/>
      <c r="D113" s="2"/>
      <c r="E113" s="2"/>
      <c r="F113" s="19">
        <f t="shared" si="14"/>
        <v>0</v>
      </c>
      <c r="G113" s="2"/>
      <c r="H113" s="2">
        <v>216.04</v>
      </c>
      <c r="I113" s="2"/>
      <c r="J113" s="19">
        <f t="shared" si="15"/>
        <v>1.8981366929380475E-4</v>
      </c>
      <c r="K113" s="2"/>
      <c r="L113" s="2">
        <f t="shared" si="16"/>
        <v>-216.04</v>
      </c>
      <c r="M113" s="2"/>
      <c r="N113" s="19">
        <f t="shared" si="17"/>
        <v>-1</v>
      </c>
      <c r="O113" s="11"/>
      <c r="P113" s="2">
        <v>503.93</v>
      </c>
      <c r="Q113" s="2"/>
      <c r="R113" s="19">
        <f t="shared" si="18"/>
        <v>1.216633497974518E-4</v>
      </c>
      <c r="S113" s="2"/>
      <c r="T113" s="2">
        <v>1034.67</v>
      </c>
      <c r="U113" s="2"/>
      <c r="V113" s="19">
        <f t="shared" si="19"/>
        <v>2.2732484740467813E-4</v>
      </c>
      <c r="W113" s="2"/>
      <c r="X113" s="2">
        <f t="shared" si="20"/>
        <v>-530.74</v>
      </c>
      <c r="Y113" s="2"/>
      <c r="Z113" s="19">
        <f t="shared" si="21"/>
        <v>-0.51295582166294562</v>
      </c>
    </row>
    <row r="114" spans="1:26" s="24" customFormat="1" hidden="1" outlineLevel="1" x14ac:dyDescent="0.25">
      <c r="A114" s="44"/>
      <c r="B114" s="11" t="str">
        <f>CONCATENATE("          ", "5025", " - ", "PURCHASES @ COST-TEST FORMS")</f>
        <v xml:space="preserve">          5025 - PURCHASES @ COST-TEST FORMS</v>
      </c>
      <c r="C114" s="11"/>
      <c r="D114" s="2">
        <v>1495.25</v>
      </c>
      <c r="E114" s="2"/>
      <c r="F114" s="19">
        <f t="shared" si="14"/>
        <v>1.375499988841455E-3</v>
      </c>
      <c r="G114" s="2"/>
      <c r="H114" s="2">
        <v>0</v>
      </c>
      <c r="I114" s="2"/>
      <c r="J114" s="19">
        <f t="shared" si="15"/>
        <v>0</v>
      </c>
      <c r="K114" s="2"/>
      <c r="L114" s="2">
        <f t="shared" si="16"/>
        <v>1495.25</v>
      </c>
      <c r="M114" s="2"/>
      <c r="N114" s="19">
        <f t="shared" si="17"/>
        <v>0</v>
      </c>
      <c r="O114" s="11"/>
      <c r="P114" s="2">
        <v>3252.39</v>
      </c>
      <c r="Q114" s="2"/>
      <c r="R114" s="19">
        <f t="shared" si="18"/>
        <v>7.8522148363410445E-4</v>
      </c>
      <c r="S114" s="2"/>
      <c r="T114" s="2">
        <v>1050</v>
      </c>
      <c r="U114" s="2"/>
      <c r="V114" s="19">
        <f t="shared" si="19"/>
        <v>2.3069296468913956E-4</v>
      </c>
      <c r="W114" s="2"/>
      <c r="X114" s="2">
        <f t="shared" si="20"/>
        <v>2202.39</v>
      </c>
      <c r="Y114" s="2"/>
      <c r="Z114" s="19">
        <f t="shared" si="21"/>
        <v>2.0975142857142854</v>
      </c>
    </row>
    <row r="115" spans="1:26" s="24" customFormat="1" hidden="1" outlineLevel="1" x14ac:dyDescent="0.25">
      <c r="A115" s="44"/>
      <c r="B115" s="11" t="str">
        <f>CONCATENATE("          ", "5026", " - ", "PURCHASES @ COST-WRITING INSTR")</f>
        <v xml:space="preserve">          5026 - PURCHASES @ COST-WRITING INSTR</v>
      </c>
      <c r="C115" s="11"/>
      <c r="D115" s="2">
        <v>2250.85</v>
      </c>
      <c r="E115" s="2"/>
      <c r="F115" s="19">
        <f t="shared" si="14"/>
        <v>2.0705862898403537E-3</v>
      </c>
      <c r="G115" s="2"/>
      <c r="H115" s="2">
        <v>18243.670000000002</v>
      </c>
      <c r="I115" s="2"/>
      <c r="J115" s="19">
        <f t="shared" si="15"/>
        <v>1.6028966599172873E-2</v>
      </c>
      <c r="K115" s="2"/>
      <c r="L115" s="2">
        <f t="shared" si="16"/>
        <v>-15992.820000000002</v>
      </c>
      <c r="M115" s="2"/>
      <c r="N115" s="19">
        <f t="shared" si="17"/>
        <v>-0.87662296018290176</v>
      </c>
      <c r="O115" s="11"/>
      <c r="P115" s="2">
        <v>14787.38</v>
      </c>
      <c r="Q115" s="2"/>
      <c r="R115" s="19">
        <f t="shared" si="18"/>
        <v>3.5701033586566446E-3</v>
      </c>
      <c r="S115" s="2"/>
      <c r="T115" s="2">
        <v>22840.489999999998</v>
      </c>
      <c r="U115" s="2"/>
      <c r="V115" s="19">
        <f t="shared" si="19"/>
        <v>5.0182289076691851E-3</v>
      </c>
      <c r="W115" s="2"/>
      <c r="X115" s="2">
        <f t="shared" si="20"/>
        <v>-8053.1099999999988</v>
      </c>
      <c r="Y115" s="2"/>
      <c r="Z115" s="19">
        <f t="shared" si="21"/>
        <v>-0.3525804393863704</v>
      </c>
    </row>
    <row r="116" spans="1:26" s="24" customFormat="1" hidden="1" outlineLevel="1" x14ac:dyDescent="0.25">
      <c r="A116" s="44"/>
      <c r="B116" s="11" t="str">
        <f>CONCATENATE("          ", "5027", " - ", "PURCHASES @ COST-SCHOOL SUPPLI")</f>
        <v xml:space="preserve">          5027 - PURCHASES @ COST-SCHOOL SUPPLI</v>
      </c>
      <c r="C116" s="11"/>
      <c r="D116" s="2">
        <v>12655.95</v>
      </c>
      <c r="E116" s="2"/>
      <c r="F116" s="19">
        <f t="shared" si="14"/>
        <v>1.1642373572163861E-2</v>
      </c>
      <c r="G116" s="2"/>
      <c r="H116" s="2">
        <v>15062.04</v>
      </c>
      <c r="I116" s="2"/>
      <c r="J116" s="19">
        <f t="shared" si="15"/>
        <v>1.3233572854332805E-2</v>
      </c>
      <c r="K116" s="2"/>
      <c r="L116" s="2">
        <f t="shared" si="16"/>
        <v>-2406.09</v>
      </c>
      <c r="M116" s="2"/>
      <c r="N116" s="19">
        <f t="shared" si="17"/>
        <v>-0.15974529346622371</v>
      </c>
      <c r="O116" s="11"/>
      <c r="P116" s="2">
        <v>62182.680000000008</v>
      </c>
      <c r="Q116" s="2"/>
      <c r="R116" s="19">
        <f t="shared" si="18"/>
        <v>1.501270642387437E-2</v>
      </c>
      <c r="S116" s="2"/>
      <c r="T116" s="2">
        <v>58732.23</v>
      </c>
      <c r="U116" s="2"/>
      <c r="V116" s="19">
        <f t="shared" si="19"/>
        <v>1.2903916439528023E-2</v>
      </c>
      <c r="W116" s="2"/>
      <c r="X116" s="2">
        <f t="shared" si="20"/>
        <v>3450.4500000000044</v>
      </c>
      <c r="Y116" s="2"/>
      <c r="Z116" s="19">
        <f t="shared" si="21"/>
        <v>5.8748833476951312E-2</v>
      </c>
    </row>
    <row r="117" spans="1:26" s="24" customFormat="1" hidden="1" outlineLevel="1" x14ac:dyDescent="0.25">
      <c r="A117" s="44"/>
      <c r="B117" s="11" t="str">
        <f>CONCATENATE("          ", "5028", " - ", "PURCHASES @ COST-ART/TECH")</f>
        <v xml:space="preserve">          5028 - PURCHASES @ COST-ART/TECH</v>
      </c>
      <c r="C117" s="11"/>
      <c r="D117" s="2">
        <v>14830.009999999998</v>
      </c>
      <c r="E117" s="2"/>
      <c r="F117" s="19">
        <f t="shared" si="14"/>
        <v>1.3642319738852141E-2</v>
      </c>
      <c r="G117" s="2"/>
      <c r="H117" s="2">
        <v>15579.26</v>
      </c>
      <c r="I117" s="2"/>
      <c r="J117" s="19">
        <f t="shared" si="15"/>
        <v>1.368800456157286E-2</v>
      </c>
      <c r="K117" s="2"/>
      <c r="L117" s="2">
        <f t="shared" si="16"/>
        <v>-749.25000000000182</v>
      </c>
      <c r="M117" s="2"/>
      <c r="N117" s="19">
        <f t="shared" si="17"/>
        <v>-4.8092784894789728E-2</v>
      </c>
      <c r="O117" s="11"/>
      <c r="P117" s="2">
        <v>70844.78</v>
      </c>
      <c r="Q117" s="2"/>
      <c r="R117" s="19">
        <f t="shared" si="18"/>
        <v>1.7103989146237609E-2</v>
      </c>
      <c r="S117" s="2"/>
      <c r="T117" s="2">
        <v>53175.57</v>
      </c>
      <c r="U117" s="2"/>
      <c r="V117" s="19">
        <f t="shared" si="19"/>
        <v>1.168307608793797E-2</v>
      </c>
      <c r="W117" s="2"/>
      <c r="X117" s="2">
        <f t="shared" si="20"/>
        <v>17669.21</v>
      </c>
      <c r="Y117" s="2"/>
      <c r="Z117" s="19">
        <f t="shared" si="21"/>
        <v>0.3322805942653741</v>
      </c>
    </row>
    <row r="118" spans="1:26" s="24" customFormat="1" hidden="1" outlineLevel="1" x14ac:dyDescent="0.25">
      <c r="A118" s="44"/>
      <c r="B118" s="11" t="str">
        <f>CONCATENATE("          ", "5031", " - ", "PURCHASES @ COST-FOOD")</f>
        <v xml:space="preserve">          5031 - PURCHASES @ COST-FOOD</v>
      </c>
      <c r="C118" s="11"/>
      <c r="D118" s="2">
        <v>5471.01</v>
      </c>
      <c r="E118" s="2"/>
      <c r="F118" s="19">
        <f t="shared" si="14"/>
        <v>5.0328534987135855E-3</v>
      </c>
      <c r="G118" s="2"/>
      <c r="H118" s="2">
        <v>4130.26</v>
      </c>
      <c r="I118" s="2"/>
      <c r="J118" s="19">
        <f t="shared" si="15"/>
        <v>3.6288641257981396E-3</v>
      </c>
      <c r="K118" s="2"/>
      <c r="L118" s="2">
        <f t="shared" si="16"/>
        <v>1340.75</v>
      </c>
      <c r="M118" s="2"/>
      <c r="N118" s="19">
        <f t="shared" si="17"/>
        <v>0.32461636797683435</v>
      </c>
      <c r="O118" s="11"/>
      <c r="P118" s="2">
        <v>8150.05</v>
      </c>
      <c r="Q118" s="2"/>
      <c r="R118" s="19">
        <f t="shared" si="18"/>
        <v>1.9676589685407144E-3</v>
      </c>
      <c r="S118" s="2"/>
      <c r="T118" s="2">
        <v>7093.43</v>
      </c>
      <c r="U118" s="2"/>
      <c r="V118" s="19">
        <f t="shared" si="19"/>
        <v>1.5584803776332221E-3</v>
      </c>
      <c r="W118" s="2"/>
      <c r="X118" s="2">
        <f t="shared" si="20"/>
        <v>1056.6199999999999</v>
      </c>
      <c r="Y118" s="2"/>
      <c r="Z118" s="19">
        <f t="shared" si="21"/>
        <v>0.14895755649946499</v>
      </c>
    </row>
    <row r="119" spans="1:26" s="24" customFormat="1" hidden="1" outlineLevel="1" x14ac:dyDescent="0.25">
      <c r="A119" s="44"/>
      <c r="B119" s="11" t="str">
        <f>CONCATENATE("          ", "5032", " - ", "PURCHASES @ COST-JUICE")</f>
        <v xml:space="preserve">          5032 - PURCHASES @ COST-JUICE</v>
      </c>
      <c r="C119" s="11"/>
      <c r="D119" s="2">
        <v>477.55</v>
      </c>
      <c r="E119" s="2"/>
      <c r="F119" s="19">
        <f t="shared" si="14"/>
        <v>4.3930447729225E-4</v>
      </c>
      <c r="G119" s="2"/>
      <c r="H119" s="2">
        <v>1045.49</v>
      </c>
      <c r="I119" s="2"/>
      <c r="J119" s="19">
        <f t="shared" si="15"/>
        <v>9.1857199180697983E-4</v>
      </c>
      <c r="K119" s="2"/>
      <c r="L119" s="2">
        <f t="shared" si="16"/>
        <v>-567.94000000000005</v>
      </c>
      <c r="M119" s="2"/>
      <c r="N119" s="19">
        <f t="shared" si="17"/>
        <v>-0.54322853398884741</v>
      </c>
      <c r="O119" s="11"/>
      <c r="P119" s="2">
        <v>819.15</v>
      </c>
      <c r="Q119" s="2"/>
      <c r="R119" s="19">
        <f t="shared" si="18"/>
        <v>1.97766620337314E-4</v>
      </c>
      <c r="S119" s="2"/>
      <c r="T119" s="2">
        <v>2027.58</v>
      </c>
      <c r="U119" s="2"/>
      <c r="V119" s="19">
        <f t="shared" si="19"/>
        <v>4.45474706042291E-4</v>
      </c>
      <c r="W119" s="2"/>
      <c r="X119" s="2">
        <f t="shared" si="20"/>
        <v>-1208.4299999999998</v>
      </c>
      <c r="Y119" s="2"/>
      <c r="Z119" s="19">
        <f t="shared" si="21"/>
        <v>-0.59599621223330268</v>
      </c>
    </row>
    <row r="120" spans="1:26" s="24" customFormat="1" hidden="1" outlineLevel="1" x14ac:dyDescent="0.25">
      <c r="A120" s="44"/>
      <c r="B120" s="11" t="str">
        <f>CONCATENATE("          ", "5033", " - ", "PURCHASES @ COST-CANDY")</f>
        <v xml:space="preserve">          5033 - PURCHASES @ COST-CANDY</v>
      </c>
      <c r="C120" s="11"/>
      <c r="D120" s="2">
        <v>1366.65</v>
      </c>
      <c r="E120" s="2"/>
      <c r="F120" s="19">
        <f t="shared" si="14"/>
        <v>1.2571991705401602E-3</v>
      </c>
      <c r="G120" s="2"/>
      <c r="H120" s="2">
        <v>682.94</v>
      </c>
      <c r="I120" s="2"/>
      <c r="J120" s="19">
        <f t="shared" si="15"/>
        <v>6.0003400901458535E-4</v>
      </c>
      <c r="K120" s="2"/>
      <c r="L120" s="2">
        <f t="shared" si="16"/>
        <v>683.71</v>
      </c>
      <c r="M120" s="2"/>
      <c r="N120" s="19">
        <f t="shared" si="17"/>
        <v>1.0011274782557764</v>
      </c>
      <c r="O120" s="11"/>
      <c r="P120" s="2">
        <v>2353.11</v>
      </c>
      <c r="Q120" s="2"/>
      <c r="R120" s="19">
        <f t="shared" si="18"/>
        <v>5.6810915214788133E-4</v>
      </c>
      <c r="S120" s="2"/>
      <c r="T120" s="2">
        <v>1772.86</v>
      </c>
      <c r="U120" s="2"/>
      <c r="V120" s="19">
        <f t="shared" si="19"/>
        <v>3.8951078988455992E-4</v>
      </c>
      <c r="W120" s="2"/>
      <c r="X120" s="2">
        <f t="shared" si="20"/>
        <v>580.25000000000023</v>
      </c>
      <c r="Y120" s="2"/>
      <c r="Z120" s="19">
        <f t="shared" si="21"/>
        <v>0.32729600758097099</v>
      </c>
    </row>
    <row r="121" spans="1:26" s="24" customFormat="1" hidden="1" outlineLevel="1" x14ac:dyDescent="0.25">
      <c r="A121" s="44"/>
      <c r="B121" s="11" t="str">
        <f>CONCATENATE("          ", "5034", " - ", "PURCHASES @ COST-SODA")</f>
        <v xml:space="preserve">          5034 - PURCHASES @ COST-SODA</v>
      </c>
      <c r="C121" s="11"/>
      <c r="D121" s="2">
        <v>330.04</v>
      </c>
      <c r="E121" s="2"/>
      <c r="F121" s="19">
        <f t="shared" si="14"/>
        <v>3.0360810320497161E-4</v>
      </c>
      <c r="G121" s="2"/>
      <c r="H121" s="2">
        <v>148.22</v>
      </c>
      <c r="I121" s="2"/>
      <c r="J121" s="19">
        <f t="shared" si="15"/>
        <v>1.3022672682247612E-4</v>
      </c>
      <c r="K121" s="2"/>
      <c r="L121" s="2">
        <f t="shared" si="16"/>
        <v>181.82000000000002</v>
      </c>
      <c r="M121" s="2"/>
      <c r="N121" s="19">
        <f t="shared" si="17"/>
        <v>1.2266900553231683</v>
      </c>
      <c r="O121" s="11"/>
      <c r="P121" s="2">
        <v>618.54</v>
      </c>
      <c r="Q121" s="2"/>
      <c r="R121" s="19">
        <f t="shared" si="18"/>
        <v>1.4933353518090974E-4</v>
      </c>
      <c r="S121" s="2"/>
      <c r="T121" s="2">
        <v>687.16</v>
      </c>
      <c r="U121" s="2"/>
      <c r="V121" s="19">
        <f t="shared" si="19"/>
        <v>1.5097426439598965E-4</v>
      </c>
      <c r="W121" s="2"/>
      <c r="X121" s="2">
        <f t="shared" si="20"/>
        <v>-68.62</v>
      </c>
      <c r="Y121" s="2"/>
      <c r="Z121" s="19">
        <f t="shared" si="21"/>
        <v>-9.9860294545666237E-2</v>
      </c>
    </row>
    <row r="122" spans="1:26" s="24" customFormat="1" hidden="1" outlineLevel="1" x14ac:dyDescent="0.25">
      <c r="A122" s="44"/>
      <c r="B122" s="11" t="str">
        <f>CONCATENATE("          ", "5035", " - ", "PURCHASES @ COST-HEALTH &amp; BEAU")</f>
        <v xml:space="preserve">          5035 - PURCHASES @ COST-HEALTH &amp; BEAU</v>
      </c>
      <c r="C122" s="11"/>
      <c r="D122" s="2">
        <v>210.83</v>
      </c>
      <c r="E122" s="2"/>
      <c r="F122" s="19">
        <f t="shared" si="14"/>
        <v>1.9394526844838253E-4</v>
      </c>
      <c r="G122" s="2"/>
      <c r="H122" s="2">
        <v>81.03</v>
      </c>
      <c r="I122" s="2"/>
      <c r="J122" s="19">
        <f t="shared" si="15"/>
        <v>7.11933050494214E-5</v>
      </c>
      <c r="K122" s="2"/>
      <c r="L122" s="2">
        <f t="shared" si="16"/>
        <v>129.80000000000001</v>
      </c>
      <c r="M122" s="2"/>
      <c r="N122" s="19">
        <f t="shared" si="17"/>
        <v>1.601875848451191</v>
      </c>
      <c r="O122" s="11"/>
      <c r="P122" s="2">
        <v>287.56</v>
      </c>
      <c r="Q122" s="2"/>
      <c r="R122" s="19">
        <f t="shared" si="18"/>
        <v>6.9425342543121547E-5</v>
      </c>
      <c r="S122" s="2"/>
      <c r="T122" s="2">
        <v>125.52</v>
      </c>
      <c r="U122" s="2"/>
      <c r="V122" s="19">
        <f t="shared" si="19"/>
        <v>2.7577696121695996E-5</v>
      </c>
      <c r="W122" s="2"/>
      <c r="X122" s="2">
        <f t="shared" si="20"/>
        <v>162.04000000000002</v>
      </c>
      <c r="Y122" s="2"/>
      <c r="Z122" s="19">
        <f t="shared" si="21"/>
        <v>1.290949649458254</v>
      </c>
    </row>
    <row r="123" spans="1:26" s="24" customFormat="1" hidden="1" outlineLevel="1" x14ac:dyDescent="0.25">
      <c r="A123" s="44"/>
      <c r="B123" s="11" t="str">
        <f>CONCATENATE("          ", "5037", " - ", "PURCHASES @ COST-WATER")</f>
        <v xml:space="preserve">          5037 - PURCHASES @ COST-WATER</v>
      </c>
      <c r="C123" s="11"/>
      <c r="D123" s="2">
        <v>896.64</v>
      </c>
      <c r="E123" s="2"/>
      <c r="F123" s="19">
        <f t="shared" si="14"/>
        <v>8.248308376490902E-4</v>
      </c>
      <c r="G123" s="2"/>
      <c r="H123" s="2">
        <v>615.67999999999995</v>
      </c>
      <c r="I123" s="2"/>
      <c r="J123" s="19">
        <f t="shared" si="15"/>
        <v>5.4093908494172232E-4</v>
      </c>
      <c r="K123" s="2"/>
      <c r="L123" s="2">
        <f t="shared" si="16"/>
        <v>280.96000000000004</v>
      </c>
      <c r="M123" s="2"/>
      <c r="N123" s="19">
        <f t="shared" si="17"/>
        <v>0.45634095634095645</v>
      </c>
      <c r="O123" s="11"/>
      <c r="P123" s="2">
        <v>1392.58</v>
      </c>
      <c r="Q123" s="2"/>
      <c r="R123" s="19">
        <f t="shared" si="18"/>
        <v>3.3620929030011199E-4</v>
      </c>
      <c r="S123" s="2"/>
      <c r="T123" s="2">
        <v>1206.74</v>
      </c>
      <c r="U123" s="2"/>
      <c r="V123" s="19">
        <f t="shared" si="19"/>
        <v>2.6512993162759263E-4</v>
      </c>
      <c r="W123" s="2"/>
      <c r="X123" s="2">
        <f t="shared" si="20"/>
        <v>185.83999999999992</v>
      </c>
      <c r="Y123" s="2"/>
      <c r="Z123" s="19">
        <f t="shared" si="21"/>
        <v>0.15400169050499687</v>
      </c>
    </row>
    <row r="124" spans="1:26" s="24" customFormat="1" hidden="1" outlineLevel="1" x14ac:dyDescent="0.25">
      <c r="A124" s="44"/>
      <c r="B124" s="11" t="str">
        <f>CONCATENATE("          ", "5040", " - ", "PURCHASES @ COST-LOGO CLOTHING")</f>
        <v xml:space="preserve">          5040 - PURCHASES @ COST-LOGO CLOTHING</v>
      </c>
      <c r="C124" s="11"/>
      <c r="D124" s="2">
        <v>150282.89000000001</v>
      </c>
      <c r="E124" s="2"/>
      <c r="F124" s="19">
        <f t="shared" si="14"/>
        <v>0.13824719178603018</v>
      </c>
      <c r="G124" s="2"/>
      <c r="H124" s="2">
        <v>126875.2</v>
      </c>
      <c r="I124" s="2"/>
      <c r="J124" s="19">
        <f t="shared" si="15"/>
        <v>0.11147309412324262</v>
      </c>
      <c r="K124" s="2"/>
      <c r="L124" s="2">
        <f t="shared" si="16"/>
        <v>23407.690000000017</v>
      </c>
      <c r="M124" s="2"/>
      <c r="N124" s="19">
        <f t="shared" si="17"/>
        <v>0.1844938175466917</v>
      </c>
      <c r="O124" s="11"/>
      <c r="P124" s="2">
        <v>335851.86000000004</v>
      </c>
      <c r="Q124" s="2"/>
      <c r="R124" s="19">
        <f t="shared" si="18"/>
        <v>8.1084401252762922E-2</v>
      </c>
      <c r="S124" s="2"/>
      <c r="T124" s="2">
        <v>295122.42</v>
      </c>
      <c r="U124" s="2"/>
      <c r="V124" s="19">
        <f t="shared" si="19"/>
        <v>6.4840634300984204E-2</v>
      </c>
      <c r="W124" s="2"/>
      <c r="X124" s="2">
        <f t="shared" si="20"/>
        <v>40729.440000000061</v>
      </c>
      <c r="Y124" s="2"/>
      <c r="Z124" s="19">
        <f t="shared" si="21"/>
        <v>0.13800862706398268</v>
      </c>
    </row>
    <row r="125" spans="1:26" s="24" customFormat="1" hidden="1" outlineLevel="1" x14ac:dyDescent="0.25">
      <c r="A125" s="44"/>
      <c r="B125" s="11" t="str">
        <f>CONCATENATE("          ", "5041", " - ", "PURCHASES @ COST-LOGO GIFTS")</f>
        <v xml:space="preserve">          5041 - PURCHASES @ COST-LOGO GIFTS</v>
      </c>
      <c r="C125" s="11"/>
      <c r="D125" s="2">
        <v>14167.32</v>
      </c>
      <c r="E125" s="2"/>
      <c r="F125" s="19">
        <f t="shared" si="14"/>
        <v>1.3032702559380252E-2</v>
      </c>
      <c r="G125" s="2"/>
      <c r="H125" s="2">
        <v>2643.64</v>
      </c>
      <c r="I125" s="2"/>
      <c r="J125" s="19">
        <f t="shared" si="15"/>
        <v>2.3227134266426311E-3</v>
      </c>
      <c r="K125" s="2"/>
      <c r="L125" s="2">
        <f t="shared" si="16"/>
        <v>11523.68</v>
      </c>
      <c r="M125" s="2"/>
      <c r="N125" s="19">
        <f t="shared" si="17"/>
        <v>4.359020138899397</v>
      </c>
      <c r="O125" s="11"/>
      <c r="P125" s="2">
        <v>42696.480000000003</v>
      </c>
      <c r="Q125" s="2"/>
      <c r="R125" s="19">
        <f t="shared" si="18"/>
        <v>1.0308171336018704E-2</v>
      </c>
      <c r="S125" s="2"/>
      <c r="T125" s="2">
        <v>43498.54</v>
      </c>
      <c r="U125" s="2"/>
      <c r="V125" s="19">
        <f t="shared" si="19"/>
        <v>9.5569591926182133E-3</v>
      </c>
      <c r="W125" s="2"/>
      <c r="X125" s="2">
        <f t="shared" si="20"/>
        <v>-802.05999999999767</v>
      </c>
      <c r="Y125" s="2"/>
      <c r="Z125" s="19">
        <f t="shared" si="21"/>
        <v>-1.8438779784332938E-2</v>
      </c>
    </row>
    <row r="126" spans="1:26" s="24" customFormat="1" hidden="1" outlineLevel="1" x14ac:dyDescent="0.25">
      <c r="A126" s="44"/>
      <c r="B126" s="11" t="str">
        <f>CONCATENATE("          ", "5042", " - ", "PURCHASES @ COST-EVERYDAY GIFT")</f>
        <v xml:space="preserve">          5042 - PURCHASES @ COST-EVERYDAY GIFT</v>
      </c>
      <c r="C126" s="11"/>
      <c r="D126" s="2">
        <v>11559.46</v>
      </c>
      <c r="E126" s="2"/>
      <c r="F126" s="19">
        <f t="shared" si="14"/>
        <v>1.0633698111361474E-2</v>
      </c>
      <c r="G126" s="2"/>
      <c r="H126" s="2">
        <v>11737.22</v>
      </c>
      <c r="I126" s="2"/>
      <c r="J126" s="19">
        <f t="shared" si="15"/>
        <v>1.0312371762213621E-2</v>
      </c>
      <c r="K126" s="2"/>
      <c r="L126" s="2">
        <f t="shared" si="16"/>
        <v>-177.76000000000022</v>
      </c>
      <c r="M126" s="2"/>
      <c r="N126" s="19">
        <f t="shared" si="17"/>
        <v>-1.5144983224306968E-2</v>
      </c>
      <c r="O126" s="11"/>
      <c r="P126" s="2">
        <v>35291.68</v>
      </c>
      <c r="Q126" s="2"/>
      <c r="R126" s="19">
        <f t="shared" si="18"/>
        <v>8.5204373797545963E-3</v>
      </c>
      <c r="S126" s="2"/>
      <c r="T126" s="2">
        <v>35271.049999999996</v>
      </c>
      <c r="U126" s="2"/>
      <c r="V126" s="19">
        <f t="shared" si="19"/>
        <v>7.7493172306655946E-3</v>
      </c>
      <c r="W126" s="2"/>
      <c r="X126" s="2">
        <f t="shared" si="20"/>
        <v>20.630000000004657</v>
      </c>
      <c r="Y126" s="2"/>
      <c r="Z126" s="19">
        <f t="shared" si="21"/>
        <v>5.8489894687015719E-4</v>
      </c>
    </row>
    <row r="127" spans="1:26" s="24" customFormat="1" hidden="1" outlineLevel="1" x14ac:dyDescent="0.25">
      <c r="A127" s="44"/>
      <c r="B127" s="11" t="str">
        <f>CONCATENATE("          ", "5043", " - ", "PURCHASES @ COST-CARDS")</f>
        <v xml:space="preserve">          5043 - PURCHASES @ COST-CARDS</v>
      </c>
      <c r="C127" s="11"/>
      <c r="D127" s="2">
        <v>495.49</v>
      </c>
      <c r="E127" s="2"/>
      <c r="F127" s="19">
        <f t="shared" si="14"/>
        <v>4.558077174191958E-4</v>
      </c>
      <c r="G127" s="2"/>
      <c r="H127" s="2">
        <v>674.24</v>
      </c>
      <c r="I127" s="2"/>
      <c r="J127" s="19">
        <f t="shared" si="15"/>
        <v>5.9239015175270744E-4</v>
      </c>
      <c r="K127" s="2"/>
      <c r="L127" s="2">
        <f t="shared" si="16"/>
        <v>-178.75</v>
      </c>
      <c r="M127" s="2"/>
      <c r="N127" s="19">
        <f t="shared" si="17"/>
        <v>-0.26511331276696726</v>
      </c>
      <c r="O127" s="11"/>
      <c r="P127" s="2">
        <v>1008.99</v>
      </c>
      <c r="Q127" s="2"/>
      <c r="R127" s="19">
        <f t="shared" si="18"/>
        <v>2.4359951444075746E-4</v>
      </c>
      <c r="S127" s="2"/>
      <c r="T127" s="2">
        <v>1138.05</v>
      </c>
      <c r="U127" s="2"/>
      <c r="V127" s="19">
        <f t="shared" si="19"/>
        <v>2.5003821758521456E-4</v>
      </c>
      <c r="W127" s="2"/>
      <c r="X127" s="2">
        <f t="shared" si="20"/>
        <v>-129.05999999999995</v>
      </c>
      <c r="Y127" s="2"/>
      <c r="Z127" s="19">
        <f t="shared" si="21"/>
        <v>-0.11340450771055749</v>
      </c>
    </row>
    <row r="128" spans="1:26" s="24" customFormat="1" hidden="1" outlineLevel="1" x14ac:dyDescent="0.25">
      <c r="A128" s="44"/>
      <c r="B128" s="11" t="str">
        <f>CONCATENATE("          ", "5044", " - ", "PURCHASES @ COST-ACCESSORIES")</f>
        <v xml:space="preserve">          5044 - PURCHASES @ COST-ACCESSORIES</v>
      </c>
      <c r="C128" s="11"/>
      <c r="D128" s="2">
        <v>2315.5300000000002</v>
      </c>
      <c r="E128" s="2"/>
      <c r="F128" s="19">
        <f t="shared" si="14"/>
        <v>2.1300862659502122E-3</v>
      </c>
      <c r="G128" s="2"/>
      <c r="H128" s="2">
        <v>5340.7</v>
      </c>
      <c r="I128" s="2"/>
      <c r="J128" s="19">
        <f t="shared" si="15"/>
        <v>4.6923618940817582E-3</v>
      </c>
      <c r="K128" s="2"/>
      <c r="L128" s="2">
        <f t="shared" si="16"/>
        <v>-3025.1699999999996</v>
      </c>
      <c r="M128" s="2"/>
      <c r="N128" s="19">
        <f t="shared" si="17"/>
        <v>-0.56643698391596597</v>
      </c>
      <c r="O128" s="11"/>
      <c r="P128" s="2">
        <v>20403.649999999998</v>
      </c>
      <c r="Q128" s="2"/>
      <c r="R128" s="19">
        <f t="shared" si="18"/>
        <v>4.926034185491591E-3</v>
      </c>
      <c r="S128" s="2"/>
      <c r="T128" s="2">
        <v>13536.29</v>
      </c>
      <c r="U128" s="2"/>
      <c r="V128" s="19">
        <f t="shared" si="19"/>
        <v>2.9740255914209078E-3</v>
      </c>
      <c r="W128" s="2"/>
      <c r="X128" s="2">
        <f t="shared" si="20"/>
        <v>6867.3599999999969</v>
      </c>
      <c r="Y128" s="2"/>
      <c r="Z128" s="19">
        <f t="shared" si="21"/>
        <v>0.50732955632599452</v>
      </c>
    </row>
    <row r="129" spans="1:26" s="24" customFormat="1" hidden="1" outlineLevel="1" x14ac:dyDescent="0.25">
      <c r="A129" s="44"/>
      <c r="B129" s="11" t="str">
        <f>CONCATENATE("          ", "5045", " - ", "PURCHASES @ COST-SPECIAL ORDER")</f>
        <v xml:space="preserve">          5045 - PURCHASES @ COST-SPECIAL ORDER</v>
      </c>
      <c r="C129" s="11"/>
      <c r="D129" s="2">
        <v>4318.3999999999996</v>
      </c>
      <c r="E129" s="2"/>
      <c r="F129" s="19">
        <f t="shared" si="14"/>
        <v>3.972552517514087E-3</v>
      </c>
      <c r="G129" s="2"/>
      <c r="H129" s="2">
        <v>3127.05</v>
      </c>
      <c r="I129" s="2"/>
      <c r="J129" s="19">
        <f t="shared" si="15"/>
        <v>2.7474395230753204E-3</v>
      </c>
      <c r="K129" s="2"/>
      <c r="L129" s="2">
        <f t="shared" si="16"/>
        <v>1191.3499999999995</v>
      </c>
      <c r="M129" s="2"/>
      <c r="N129" s="19">
        <f t="shared" si="17"/>
        <v>0.38098207575830234</v>
      </c>
      <c r="O129" s="11"/>
      <c r="P129" s="2">
        <v>24464.030000000002</v>
      </c>
      <c r="Q129" s="2"/>
      <c r="R129" s="19">
        <f t="shared" si="18"/>
        <v>5.9063279410738702E-3</v>
      </c>
      <c r="S129" s="2"/>
      <c r="T129" s="2">
        <v>33137.03</v>
      </c>
      <c r="U129" s="2"/>
      <c r="V129" s="19">
        <f t="shared" si="19"/>
        <v>7.2804568492313886E-3</v>
      </c>
      <c r="W129" s="2"/>
      <c r="X129" s="2">
        <f t="shared" si="20"/>
        <v>-8672.9999999999964</v>
      </c>
      <c r="Y129" s="2"/>
      <c r="Z129" s="19">
        <f t="shared" si="21"/>
        <v>-0.26173136216492537</v>
      </c>
    </row>
    <row r="130" spans="1:26" s="24" customFormat="1" hidden="1" outlineLevel="1" x14ac:dyDescent="0.25">
      <c r="A130" s="44"/>
      <c r="B130" s="11" t="str">
        <f>CONCATENATE("          ", "5081", " - ", "PURCHASES @ COST-ELECTRONICS")</f>
        <v xml:space="preserve">          5081 - PURCHASES @ COST-ELECTRONICS</v>
      </c>
      <c r="C130" s="11"/>
      <c r="D130" s="2">
        <v>167.92</v>
      </c>
      <c r="E130" s="2"/>
      <c r="F130" s="19">
        <f t="shared" si="14"/>
        <v>1.5447179944909353E-4</v>
      </c>
      <c r="G130" s="2"/>
      <c r="H130" s="2">
        <v>746.04</v>
      </c>
      <c r="I130" s="2"/>
      <c r="J130" s="19">
        <f t="shared" si="15"/>
        <v>6.5547393927027446E-4</v>
      </c>
      <c r="K130" s="2"/>
      <c r="L130" s="2">
        <f t="shared" si="16"/>
        <v>-578.12</v>
      </c>
      <c r="M130" s="2"/>
      <c r="N130" s="19">
        <f t="shared" si="17"/>
        <v>-0.77491823494718781</v>
      </c>
      <c r="O130" s="11"/>
      <c r="P130" s="2">
        <v>472.08</v>
      </c>
      <c r="Q130" s="2"/>
      <c r="R130" s="19">
        <f t="shared" si="18"/>
        <v>1.1397383400944784E-4</v>
      </c>
      <c r="S130" s="2"/>
      <c r="T130" s="2">
        <v>902.56</v>
      </c>
      <c r="U130" s="2"/>
      <c r="V130" s="19">
        <f t="shared" si="19"/>
        <v>1.9829927829507598E-4</v>
      </c>
      <c r="W130" s="2"/>
      <c r="X130" s="2">
        <f t="shared" si="20"/>
        <v>-430.47999999999996</v>
      </c>
      <c r="Y130" s="2"/>
      <c r="Z130" s="19">
        <f t="shared" si="21"/>
        <v>-0.47695444070200316</v>
      </c>
    </row>
    <row r="131" spans="1:26" s="24" customFormat="1" hidden="1" outlineLevel="1" x14ac:dyDescent="0.25">
      <c r="A131" s="44"/>
      <c r="B131" s="11" t="str">
        <f>CONCATENATE("          ", "5082", " - ", "PURCHASES @ COST-COMPUTER HARD")</f>
        <v xml:space="preserve">          5082 - PURCHASES @ COST-COMPUTER HARD</v>
      </c>
      <c r="C131" s="11"/>
      <c r="D131" s="2">
        <v>19</v>
      </c>
      <c r="E131" s="2"/>
      <c r="F131" s="19">
        <f t="shared" si="14"/>
        <v>1.7478347960533452E-5</v>
      </c>
      <c r="G131" s="2"/>
      <c r="H131" s="2">
        <v>135</v>
      </c>
      <c r="I131" s="2"/>
      <c r="J131" s="19">
        <f t="shared" si="15"/>
        <v>1.1861157820155361E-4</v>
      </c>
      <c r="K131" s="2"/>
      <c r="L131" s="2">
        <f t="shared" si="16"/>
        <v>-116</v>
      </c>
      <c r="M131" s="2"/>
      <c r="N131" s="19">
        <f t="shared" si="17"/>
        <v>-0.85925925925925928</v>
      </c>
      <c r="O131" s="11"/>
      <c r="P131" s="2">
        <v>149.6</v>
      </c>
      <c r="Q131" s="2"/>
      <c r="R131" s="19">
        <f t="shared" si="18"/>
        <v>3.6117788442241562E-5</v>
      </c>
      <c r="S131" s="2"/>
      <c r="T131" s="2">
        <v>193</v>
      </c>
      <c r="U131" s="2"/>
      <c r="V131" s="19">
        <f t="shared" si="19"/>
        <v>4.2403563985718032E-5</v>
      </c>
      <c r="W131" s="2"/>
      <c r="X131" s="2">
        <f t="shared" si="20"/>
        <v>-43.400000000000006</v>
      </c>
      <c r="Y131" s="2"/>
      <c r="Z131" s="19">
        <f t="shared" si="21"/>
        <v>-0.22487046632124355</v>
      </c>
    </row>
    <row r="132" spans="1:26" s="24" customFormat="1" hidden="1" outlineLevel="1" x14ac:dyDescent="0.25">
      <c r="A132" s="44"/>
      <c r="B132" s="11" t="str">
        <f>CONCATENATE("          ", "5083", " - ", "PURCHASES @ COST-COMPUTER EQUI")</f>
        <v xml:space="preserve">          5083 - PURCHASES @ COST-COMPUTER EQUI</v>
      </c>
      <c r="C132" s="11"/>
      <c r="D132" s="2">
        <v>74.55</v>
      </c>
      <c r="E132" s="2"/>
      <c r="F132" s="19">
        <f t="shared" si="14"/>
        <v>6.8579517918829943E-5</v>
      </c>
      <c r="G132" s="2"/>
      <c r="H132" s="2">
        <v>112.51</v>
      </c>
      <c r="I132" s="2"/>
      <c r="J132" s="19">
        <f t="shared" si="15"/>
        <v>9.8851767877457752E-5</v>
      </c>
      <c r="K132" s="2"/>
      <c r="L132" s="2">
        <f t="shared" si="16"/>
        <v>-37.960000000000008</v>
      </c>
      <c r="M132" s="2"/>
      <c r="N132" s="19">
        <f t="shared" si="17"/>
        <v>-0.3373922318016177</v>
      </c>
      <c r="O132" s="11"/>
      <c r="P132" s="2">
        <v>156</v>
      </c>
      <c r="Q132" s="2"/>
      <c r="R132" s="19">
        <f t="shared" si="18"/>
        <v>3.7662934471856178E-5</v>
      </c>
      <c r="S132" s="2"/>
      <c r="T132" s="2">
        <v>198.56</v>
      </c>
      <c r="U132" s="2"/>
      <c r="V132" s="19">
        <f t="shared" si="19"/>
        <v>4.3625138160643384E-5</v>
      </c>
      <c r="W132" s="2"/>
      <c r="X132" s="2">
        <f t="shared" si="20"/>
        <v>-42.56</v>
      </c>
      <c r="Y132" s="2"/>
      <c r="Z132" s="19">
        <f t="shared" si="21"/>
        <v>-0.21434327155519742</v>
      </c>
    </row>
    <row r="133" spans="1:26" s="24" customFormat="1" hidden="1" outlineLevel="1" x14ac:dyDescent="0.25">
      <c r="A133" s="44"/>
      <c r="B133" s="11" t="str">
        <f>CONCATENATE("          ", "5086", " - ", "PURCHASES @ COST-COMPUTER SUPP")</f>
        <v xml:space="preserve">          5086 - PURCHASES @ COST-COMPUTER SUPP</v>
      </c>
      <c r="C133" s="11"/>
      <c r="D133" s="2">
        <v>29</v>
      </c>
      <c r="E133" s="2"/>
      <c r="F133" s="19">
        <f t="shared" si="14"/>
        <v>2.6677478466077375E-5</v>
      </c>
      <c r="G133" s="2"/>
      <c r="H133" s="2">
        <v>150.44</v>
      </c>
      <c r="I133" s="2"/>
      <c r="J133" s="19">
        <f t="shared" si="15"/>
        <v>1.3217722833067943E-4</v>
      </c>
      <c r="K133" s="2"/>
      <c r="L133" s="2">
        <f t="shared" si="16"/>
        <v>-121.44</v>
      </c>
      <c r="M133" s="2"/>
      <c r="N133" s="19">
        <f t="shared" si="17"/>
        <v>-0.80723211911725601</v>
      </c>
      <c r="O133" s="11"/>
      <c r="P133" s="2">
        <v>87</v>
      </c>
      <c r="Q133" s="2"/>
      <c r="R133" s="19">
        <f t="shared" si="18"/>
        <v>2.1004328840073634E-5</v>
      </c>
      <c r="S133" s="2"/>
      <c r="T133" s="2">
        <v>242.91</v>
      </c>
      <c r="U133" s="2"/>
      <c r="V133" s="19">
        <f t="shared" si="19"/>
        <v>5.3369169573941799E-5</v>
      </c>
      <c r="W133" s="2"/>
      <c r="X133" s="2">
        <f t="shared" si="20"/>
        <v>-155.91</v>
      </c>
      <c r="Y133" s="2"/>
      <c r="Z133" s="19">
        <f t="shared" si="21"/>
        <v>-0.64184265777448435</v>
      </c>
    </row>
    <row r="134" spans="1:26" s="24" customFormat="1" hidden="1" outlineLevel="1" x14ac:dyDescent="0.25">
      <c r="A134" s="44"/>
      <c r="B134" s="11" t="str">
        <f>CONCATENATE("          ", "5092", " - ", "PURCHASES @ COST-GRAD MERCH")</f>
        <v xml:space="preserve">          5092 - PURCHASES @ COST-GRAD MERCH</v>
      </c>
      <c r="C134" s="11"/>
      <c r="D134" s="2">
        <v>-628</v>
      </c>
      <c r="E134" s="2"/>
      <c r="F134" s="19">
        <f t="shared" si="14"/>
        <v>-5.7770539574815828E-4</v>
      </c>
      <c r="G134" s="2"/>
      <c r="H134" s="2">
        <v>-525.4</v>
      </c>
      <c r="I134" s="2"/>
      <c r="J134" s="19">
        <f t="shared" si="15"/>
        <v>-4.6161869027478716E-4</v>
      </c>
      <c r="K134" s="2"/>
      <c r="L134" s="2">
        <f t="shared" si="16"/>
        <v>-102.60000000000002</v>
      </c>
      <c r="M134" s="2"/>
      <c r="N134" s="19">
        <f t="shared" si="17"/>
        <v>0.19527978682908265</v>
      </c>
      <c r="O134" s="11"/>
      <c r="P134" s="2">
        <v>0</v>
      </c>
      <c r="Q134" s="2"/>
      <c r="R134" s="19">
        <f t="shared" si="18"/>
        <v>0</v>
      </c>
      <c r="S134" s="2"/>
      <c r="T134" s="2">
        <v>-3270.44</v>
      </c>
      <c r="U134" s="2"/>
      <c r="V134" s="19">
        <f t="shared" si="19"/>
        <v>-7.1854047565519008E-4</v>
      </c>
      <c r="W134" s="2"/>
      <c r="X134" s="2">
        <f t="shared" si="20"/>
        <v>3270.44</v>
      </c>
      <c r="Y134" s="2"/>
      <c r="Z134" s="19">
        <f t="shared" si="21"/>
        <v>-1</v>
      </c>
    </row>
    <row r="135" spans="1:26" s="24" customFormat="1" hidden="1" outlineLevel="1" x14ac:dyDescent="0.25">
      <c r="A135" s="44"/>
      <c r="B135" s="11" t="str">
        <f>CONCATENATE("          ", "5095", " - ", "PURCHASES @ COST-CUSTOMER SERV")</f>
        <v xml:space="preserve">          5095 - PURCHASES @ COST-CUSTOMER SERV</v>
      </c>
      <c r="C135" s="11"/>
      <c r="D135" s="2"/>
      <c r="E135" s="2"/>
      <c r="F135" s="19">
        <f t="shared" si="14"/>
        <v>0</v>
      </c>
      <c r="G135" s="2"/>
      <c r="H135" s="2"/>
      <c r="I135" s="2"/>
      <c r="J135" s="19">
        <f t="shared" si="15"/>
        <v>0</v>
      </c>
      <c r="K135" s="2"/>
      <c r="L135" s="2">
        <f t="shared" si="16"/>
        <v>0</v>
      </c>
      <c r="M135" s="2"/>
      <c r="N135" s="19">
        <f t="shared" si="17"/>
        <v>0</v>
      </c>
      <c r="O135" s="11"/>
      <c r="P135" s="2">
        <v>0</v>
      </c>
      <c r="Q135" s="2"/>
      <c r="R135" s="19">
        <f t="shared" si="18"/>
        <v>0</v>
      </c>
      <c r="S135" s="2"/>
      <c r="T135" s="2"/>
      <c r="U135" s="2"/>
      <c r="V135" s="19">
        <f t="shared" si="19"/>
        <v>0</v>
      </c>
      <c r="W135" s="2"/>
      <c r="X135" s="2">
        <f t="shared" si="20"/>
        <v>0</v>
      </c>
      <c r="Y135" s="2"/>
      <c r="Z135" s="19">
        <f t="shared" si="21"/>
        <v>0</v>
      </c>
    </row>
    <row r="136" spans="1:26" s="24" customFormat="1" hidden="1" outlineLevel="1" x14ac:dyDescent="0.25">
      <c r="A136" s="44"/>
      <c r="B136" s="11" t="str">
        <f>CONCATENATE("          ", "5200", " - ", "PURCHASES OFFSET")</f>
        <v xml:space="preserve">          5200 - PURCHASES OFFSET</v>
      </c>
      <c r="C136" s="11"/>
      <c r="D136" s="2">
        <v>-279973</v>
      </c>
      <c r="E136" s="2"/>
      <c r="F136" s="19">
        <f t="shared" si="14"/>
        <v>-0.25755081650286488</v>
      </c>
      <c r="G136" s="2"/>
      <c r="H136" s="2">
        <v>-540573</v>
      </c>
      <c r="I136" s="2"/>
      <c r="J136" s="19">
        <f t="shared" si="15"/>
        <v>-0.4749497530603588</v>
      </c>
      <c r="K136" s="2"/>
      <c r="L136" s="2">
        <f t="shared" si="16"/>
        <v>260600</v>
      </c>
      <c r="M136" s="2"/>
      <c r="N136" s="19">
        <f t="shared" si="17"/>
        <v>-0.48208105103288545</v>
      </c>
      <c r="O136" s="11"/>
      <c r="P136" s="2">
        <v>-2636284</v>
      </c>
      <c r="Q136" s="2"/>
      <c r="R136" s="19">
        <f t="shared" si="18"/>
        <v>-0.63647558680258254</v>
      </c>
      <c r="S136" s="2"/>
      <c r="T136" s="2">
        <v>-2436097</v>
      </c>
      <c r="U136" s="2"/>
      <c r="V136" s="19">
        <f t="shared" si="19"/>
        <v>-0.53522898971458932</v>
      </c>
      <c r="W136" s="2"/>
      <c r="X136" s="2">
        <f t="shared" si="20"/>
        <v>-200187</v>
      </c>
      <c r="Y136" s="2"/>
      <c r="Z136" s="19">
        <f t="shared" si="21"/>
        <v>8.2175299259430151E-2</v>
      </c>
    </row>
    <row r="137" spans="1:26" s="24" customFormat="1" hidden="1" outlineLevel="1" x14ac:dyDescent="0.25">
      <c r="A137" s="44"/>
      <c r="B137" s="11" t="str">
        <f>CONCATENATE("          ", "5300", " - ", "COG$ OFFSET")</f>
        <v xml:space="preserve">          5300 - COG$ OFFSET</v>
      </c>
      <c r="C137" s="11"/>
      <c r="D137" s="2">
        <v>498314.00000000006</v>
      </c>
      <c r="E137" s="2"/>
      <c r="F137" s="19">
        <f t="shared" si="14"/>
        <v>0.45840555187396148</v>
      </c>
      <c r="G137" s="2"/>
      <c r="H137" s="2">
        <v>533469</v>
      </c>
      <c r="I137" s="2"/>
      <c r="J137" s="19">
        <f t="shared" si="15"/>
        <v>0.46870814823410817</v>
      </c>
      <c r="K137" s="2"/>
      <c r="L137" s="2">
        <f t="shared" si="16"/>
        <v>-35154.999999999942</v>
      </c>
      <c r="M137" s="2"/>
      <c r="N137" s="19">
        <f t="shared" si="17"/>
        <v>-6.5898861976984496E-2</v>
      </c>
      <c r="O137" s="11"/>
      <c r="P137" s="2">
        <v>1927748</v>
      </c>
      <c r="Q137" s="2"/>
      <c r="R137" s="19">
        <f t="shared" si="18"/>
        <v>0.46541440129648587</v>
      </c>
      <c r="S137" s="2"/>
      <c r="T137" s="2">
        <v>2161294</v>
      </c>
      <c r="U137" s="2"/>
      <c r="V137" s="19">
        <f t="shared" si="19"/>
        <v>0.47485268611890397</v>
      </c>
      <c r="W137" s="2"/>
      <c r="X137" s="2">
        <f t="shared" si="20"/>
        <v>-233546</v>
      </c>
      <c r="Y137" s="2"/>
      <c r="Z137" s="19">
        <f t="shared" si="21"/>
        <v>-0.1080584131543418</v>
      </c>
    </row>
    <row r="138" spans="1:26" s="24" customFormat="1" hidden="1" outlineLevel="1" x14ac:dyDescent="0.25">
      <c r="A138" s="44"/>
      <c r="B138" s="11" t="str">
        <f>CONCATENATE("          ", "5500", " - ", "FREIGHT-IN")</f>
        <v xml:space="preserve">          5500 - FREIGHT-IN</v>
      </c>
      <c r="C138" s="11"/>
      <c r="D138" s="2">
        <v>-49</v>
      </c>
      <c r="E138" s="2"/>
      <c r="F138" s="19">
        <f t="shared" si="14"/>
        <v>-4.5075739477165222E-5</v>
      </c>
      <c r="G138" s="2"/>
      <c r="H138" s="2">
        <v>103.39</v>
      </c>
      <c r="I138" s="2"/>
      <c r="J138" s="19">
        <f t="shared" si="15"/>
        <v>9.0838896816730578E-5</v>
      </c>
      <c r="K138" s="2"/>
      <c r="L138" s="2">
        <f t="shared" si="16"/>
        <v>-152.38999999999999</v>
      </c>
      <c r="M138" s="2"/>
      <c r="N138" s="19">
        <f t="shared" si="17"/>
        <v>-1.4739336492890993</v>
      </c>
      <c r="O138" s="11"/>
      <c r="P138" s="2">
        <v>0</v>
      </c>
      <c r="Q138" s="2"/>
      <c r="R138" s="19">
        <f t="shared" si="18"/>
        <v>0</v>
      </c>
      <c r="S138" s="2"/>
      <c r="T138" s="2">
        <v>317.36</v>
      </c>
      <c r="U138" s="2"/>
      <c r="V138" s="19">
        <f t="shared" si="19"/>
        <v>6.9726399308328891E-5</v>
      </c>
      <c r="W138" s="2"/>
      <c r="X138" s="2">
        <f t="shared" si="20"/>
        <v>-317.36</v>
      </c>
      <c r="Y138" s="2"/>
      <c r="Z138" s="19">
        <f t="shared" si="21"/>
        <v>-1</v>
      </c>
    </row>
    <row r="139" spans="1:26" s="24" customFormat="1" hidden="1" outlineLevel="1" x14ac:dyDescent="0.25">
      <c r="A139" s="44"/>
      <c r="B139" s="11" t="str">
        <f>CONCATENATE("          ", "5501", " - ", "FREIGHT-IN-NEW TEXT")</f>
        <v xml:space="preserve">          5501 - FREIGHT-IN-NEW TEXT</v>
      </c>
      <c r="C139" s="11"/>
      <c r="D139" s="2">
        <v>13859.22</v>
      </c>
      <c r="E139" s="2"/>
      <c r="F139" s="19">
        <f t="shared" si="14"/>
        <v>1.2749277348504444E-2</v>
      </c>
      <c r="G139" s="2"/>
      <c r="H139" s="2">
        <v>17256.72</v>
      </c>
      <c r="I139" s="2"/>
      <c r="J139" s="19">
        <f t="shared" si="15"/>
        <v>1.5161828102091218E-2</v>
      </c>
      <c r="K139" s="2"/>
      <c r="L139" s="2">
        <f t="shared" si="16"/>
        <v>-3397.5000000000018</v>
      </c>
      <c r="M139" s="2"/>
      <c r="N139" s="19">
        <f t="shared" si="17"/>
        <v>-0.19687982420761313</v>
      </c>
      <c r="O139" s="11"/>
      <c r="P139" s="2">
        <v>26583.46</v>
      </c>
      <c r="Q139" s="2"/>
      <c r="R139" s="19">
        <f t="shared" si="18"/>
        <v>6.4180199488154469E-3</v>
      </c>
      <c r="S139" s="2"/>
      <c r="T139" s="2">
        <v>26255.8</v>
      </c>
      <c r="U139" s="2"/>
      <c r="V139" s="19">
        <f t="shared" si="19"/>
        <v>5.768598421223914E-3</v>
      </c>
      <c r="W139" s="2"/>
      <c r="X139" s="2">
        <f t="shared" si="20"/>
        <v>327.65999999999985</v>
      </c>
      <c r="Y139" s="2"/>
      <c r="Z139" s="19">
        <f t="shared" si="21"/>
        <v>1.2479528332787418E-2</v>
      </c>
    </row>
    <row r="140" spans="1:26" s="24" customFormat="1" hidden="1" outlineLevel="1" x14ac:dyDescent="0.25">
      <c r="A140" s="44"/>
      <c r="B140" s="11" t="str">
        <f>CONCATENATE("          ", "5502", " - ", "FREIGHT-IN-USED TEXT")</f>
        <v xml:space="preserve">          5502 - FREIGHT-IN-USED TEXT</v>
      </c>
      <c r="C140" s="11"/>
      <c r="D140" s="2">
        <v>1998.66</v>
      </c>
      <c r="E140" s="2"/>
      <c r="F140" s="19">
        <f t="shared" si="14"/>
        <v>1.8385934176210416E-3</v>
      </c>
      <c r="G140" s="2"/>
      <c r="H140" s="2">
        <v>4462.3100000000004</v>
      </c>
      <c r="I140" s="2"/>
      <c r="J140" s="19">
        <f t="shared" si="15"/>
        <v>3.9206046779598127E-3</v>
      </c>
      <c r="K140" s="2"/>
      <c r="L140" s="2">
        <f t="shared" si="16"/>
        <v>-2463.6500000000005</v>
      </c>
      <c r="M140" s="2"/>
      <c r="N140" s="19">
        <f t="shared" si="17"/>
        <v>-0.55210193823378484</v>
      </c>
      <c r="O140" s="11"/>
      <c r="P140" s="2">
        <v>6261.17</v>
      </c>
      <c r="Q140" s="2"/>
      <c r="R140" s="19">
        <f t="shared" si="18"/>
        <v>1.5116284322253316E-3</v>
      </c>
      <c r="S140" s="2"/>
      <c r="T140" s="2">
        <v>6257.15</v>
      </c>
      <c r="U140" s="2"/>
      <c r="V140" s="19">
        <f t="shared" si="19"/>
        <v>1.3747433180996661E-3</v>
      </c>
      <c r="W140" s="2"/>
      <c r="X140" s="2">
        <f t="shared" si="20"/>
        <v>4.0200000000004366</v>
      </c>
      <c r="Y140" s="2"/>
      <c r="Z140" s="19">
        <f t="shared" si="21"/>
        <v>6.4246502001717026E-4</v>
      </c>
    </row>
    <row r="141" spans="1:26" s="24" customFormat="1" hidden="1" outlineLevel="1" x14ac:dyDescent="0.25">
      <c r="A141" s="44"/>
      <c r="B141" s="11" t="str">
        <f>CONCATENATE("          ", "5504", " - ", "FREIGHT-IN-DIGITAL TEXT")</f>
        <v xml:space="preserve">          5504 - FREIGHT-IN-DIGITAL TEXT</v>
      </c>
      <c r="C141" s="11"/>
      <c r="D141" s="2"/>
      <c r="E141" s="2"/>
      <c r="F141" s="19">
        <f t="shared" si="14"/>
        <v>0</v>
      </c>
      <c r="G141" s="2"/>
      <c r="H141" s="2">
        <v>163.72</v>
      </c>
      <c r="I141" s="2"/>
      <c r="J141" s="19">
        <f t="shared" si="15"/>
        <v>1.4384509320858042E-4</v>
      </c>
      <c r="K141" s="2"/>
      <c r="L141" s="2">
        <f t="shared" si="16"/>
        <v>-163.72</v>
      </c>
      <c r="M141" s="2"/>
      <c r="N141" s="19">
        <f t="shared" si="17"/>
        <v>-1</v>
      </c>
      <c r="O141" s="11"/>
      <c r="P141" s="2">
        <v>7.03</v>
      </c>
      <c r="Q141" s="2"/>
      <c r="R141" s="19">
        <f t="shared" si="18"/>
        <v>1.6972463419048007E-6</v>
      </c>
      <c r="S141" s="2"/>
      <c r="T141" s="2">
        <v>166.22</v>
      </c>
      <c r="U141" s="2"/>
      <c r="V141" s="19">
        <f t="shared" si="19"/>
        <v>3.6519794848217885E-5</v>
      </c>
      <c r="W141" s="2"/>
      <c r="X141" s="2">
        <f t="shared" si="20"/>
        <v>-159.19</v>
      </c>
      <c r="Y141" s="2"/>
      <c r="Z141" s="19">
        <f t="shared" si="21"/>
        <v>-0.95770665383227049</v>
      </c>
    </row>
    <row r="142" spans="1:26" s="24" customFormat="1" hidden="1" outlineLevel="1" x14ac:dyDescent="0.25">
      <c r="A142" s="44"/>
      <c r="B142" s="11" t="str">
        <f>CONCATENATE("          ", "5513", " - ", "FREIGHT-IN-TRADE BOOKS")</f>
        <v xml:space="preserve">          5513 - FREIGHT-IN-TRADE BOOKS</v>
      </c>
      <c r="C142" s="11"/>
      <c r="D142" s="2"/>
      <c r="E142" s="2"/>
      <c r="F142" s="19">
        <f t="shared" si="14"/>
        <v>0</v>
      </c>
      <c r="G142" s="2"/>
      <c r="H142" s="2">
        <v>4.95</v>
      </c>
      <c r="I142" s="2"/>
      <c r="J142" s="19">
        <f t="shared" si="15"/>
        <v>4.3490912007236328E-6</v>
      </c>
      <c r="K142" s="2"/>
      <c r="L142" s="2">
        <f t="shared" si="16"/>
        <v>-4.95</v>
      </c>
      <c r="M142" s="2"/>
      <c r="N142" s="19">
        <f t="shared" si="17"/>
        <v>-1</v>
      </c>
      <c r="O142" s="11"/>
      <c r="P142" s="2"/>
      <c r="Q142" s="2"/>
      <c r="R142" s="19">
        <f t="shared" si="18"/>
        <v>0</v>
      </c>
      <c r="S142" s="2"/>
      <c r="T142" s="2">
        <v>12.22</v>
      </c>
      <c r="U142" s="2"/>
      <c r="V142" s="19">
        <f t="shared" si="19"/>
        <v>2.684826693810748E-6</v>
      </c>
      <c r="W142" s="2"/>
      <c r="X142" s="2">
        <f t="shared" si="20"/>
        <v>-12.22</v>
      </c>
      <c r="Y142" s="2"/>
      <c r="Z142" s="19">
        <f t="shared" si="21"/>
        <v>-1</v>
      </c>
    </row>
    <row r="143" spans="1:26" s="24" customFormat="1" hidden="1" outlineLevel="1" x14ac:dyDescent="0.25">
      <c r="A143" s="44"/>
      <c r="B143" s="11" t="str">
        <f>CONCATENATE("          ", "5526", " - ", "FREIGHT-IN-WRITING INSTRUMENTS")</f>
        <v xml:space="preserve">          5526 - FREIGHT-IN-WRITING INSTRUMENTS</v>
      </c>
      <c r="C143" s="11"/>
      <c r="D143" s="2"/>
      <c r="E143" s="2"/>
      <c r="F143" s="19">
        <f t="shared" si="14"/>
        <v>0</v>
      </c>
      <c r="G143" s="2"/>
      <c r="H143" s="2"/>
      <c r="I143" s="2"/>
      <c r="J143" s="19">
        <f t="shared" si="15"/>
        <v>0</v>
      </c>
      <c r="K143" s="2"/>
      <c r="L143" s="2">
        <f t="shared" si="16"/>
        <v>0</v>
      </c>
      <c r="M143" s="2"/>
      <c r="N143" s="19">
        <f t="shared" si="17"/>
        <v>0</v>
      </c>
      <c r="O143" s="11"/>
      <c r="P143" s="2">
        <v>56.57</v>
      </c>
      <c r="Q143" s="2"/>
      <c r="R143" s="19">
        <f t="shared" si="18"/>
        <v>1.3657642327390409E-5</v>
      </c>
      <c r="S143" s="2"/>
      <c r="T143" s="2">
        <v>42.74</v>
      </c>
      <c r="U143" s="2"/>
      <c r="V143" s="19">
        <f t="shared" si="19"/>
        <v>9.3903022007750716E-6</v>
      </c>
      <c r="W143" s="2"/>
      <c r="X143" s="2">
        <f t="shared" si="20"/>
        <v>13.829999999999998</v>
      </c>
      <c r="Y143" s="2"/>
      <c r="Z143" s="19">
        <f t="shared" si="21"/>
        <v>0.32358446420215248</v>
      </c>
    </row>
    <row r="144" spans="1:26" s="24" customFormat="1" hidden="1" outlineLevel="1" x14ac:dyDescent="0.25">
      <c r="A144" s="44"/>
      <c r="B144" s="11" t="str">
        <f>CONCATENATE("          ", "5527", " - ", "FREIGHT-IN-SCHOOL SUPPLIES")</f>
        <v xml:space="preserve">          5527 - FREIGHT-IN-SCHOOL SUPPLIES</v>
      </c>
      <c r="C144" s="11"/>
      <c r="D144" s="2">
        <v>133.38999999999999</v>
      </c>
      <c r="E144" s="2"/>
      <c r="F144" s="19">
        <f t="shared" si="14"/>
        <v>1.2270720181345037E-4</v>
      </c>
      <c r="G144" s="2"/>
      <c r="H144" s="2">
        <v>444.43</v>
      </c>
      <c r="I144" s="2"/>
      <c r="J144" s="19">
        <f t="shared" si="15"/>
        <v>3.9047810148234421E-4</v>
      </c>
      <c r="K144" s="2"/>
      <c r="L144" s="2">
        <f t="shared" si="16"/>
        <v>-311.04000000000002</v>
      </c>
      <c r="M144" s="2"/>
      <c r="N144" s="19">
        <f t="shared" si="17"/>
        <v>-0.69986274553923011</v>
      </c>
      <c r="O144" s="11"/>
      <c r="P144" s="2">
        <v>393.9</v>
      </c>
      <c r="Q144" s="2"/>
      <c r="R144" s="19">
        <f t="shared" si="18"/>
        <v>9.5098909541436839E-5</v>
      </c>
      <c r="S144" s="2"/>
      <c r="T144" s="2">
        <v>725.1</v>
      </c>
      <c r="U144" s="2"/>
      <c r="V144" s="19">
        <f t="shared" si="19"/>
        <v>1.5930997018675724E-4</v>
      </c>
      <c r="W144" s="2"/>
      <c r="X144" s="2">
        <f t="shared" si="20"/>
        <v>-331.20000000000005</v>
      </c>
      <c r="Y144" s="2"/>
      <c r="Z144" s="19">
        <f t="shared" si="21"/>
        <v>-0.45676458419528349</v>
      </c>
    </row>
    <row r="145" spans="1:26" s="24" customFormat="1" hidden="1" outlineLevel="1" x14ac:dyDescent="0.25">
      <c r="A145" s="44"/>
      <c r="B145" s="11" t="str">
        <f>CONCATENATE("          ", "5528", " - ", "FREIGHT-IN-ART/TECH")</f>
        <v xml:space="preserve">          5528 - FREIGHT-IN-ART/TECH</v>
      </c>
      <c r="C145" s="11"/>
      <c r="D145" s="2">
        <v>332.97</v>
      </c>
      <c r="E145" s="2"/>
      <c r="F145" s="19">
        <f t="shared" si="14"/>
        <v>3.0630344844309598E-4</v>
      </c>
      <c r="G145" s="2"/>
      <c r="H145" s="2">
        <v>330.52</v>
      </c>
      <c r="I145" s="2"/>
      <c r="J145" s="19">
        <f t="shared" si="15"/>
        <v>2.9039628760872221E-4</v>
      </c>
      <c r="K145" s="2"/>
      <c r="L145" s="2">
        <f t="shared" si="16"/>
        <v>2.4500000000000455</v>
      </c>
      <c r="M145" s="2"/>
      <c r="N145" s="19">
        <f t="shared" si="17"/>
        <v>7.4125620234782932E-3</v>
      </c>
      <c r="O145" s="11"/>
      <c r="P145" s="2">
        <v>632.77</v>
      </c>
      <c r="Q145" s="2"/>
      <c r="R145" s="19">
        <f t="shared" si="18"/>
        <v>1.5276907080613098E-4</v>
      </c>
      <c r="S145" s="2"/>
      <c r="T145" s="2">
        <v>557.78</v>
      </c>
      <c r="U145" s="2"/>
      <c r="V145" s="19">
        <f t="shared" si="19"/>
        <v>1.225484969945793E-4</v>
      </c>
      <c r="W145" s="2"/>
      <c r="X145" s="2">
        <f t="shared" si="20"/>
        <v>74.990000000000009</v>
      </c>
      <c r="Y145" s="2"/>
      <c r="Z145" s="19">
        <f t="shared" si="21"/>
        <v>0.13444368747534874</v>
      </c>
    </row>
    <row r="146" spans="1:26" s="24" customFormat="1" hidden="1" outlineLevel="1" x14ac:dyDescent="0.25">
      <c r="A146" s="44"/>
      <c r="B146" s="11" t="str">
        <f>CONCATENATE("          ", "5540", " - ", "FREIGHT-IN-LOGO CLOTHING")</f>
        <v xml:space="preserve">          5540 - FREIGHT-IN-LOGO CLOTHING</v>
      </c>
      <c r="C146" s="11"/>
      <c r="D146" s="2">
        <v>2672.92</v>
      </c>
      <c r="E146" s="2"/>
      <c r="F146" s="19">
        <f t="shared" si="14"/>
        <v>2.4588539910878463E-3</v>
      </c>
      <c r="G146" s="2"/>
      <c r="H146" s="2">
        <v>2773.09</v>
      </c>
      <c r="I146" s="2"/>
      <c r="J146" s="19">
        <f t="shared" si="15"/>
        <v>2.4364487510736763E-3</v>
      </c>
      <c r="K146" s="2"/>
      <c r="L146" s="2">
        <f t="shared" si="16"/>
        <v>-100.17000000000007</v>
      </c>
      <c r="M146" s="2"/>
      <c r="N146" s="19">
        <f t="shared" si="17"/>
        <v>-3.6122159756805612E-2</v>
      </c>
      <c r="O146" s="11"/>
      <c r="P146" s="2">
        <v>5004.8599999999997</v>
      </c>
      <c r="Q146" s="2"/>
      <c r="R146" s="19">
        <f t="shared" si="18"/>
        <v>1.2083186809026545E-3</v>
      </c>
      <c r="S146" s="2"/>
      <c r="T146" s="2">
        <v>5693.24</v>
      </c>
      <c r="U146" s="2"/>
      <c r="V146" s="19">
        <f t="shared" si="19"/>
        <v>1.2508480136064731E-3</v>
      </c>
      <c r="W146" s="2"/>
      <c r="X146" s="2">
        <f t="shared" si="20"/>
        <v>-688.38000000000011</v>
      </c>
      <c r="Y146" s="2"/>
      <c r="Z146" s="19">
        <f t="shared" si="21"/>
        <v>-0.12091181822652833</v>
      </c>
    </row>
    <row r="147" spans="1:26" s="24" customFormat="1" hidden="1" outlineLevel="1" x14ac:dyDescent="0.25">
      <c r="A147" s="44"/>
      <c r="B147" s="11" t="str">
        <f>CONCATENATE("          ", "5541", " - ", "FREIGHT-IN-LOGO GIFTS")</f>
        <v xml:space="preserve">          5541 - FREIGHT-IN-LOGO GIFTS</v>
      </c>
      <c r="C147" s="11"/>
      <c r="D147" s="2">
        <v>97.6</v>
      </c>
      <c r="E147" s="2"/>
      <c r="F147" s="19">
        <f t="shared" si="14"/>
        <v>8.978351373410867E-5</v>
      </c>
      <c r="G147" s="2"/>
      <c r="H147" s="2">
        <v>929.59</v>
      </c>
      <c r="I147" s="2"/>
      <c r="J147" s="19">
        <f t="shared" si="15"/>
        <v>8.1674175541023865E-4</v>
      </c>
      <c r="K147" s="2"/>
      <c r="L147" s="2">
        <f t="shared" si="16"/>
        <v>-831.99</v>
      </c>
      <c r="M147" s="2"/>
      <c r="N147" s="19">
        <f t="shared" si="17"/>
        <v>-0.8950074764143332</v>
      </c>
      <c r="O147" s="11"/>
      <c r="P147" s="2">
        <v>818.01</v>
      </c>
      <c r="Q147" s="2"/>
      <c r="R147" s="19">
        <f t="shared" si="18"/>
        <v>1.9749139120078891E-4</v>
      </c>
      <c r="S147" s="2"/>
      <c r="T147" s="2">
        <v>2171.12</v>
      </c>
      <c r="U147" s="2"/>
      <c r="V147" s="19">
        <f t="shared" si="19"/>
        <v>4.7701153285322346E-4</v>
      </c>
      <c r="W147" s="2"/>
      <c r="X147" s="2">
        <f t="shared" si="20"/>
        <v>-1353.11</v>
      </c>
      <c r="Y147" s="2"/>
      <c r="Z147" s="19">
        <f t="shared" si="21"/>
        <v>-0.62323132760971289</v>
      </c>
    </row>
    <row r="148" spans="1:26" s="24" customFormat="1" hidden="1" outlineLevel="1" x14ac:dyDescent="0.25">
      <c r="A148" s="44"/>
      <c r="B148" s="11" t="str">
        <f>CONCATENATE("          ", "5542", " - ", "FREIGHT-IN-EVERYDAY GIFTS")</f>
        <v xml:space="preserve">          5542 - FREIGHT-IN-EVERYDAY GIFTS</v>
      </c>
      <c r="C148" s="11"/>
      <c r="D148" s="2">
        <v>58.91</v>
      </c>
      <c r="E148" s="2"/>
      <c r="F148" s="19">
        <f t="shared" si="14"/>
        <v>5.419207780815924E-5</v>
      </c>
      <c r="G148" s="2"/>
      <c r="H148" s="2">
        <v>54.74</v>
      </c>
      <c r="I148" s="2"/>
      <c r="J148" s="19">
        <f t="shared" si="15"/>
        <v>4.8094798450022554E-5</v>
      </c>
      <c r="K148" s="2"/>
      <c r="L148" s="2">
        <f t="shared" si="16"/>
        <v>4.1699999999999946</v>
      </c>
      <c r="M148" s="2"/>
      <c r="N148" s="19">
        <f t="shared" si="17"/>
        <v>7.6178297405918791E-2</v>
      </c>
      <c r="O148" s="11"/>
      <c r="P148" s="2">
        <v>171.68</v>
      </c>
      <c r="Q148" s="2"/>
      <c r="R148" s="19">
        <f t="shared" si="18"/>
        <v>4.1448542244411976E-5</v>
      </c>
      <c r="S148" s="2"/>
      <c r="T148" s="2">
        <v>477.53</v>
      </c>
      <c r="U148" s="2"/>
      <c r="V148" s="19">
        <f t="shared" si="19"/>
        <v>1.0491696326476648E-4</v>
      </c>
      <c r="W148" s="2"/>
      <c r="X148" s="2">
        <f t="shared" si="20"/>
        <v>-305.84999999999997</v>
      </c>
      <c r="Y148" s="2"/>
      <c r="Z148" s="19">
        <f t="shared" si="21"/>
        <v>-0.6404833204196595</v>
      </c>
    </row>
    <row r="149" spans="1:26" s="24" customFormat="1" hidden="1" outlineLevel="1" x14ac:dyDescent="0.25">
      <c r="A149" s="44"/>
      <c r="B149" s="11" t="str">
        <f>CONCATENATE("          ", "5543", " - ", "FREIGHT-IN-CARDS")</f>
        <v xml:space="preserve">          5543 - FREIGHT-IN-CARDS</v>
      </c>
      <c r="C149" s="11"/>
      <c r="D149" s="2"/>
      <c r="E149" s="2"/>
      <c r="F149" s="19">
        <f t="shared" si="14"/>
        <v>0</v>
      </c>
      <c r="G149" s="2"/>
      <c r="H149" s="2"/>
      <c r="I149" s="2"/>
      <c r="J149" s="19">
        <f t="shared" si="15"/>
        <v>0</v>
      </c>
      <c r="K149" s="2"/>
      <c r="L149" s="2">
        <f t="shared" si="16"/>
        <v>0</v>
      </c>
      <c r="M149" s="2"/>
      <c r="N149" s="19">
        <f t="shared" si="17"/>
        <v>0</v>
      </c>
      <c r="O149" s="11"/>
      <c r="P149" s="2">
        <v>4.58</v>
      </c>
      <c r="Q149" s="2"/>
      <c r="R149" s="19">
        <f t="shared" si="18"/>
        <v>1.1057451274429569E-6</v>
      </c>
      <c r="S149" s="2"/>
      <c r="T149" s="2"/>
      <c r="U149" s="2"/>
      <c r="V149" s="19">
        <f t="shared" si="19"/>
        <v>0</v>
      </c>
      <c r="W149" s="2"/>
      <c r="X149" s="2">
        <f t="shared" si="20"/>
        <v>4.58</v>
      </c>
      <c r="Y149" s="2"/>
      <c r="Z149" s="19">
        <f t="shared" si="21"/>
        <v>0</v>
      </c>
    </row>
    <row r="150" spans="1:26" s="24" customFormat="1" hidden="1" outlineLevel="1" x14ac:dyDescent="0.25">
      <c r="A150" s="44"/>
      <c r="B150" s="11" t="str">
        <f>CONCATENATE("          ", "5544", " - ", "FREIGHT-IN-ACCESSORIES")</f>
        <v xml:space="preserve">          5544 - FREIGHT-IN-ACCESSORIES</v>
      </c>
      <c r="C150" s="11"/>
      <c r="D150" s="2">
        <v>34.18</v>
      </c>
      <c r="E150" s="2"/>
      <c r="F150" s="19">
        <f t="shared" si="14"/>
        <v>3.1442628067949125E-5</v>
      </c>
      <c r="G150" s="2"/>
      <c r="H150" s="2">
        <v>317.79000000000002</v>
      </c>
      <c r="I150" s="2"/>
      <c r="J150" s="19">
        <f t="shared" si="15"/>
        <v>2.7921165508645721E-4</v>
      </c>
      <c r="K150" s="2"/>
      <c r="L150" s="2">
        <f t="shared" si="16"/>
        <v>-283.61</v>
      </c>
      <c r="M150" s="2"/>
      <c r="N150" s="19">
        <f t="shared" si="17"/>
        <v>-0.89244469618301392</v>
      </c>
      <c r="O150" s="11"/>
      <c r="P150" s="2">
        <v>135.84</v>
      </c>
      <c r="Q150" s="2"/>
      <c r="R150" s="19">
        <f t="shared" si="18"/>
        <v>3.2795724478570147E-5</v>
      </c>
      <c r="S150" s="2"/>
      <c r="T150" s="2">
        <v>470.64</v>
      </c>
      <c r="U150" s="2"/>
      <c r="V150" s="19">
        <f t="shared" si="19"/>
        <v>1.0340317800123489E-4</v>
      </c>
      <c r="W150" s="2"/>
      <c r="X150" s="2">
        <f t="shared" si="20"/>
        <v>-334.79999999999995</v>
      </c>
      <c r="Y150" s="2"/>
      <c r="Z150" s="19">
        <f t="shared" si="21"/>
        <v>-0.71137174910759804</v>
      </c>
    </row>
    <row r="151" spans="1:26" s="24" customFormat="1" hidden="1" outlineLevel="1" x14ac:dyDescent="0.25">
      <c r="A151" s="44"/>
      <c r="B151" s="11" t="str">
        <f>CONCATENATE("          ", "5545", " - ", "FREIGHT-IN-SPECIAL ORDERS")</f>
        <v xml:space="preserve">          5545 - FREIGHT-IN-SPECIAL ORDERS</v>
      </c>
      <c r="C151" s="11"/>
      <c r="D151" s="2">
        <v>26.56</v>
      </c>
      <c r="E151" s="2"/>
      <c r="F151" s="19">
        <f t="shared" si="14"/>
        <v>2.4432890622724657E-5</v>
      </c>
      <c r="G151" s="2"/>
      <c r="H151" s="2">
        <v>31.52</v>
      </c>
      <c r="I151" s="2"/>
      <c r="J151" s="19">
        <f t="shared" si="15"/>
        <v>2.7693606999355331E-5</v>
      </c>
      <c r="K151" s="2"/>
      <c r="L151" s="2">
        <f t="shared" si="16"/>
        <v>-4.9600000000000009</v>
      </c>
      <c r="M151" s="2"/>
      <c r="N151" s="19">
        <f t="shared" si="17"/>
        <v>-0.15736040609137059</v>
      </c>
      <c r="O151" s="11"/>
      <c r="P151" s="2">
        <v>262.51</v>
      </c>
      <c r="Q151" s="2"/>
      <c r="R151" s="19">
        <f t="shared" si="18"/>
        <v>6.3377544411583102E-5</v>
      </c>
      <c r="S151" s="2"/>
      <c r="T151" s="2">
        <v>1186.56</v>
      </c>
      <c r="U151" s="2"/>
      <c r="V151" s="19">
        <f t="shared" si="19"/>
        <v>2.6069623255385279E-4</v>
      </c>
      <c r="W151" s="2"/>
      <c r="X151" s="2">
        <f t="shared" si="20"/>
        <v>-924.05</v>
      </c>
      <c r="Y151" s="2"/>
      <c r="Z151" s="19">
        <f t="shared" si="21"/>
        <v>-0.77876382146709822</v>
      </c>
    </row>
    <row r="152" spans="1:26" s="24" customFormat="1" hidden="1" outlineLevel="1" x14ac:dyDescent="0.25">
      <c r="A152" s="44"/>
      <c r="B152" s="11" t="str">
        <f>CONCATENATE("          ", "5592", " - ", "FREIGHT-IN-GRAD MERCH")</f>
        <v xml:space="preserve">          5592 - FREIGHT-IN-GRAD MERCH</v>
      </c>
      <c r="C152" s="11"/>
      <c r="D152" s="2">
        <v>11.21</v>
      </c>
      <c r="E152" s="2"/>
      <c r="F152" s="19">
        <f t="shared" si="14"/>
        <v>1.0312225296714738E-5</v>
      </c>
      <c r="G152" s="2"/>
      <c r="H152" s="2">
        <v>5.61</v>
      </c>
      <c r="I152" s="2"/>
      <c r="J152" s="19">
        <f t="shared" si="15"/>
        <v>4.9289700274867834E-6</v>
      </c>
      <c r="K152" s="2"/>
      <c r="L152" s="2">
        <f t="shared" si="16"/>
        <v>5.6000000000000005</v>
      </c>
      <c r="M152" s="2"/>
      <c r="N152" s="19">
        <f t="shared" si="17"/>
        <v>0.99821746880570417</v>
      </c>
      <c r="O152" s="11"/>
      <c r="P152" s="2">
        <v>70.78</v>
      </c>
      <c r="Q152" s="2"/>
      <c r="R152" s="19">
        <f t="shared" si="18"/>
        <v>1.7088349371269104E-5</v>
      </c>
      <c r="S152" s="2"/>
      <c r="T152" s="2">
        <v>114.3</v>
      </c>
      <c r="U152" s="2"/>
      <c r="V152" s="19">
        <f t="shared" si="19"/>
        <v>2.5112577013303477E-5</v>
      </c>
      <c r="W152" s="2"/>
      <c r="X152" s="2">
        <f t="shared" si="20"/>
        <v>-43.519999999999996</v>
      </c>
      <c r="Y152" s="2"/>
      <c r="Z152" s="19">
        <f t="shared" si="21"/>
        <v>-0.3807524059492563</v>
      </c>
    </row>
    <row r="153" spans="1:26" x14ac:dyDescent="0.25">
      <c r="A153" s="9"/>
      <c r="B153" s="10"/>
      <c r="C153" s="10"/>
      <c r="D153" s="3"/>
      <c r="E153" s="3"/>
      <c r="F153" s="8"/>
      <c r="G153" s="3"/>
      <c r="H153" s="3"/>
      <c r="I153" s="3"/>
      <c r="J153" s="8"/>
      <c r="K153" s="3"/>
      <c r="L153" s="3"/>
      <c r="M153" s="3"/>
      <c r="N153" s="8"/>
      <c r="O153" s="10"/>
      <c r="P153" s="3"/>
      <c r="Q153" s="3"/>
      <c r="R153" s="8"/>
      <c r="S153" s="3"/>
      <c r="T153" s="3"/>
      <c r="U153" s="3"/>
      <c r="V153" s="8"/>
      <c r="W153" s="3"/>
      <c r="X153" s="3"/>
      <c r="Y153" s="3"/>
      <c r="Z153" s="8"/>
    </row>
    <row r="154" spans="1:26" s="23" customFormat="1" x14ac:dyDescent="0.25">
      <c r="A154" s="10"/>
      <c r="B154" s="26" t="s">
        <v>6</v>
      </c>
      <c r="C154" s="26"/>
      <c r="D154" s="21">
        <f>D12-D104</f>
        <v>449156.89999999944</v>
      </c>
      <c r="E154" s="13"/>
      <c r="F154" s="20">
        <f>IF(D$12=0,0,D154/D$12)</f>
        <v>0.41318529405655358</v>
      </c>
      <c r="G154" s="13"/>
      <c r="H154" s="21">
        <f>H12-H104</f>
        <v>436950.70000000019</v>
      </c>
      <c r="I154" s="13"/>
      <c r="J154" s="20">
        <f>IF(H$12=0,0,H154/H$12)</f>
        <v>0.38390675646869343</v>
      </c>
      <c r="K154" s="15"/>
      <c r="L154" s="21">
        <f>+D154-H154</f>
        <v>12206.199999999255</v>
      </c>
      <c r="M154" s="15"/>
      <c r="N154" s="20">
        <f>IF(H154=0,0,L154/H154)</f>
        <v>2.7934959252838478E-2</v>
      </c>
      <c r="O154" s="25"/>
      <c r="P154" s="21">
        <f>P12-P104</f>
        <v>1539900.709999999</v>
      </c>
      <c r="Q154" s="13"/>
      <c r="R154" s="20">
        <f>IF(P$12=0,0,P154/P$12)</f>
        <v>0.3717767918839408</v>
      </c>
      <c r="S154" s="13"/>
      <c r="T154" s="21">
        <f>T12-T104</f>
        <v>1603394.38</v>
      </c>
      <c r="U154" s="13"/>
      <c r="V154" s="20">
        <f>IF(T$12=0,0,T154/T$12)</f>
        <v>0.35227790770295692</v>
      </c>
      <c r="W154" s="15"/>
      <c r="X154" s="21">
        <f>+P154-T154</f>
        <v>-63493.670000000857</v>
      </c>
      <c r="Y154" s="15"/>
      <c r="Z154" s="20">
        <f>IF(T154=0,0,X154/T154)</f>
        <v>-3.9599533833965951E-2</v>
      </c>
    </row>
    <row r="155" spans="1:26" x14ac:dyDescent="0.25">
      <c r="A155" s="9"/>
      <c r="B155" s="10"/>
      <c r="C155" s="9"/>
      <c r="D155" s="1"/>
      <c r="E155" s="1"/>
      <c r="F155" s="5"/>
      <c r="G155" s="1"/>
      <c r="H155" s="1"/>
      <c r="I155" s="1"/>
      <c r="J155" s="5"/>
      <c r="K155" s="1"/>
      <c r="L155" s="1"/>
      <c r="M155" s="1"/>
      <c r="N155" s="5"/>
      <c r="O155" s="37"/>
      <c r="P155" s="1"/>
      <c r="Q155" s="1"/>
      <c r="R155" s="5"/>
      <c r="S155" s="1"/>
      <c r="T155" s="1"/>
      <c r="U155" s="1"/>
      <c r="V155" s="5"/>
      <c r="W155" s="1"/>
      <c r="X155" s="1"/>
      <c r="Y155" s="1"/>
      <c r="Z155" s="5"/>
    </row>
    <row r="156" spans="1:26" s="23" customFormat="1" x14ac:dyDescent="0.25">
      <c r="A156" s="10"/>
      <c r="B156" s="25" t="s">
        <v>9</v>
      </c>
      <c r="C156" s="10"/>
      <c r="D156" s="22">
        <f>SUM(OSRRefD22x_0)</f>
        <v>353983.88000000018</v>
      </c>
      <c r="E156" s="22"/>
      <c r="F156" s="34">
        <f t="shared" ref="F156:F166" si="22">IF(D$12=0,0,D156/D$12)</f>
        <v>0.3256343908978801</v>
      </c>
      <c r="G156" s="22"/>
      <c r="H156" s="22">
        <f>SUM(OSRRefH22x_0)</f>
        <v>365060.44000000006</v>
      </c>
      <c r="I156" s="22"/>
      <c r="J156" s="34">
        <f t="shared" ref="J156:J166" si="23">IF(H$12=0,0,H156/H$12)</f>
        <v>0.32074366612854499</v>
      </c>
      <c r="K156" s="4"/>
      <c r="L156" s="22">
        <f t="shared" ref="L156:L166" si="24">+D156-H156</f>
        <v>-11076.559999999881</v>
      </c>
      <c r="M156" s="4"/>
      <c r="N156" s="34">
        <f t="shared" ref="N156:N166" si="25">IF(H156=0,0,L156/H156)</f>
        <v>-3.0341715470457109E-2</v>
      </c>
      <c r="O156" s="10"/>
      <c r="P156" s="22">
        <f>SUM(OSRRefP22x_0)</f>
        <v>1120093.6200000001</v>
      </c>
      <c r="Q156" s="22"/>
      <c r="R156" s="34">
        <f t="shared" ref="R156:R166" si="26">IF(P$12=0,0,P156/P$12)</f>
        <v>0.27042315777182163</v>
      </c>
      <c r="S156" s="22"/>
      <c r="T156" s="22">
        <f>SUM(OSRRefT22x_0)</f>
        <v>1205105.1699999995</v>
      </c>
      <c r="U156" s="22"/>
      <c r="V156" s="34">
        <f t="shared" ref="V156:V166" si="27">IF(T$12=0,0,T156/T$12)</f>
        <v>0.26477074707572323</v>
      </c>
      <c r="W156" s="4"/>
      <c r="X156" s="22">
        <f t="shared" ref="X156:X166" si="28">+P156-T156</f>
        <v>-85011.549999999348</v>
      </c>
      <c r="Y156" s="4"/>
      <c r="Z156" s="34">
        <f t="shared" ref="Z156:Z166" si="29">IF(T156=0,0,X156/T156)</f>
        <v>-7.0542847310164136E-2</v>
      </c>
    </row>
    <row r="157" spans="1:26" s="29" customFormat="1" outlineLevel="1" collapsed="1" x14ac:dyDescent="0.25">
      <c r="A157" s="27"/>
      <c r="B157" s="14" t="str">
        <f>CONCATENATE("     ","*Benefits                                         ")</f>
        <v xml:space="preserve">     *Benefits                                         </v>
      </c>
      <c r="C157" s="14"/>
      <c r="D157" s="1">
        <f>SUM(OSRRefD22_0x_0)</f>
        <v>48491.650000000009</v>
      </c>
      <c r="E157" s="1"/>
      <c r="F157" s="5">
        <f t="shared" si="22"/>
        <v>4.4608101677915901E-2</v>
      </c>
      <c r="G157" s="1"/>
      <c r="H157" s="1">
        <f>SUM(OSRRefH22_0x_0)</f>
        <v>45671.520000000004</v>
      </c>
      <c r="I157" s="1"/>
      <c r="J157" s="5">
        <f t="shared" si="23"/>
        <v>4.012719308195422E-2</v>
      </c>
      <c r="K157" s="1"/>
      <c r="L157" s="1">
        <f t="shared" si="24"/>
        <v>2820.1300000000047</v>
      </c>
      <c r="M157" s="1"/>
      <c r="N157" s="5">
        <f t="shared" si="25"/>
        <v>6.1748109106068823E-2</v>
      </c>
      <c r="O157" s="14"/>
      <c r="P157" s="1">
        <f>SUM(OSRRefP22_0x_0)</f>
        <v>156437.29</v>
      </c>
      <c r="Q157" s="1"/>
      <c r="R157" s="5">
        <f t="shared" si="26"/>
        <v>3.7768508988620268E-2</v>
      </c>
      <c r="S157" s="1"/>
      <c r="T157" s="1">
        <f>SUM(OSRRefT22_0x_0)</f>
        <v>148164.94999999998</v>
      </c>
      <c r="U157" s="1"/>
      <c r="V157" s="5">
        <f t="shared" si="27"/>
        <v>3.2552963408112499E-2</v>
      </c>
      <c r="W157" s="1"/>
      <c r="X157" s="1">
        <f t="shared" si="28"/>
        <v>8272.3400000000256</v>
      </c>
      <c r="Y157" s="1"/>
      <c r="Z157" s="5">
        <f t="shared" si="29"/>
        <v>5.5831962957501265E-2</v>
      </c>
    </row>
    <row r="158" spans="1:26" s="24" customFormat="1" hidden="1" outlineLevel="2" x14ac:dyDescent="0.25">
      <c r="A158" s="28"/>
      <c r="B158" s="11" t="str">
        <f>CONCATENATE("          ", "6111", " - ", "F.I.C.A.")</f>
        <v xml:space="preserve">          6111 - F.I.C.A.</v>
      </c>
      <c r="C158" s="11"/>
      <c r="D158" s="6">
        <v>7396.01</v>
      </c>
      <c r="E158" s="2"/>
      <c r="F158" s="7">
        <f t="shared" si="22"/>
        <v>6.8036861210307911E-3</v>
      </c>
      <c r="G158" s="2"/>
      <c r="H158" s="6">
        <v>7907.87</v>
      </c>
      <c r="I158" s="2"/>
      <c r="J158" s="7">
        <f t="shared" si="23"/>
        <v>6.9478884512053311E-3</v>
      </c>
      <c r="K158" s="2"/>
      <c r="L158" s="6">
        <f t="shared" si="24"/>
        <v>-511.85999999999967</v>
      </c>
      <c r="M158" s="2"/>
      <c r="N158" s="7">
        <f t="shared" si="25"/>
        <v>-6.4727922942587529E-2</v>
      </c>
      <c r="O158" s="11"/>
      <c r="P158" s="6">
        <v>32396.11</v>
      </c>
      <c r="Q158" s="2"/>
      <c r="R158" s="7">
        <f t="shared" si="26"/>
        <v>7.8213626158528497E-3</v>
      </c>
      <c r="S158" s="2"/>
      <c r="T158" s="6">
        <v>32047.27</v>
      </c>
      <c r="U158" s="2"/>
      <c r="V158" s="7">
        <f t="shared" si="27"/>
        <v>7.0410283109460202E-3</v>
      </c>
      <c r="W158" s="2"/>
      <c r="X158" s="6">
        <f t="shared" si="28"/>
        <v>348.84000000000015</v>
      </c>
      <c r="Y158" s="2"/>
      <c r="Z158" s="7">
        <f t="shared" si="29"/>
        <v>1.0885170562110287E-2</v>
      </c>
    </row>
    <row r="159" spans="1:26" s="24" customFormat="1" hidden="1" outlineLevel="2" x14ac:dyDescent="0.25">
      <c r="A159" s="28"/>
      <c r="B159" s="11" t="str">
        <f>CONCATENATE("          ", "6112", " - ", "COMPENSATION INSURANCE")</f>
        <v xml:space="preserve">          6112 - COMPENSATION INSURANCE</v>
      </c>
      <c r="C159" s="11"/>
      <c r="D159" s="6">
        <v>3283.18</v>
      </c>
      <c r="E159" s="2"/>
      <c r="F159" s="7">
        <f t="shared" si="22"/>
        <v>3.0202401293191695E-3</v>
      </c>
      <c r="G159" s="2"/>
      <c r="H159" s="6"/>
      <c r="I159" s="2"/>
      <c r="J159" s="7">
        <f t="shared" si="23"/>
        <v>0</v>
      </c>
      <c r="K159" s="2"/>
      <c r="L159" s="6">
        <f t="shared" si="24"/>
        <v>3283.18</v>
      </c>
      <c r="M159" s="2"/>
      <c r="N159" s="7">
        <f t="shared" si="25"/>
        <v>0</v>
      </c>
      <c r="O159" s="11"/>
      <c r="P159" s="6">
        <v>8160.02</v>
      </c>
      <c r="Q159" s="2"/>
      <c r="R159" s="7">
        <f t="shared" si="26"/>
        <v>1.9700660163399731E-3</v>
      </c>
      <c r="S159" s="2"/>
      <c r="T159" s="6">
        <v>3521.24</v>
      </c>
      <c r="U159" s="2"/>
      <c r="V159" s="7">
        <f t="shared" si="27"/>
        <v>7.7364313807808159E-4</v>
      </c>
      <c r="W159" s="2"/>
      <c r="X159" s="6">
        <f t="shared" si="28"/>
        <v>4638.7800000000007</v>
      </c>
      <c r="Y159" s="2"/>
      <c r="Z159" s="7">
        <f t="shared" si="29"/>
        <v>1.3173711533437087</v>
      </c>
    </row>
    <row r="160" spans="1:26" s="24" customFormat="1" hidden="1" outlineLevel="2" x14ac:dyDescent="0.25">
      <c r="A160" s="28"/>
      <c r="B160" s="11" t="str">
        <f>CONCATENATE("          ", "6113", " - ", "GROUP INSURANCE")</f>
        <v xml:space="preserve">          6113 - GROUP INSURANCE</v>
      </c>
      <c r="C160" s="11"/>
      <c r="D160" s="6">
        <v>19035.550000000003</v>
      </c>
      <c r="E160" s="2"/>
      <c r="F160" s="7">
        <f t="shared" si="22"/>
        <v>1.7511050869480665E-2</v>
      </c>
      <c r="G160" s="2"/>
      <c r="H160" s="6">
        <v>20730.79</v>
      </c>
      <c r="I160" s="2"/>
      <c r="J160" s="7">
        <f t="shared" si="23"/>
        <v>1.8214160883444339E-2</v>
      </c>
      <c r="K160" s="2"/>
      <c r="L160" s="6">
        <f t="shared" si="24"/>
        <v>-1695.239999999998</v>
      </c>
      <c r="M160" s="2"/>
      <c r="N160" s="7">
        <f t="shared" si="25"/>
        <v>-8.1774018259796077E-2</v>
      </c>
      <c r="O160" s="11"/>
      <c r="P160" s="6">
        <v>56564.1</v>
      </c>
      <c r="Q160" s="2"/>
      <c r="R160" s="7">
        <f t="shared" si="26"/>
        <v>1.3656217895894357E-2</v>
      </c>
      <c r="S160" s="2"/>
      <c r="T160" s="6">
        <v>49016.93</v>
      </c>
      <c r="U160" s="2"/>
      <c r="V160" s="7">
        <f t="shared" si="27"/>
        <v>1.076939133491431E-2</v>
      </c>
      <c r="W160" s="2"/>
      <c r="X160" s="6">
        <f t="shared" si="28"/>
        <v>7547.1699999999983</v>
      </c>
      <c r="Y160" s="2"/>
      <c r="Z160" s="7">
        <f t="shared" si="29"/>
        <v>0.15397067911025838</v>
      </c>
    </row>
    <row r="161" spans="1:26" s="24" customFormat="1" hidden="1" outlineLevel="2" x14ac:dyDescent="0.25">
      <c r="A161" s="28"/>
      <c r="B161" s="11" t="str">
        <f>CONCATENATE("          ", "6114", " - ", "STATE UNEMPLOYMENT INSURANCE")</f>
        <v xml:space="preserve">          6114 - STATE UNEMPLOYMENT INSURANCE</v>
      </c>
      <c r="C161" s="11"/>
      <c r="D161" s="6">
        <v>554.65</v>
      </c>
      <c r="E161" s="2"/>
      <c r="F161" s="7">
        <f t="shared" si="22"/>
        <v>5.1022977348999358E-4</v>
      </c>
      <c r="G161" s="2"/>
      <c r="H161" s="6">
        <v>545.54</v>
      </c>
      <c r="I161" s="2"/>
      <c r="J161" s="7">
        <f t="shared" si="23"/>
        <v>4.7931378053389298E-4</v>
      </c>
      <c r="K161" s="2"/>
      <c r="L161" s="6">
        <f t="shared" si="24"/>
        <v>9.1100000000000136</v>
      </c>
      <c r="M161" s="2"/>
      <c r="N161" s="7">
        <f t="shared" si="25"/>
        <v>1.6699050482091166E-2</v>
      </c>
      <c r="O161" s="11"/>
      <c r="P161" s="6">
        <v>1404.42</v>
      </c>
      <c r="Q161" s="2"/>
      <c r="R161" s="7">
        <f t="shared" si="26"/>
        <v>3.3906781045489907E-4</v>
      </c>
      <c r="S161" s="2"/>
      <c r="T161" s="6">
        <v>1543.47</v>
      </c>
      <c r="U161" s="2"/>
      <c r="V161" s="7">
        <f t="shared" si="27"/>
        <v>3.3911206686547261E-4</v>
      </c>
      <c r="W161" s="2"/>
      <c r="X161" s="6">
        <f t="shared" si="28"/>
        <v>-139.04999999999995</v>
      </c>
      <c r="Y161" s="2"/>
      <c r="Z161" s="7">
        <f t="shared" si="29"/>
        <v>-9.0089214561993397E-2</v>
      </c>
    </row>
    <row r="162" spans="1:26" s="24" customFormat="1" hidden="1" outlineLevel="2" x14ac:dyDescent="0.25">
      <c r="A162" s="28"/>
      <c r="B162" s="11" t="str">
        <f>CONCATENATE("          ", "6115", " - ", "P.E.R.S.")</f>
        <v xml:space="preserve">          6115 - P.E.R.S.</v>
      </c>
      <c r="C162" s="11"/>
      <c r="D162" s="6">
        <v>6384.79</v>
      </c>
      <c r="E162" s="2"/>
      <c r="F162" s="7">
        <f t="shared" si="22"/>
        <v>5.8734516460491777E-3</v>
      </c>
      <c r="G162" s="2"/>
      <c r="H162" s="6">
        <v>5595.85</v>
      </c>
      <c r="I162" s="2"/>
      <c r="J162" s="7">
        <f t="shared" si="23"/>
        <v>4.9165377768826948E-3</v>
      </c>
      <c r="K162" s="2"/>
      <c r="L162" s="6">
        <f t="shared" si="24"/>
        <v>788.9399999999996</v>
      </c>
      <c r="M162" s="2"/>
      <c r="N162" s="7">
        <f t="shared" si="25"/>
        <v>0.14098662401601178</v>
      </c>
      <c r="O162" s="11"/>
      <c r="P162" s="6">
        <v>18689.96</v>
      </c>
      <c r="Q162" s="2"/>
      <c r="R162" s="7">
        <f t="shared" si="26"/>
        <v>4.5122996074462374E-3</v>
      </c>
      <c r="S162" s="2"/>
      <c r="T162" s="6">
        <v>19504.009999999998</v>
      </c>
      <c r="U162" s="2"/>
      <c r="V162" s="7">
        <f t="shared" si="27"/>
        <v>4.2851789430729753E-3</v>
      </c>
      <c r="W162" s="2"/>
      <c r="X162" s="6">
        <f t="shared" si="28"/>
        <v>-814.04999999999927</v>
      </c>
      <c r="Y162" s="2"/>
      <c r="Z162" s="7">
        <f t="shared" si="29"/>
        <v>-4.1737570889268376E-2</v>
      </c>
    </row>
    <row r="163" spans="1:26" s="24" customFormat="1" hidden="1" outlineLevel="2" x14ac:dyDescent="0.25">
      <c r="A163" s="28"/>
      <c r="B163" s="11" t="str">
        <f>CONCATENATE("          ", "6117", " - ", "RETIREMENT STAFF HOURLY")</f>
        <v xml:space="preserve">          6117 - RETIREMENT STAFF HOURLY</v>
      </c>
      <c r="C163" s="11"/>
      <c r="D163" s="6">
        <v>145.97</v>
      </c>
      <c r="E163" s="2"/>
      <c r="F163" s="7">
        <f t="shared" si="22"/>
        <v>1.3427970798942463E-4</v>
      </c>
      <c r="G163" s="2"/>
      <c r="H163" s="6">
        <v>518.58000000000004</v>
      </c>
      <c r="I163" s="2"/>
      <c r="J163" s="7">
        <f t="shared" si="23"/>
        <v>4.5562660906490131E-4</v>
      </c>
      <c r="K163" s="2"/>
      <c r="L163" s="6">
        <f t="shared" si="24"/>
        <v>-372.61</v>
      </c>
      <c r="M163" s="2"/>
      <c r="N163" s="7">
        <f t="shared" si="25"/>
        <v>-0.7185198040803733</v>
      </c>
      <c r="O163" s="11"/>
      <c r="P163" s="6">
        <v>461.34</v>
      </c>
      <c r="Q163" s="2"/>
      <c r="R163" s="7">
        <f t="shared" si="26"/>
        <v>1.1138088582850081E-4</v>
      </c>
      <c r="S163" s="2"/>
      <c r="T163" s="6">
        <v>1106.97</v>
      </c>
      <c r="U163" s="2"/>
      <c r="V163" s="7">
        <f t="shared" si="27"/>
        <v>2.4320970583041601E-4</v>
      </c>
      <c r="W163" s="2"/>
      <c r="X163" s="6">
        <f t="shared" si="28"/>
        <v>-645.63000000000011</v>
      </c>
      <c r="Y163" s="2"/>
      <c r="Z163" s="7">
        <f t="shared" si="29"/>
        <v>-0.58324073823138844</v>
      </c>
    </row>
    <row r="164" spans="1:26" s="24" customFormat="1" hidden="1" outlineLevel="2" x14ac:dyDescent="0.25">
      <c r="A164" s="28"/>
      <c r="B164" s="11" t="str">
        <f>CONCATENATE("          ", "6118", " - ", "VACATION")</f>
        <v xml:space="preserve">          6118 - VACATION</v>
      </c>
      <c r="C164" s="11"/>
      <c r="D164" s="6">
        <v>5425.46</v>
      </c>
      <c r="E164" s="2"/>
      <c r="F164" s="7">
        <f t="shared" si="22"/>
        <v>4.9909514592608329E-3</v>
      </c>
      <c r="G164" s="2"/>
      <c r="H164" s="6">
        <v>5020.5</v>
      </c>
      <c r="I164" s="2"/>
      <c r="J164" s="7">
        <f t="shared" si="23"/>
        <v>4.4110328026733328E-3</v>
      </c>
      <c r="K164" s="2"/>
      <c r="L164" s="6">
        <f t="shared" si="24"/>
        <v>404.96000000000004</v>
      </c>
      <c r="M164" s="2"/>
      <c r="N164" s="7">
        <f t="shared" si="25"/>
        <v>8.0661288716263324E-2</v>
      </c>
      <c r="O164" s="11"/>
      <c r="P164" s="6">
        <v>17465.22</v>
      </c>
      <c r="Q164" s="2"/>
      <c r="R164" s="7">
        <f t="shared" si="26"/>
        <v>4.2166117717727693E-3</v>
      </c>
      <c r="S164" s="2"/>
      <c r="T164" s="6">
        <v>18804.37</v>
      </c>
      <c r="U164" s="2"/>
      <c r="V164" s="7">
        <f t="shared" si="27"/>
        <v>4.1314627280109664E-3</v>
      </c>
      <c r="W164" s="2"/>
      <c r="X164" s="6">
        <f t="shared" si="28"/>
        <v>-1339.1499999999978</v>
      </c>
      <c r="Y164" s="2"/>
      <c r="Z164" s="7">
        <f t="shared" si="29"/>
        <v>-7.1214829318929473E-2</v>
      </c>
    </row>
    <row r="165" spans="1:26" s="24" customFormat="1" hidden="1" outlineLevel="2" x14ac:dyDescent="0.25">
      <c r="A165" s="28"/>
      <c r="B165" s="11" t="str">
        <f>CONCATENATE("          ", "6119", " - ", "SICK LEAVE")</f>
        <v xml:space="preserve">          6119 - SICK LEAVE</v>
      </c>
      <c r="C165" s="11"/>
      <c r="D165" s="6">
        <v>4119.51</v>
      </c>
      <c r="E165" s="2"/>
      <c r="F165" s="7">
        <f t="shared" si="22"/>
        <v>3.7895910108893247E-3</v>
      </c>
      <c r="G165" s="2"/>
      <c r="H165" s="6">
        <v>3338.31</v>
      </c>
      <c r="I165" s="2"/>
      <c r="J165" s="7">
        <f t="shared" si="23"/>
        <v>2.9330534638965068E-3</v>
      </c>
      <c r="K165" s="2"/>
      <c r="L165" s="6">
        <f t="shared" si="24"/>
        <v>781.20000000000027</v>
      </c>
      <c r="M165" s="2"/>
      <c r="N165" s="7">
        <f t="shared" si="25"/>
        <v>0.23401062214114335</v>
      </c>
      <c r="O165" s="11"/>
      <c r="P165" s="6">
        <v>15501.76</v>
      </c>
      <c r="Q165" s="2"/>
      <c r="R165" s="7">
        <f t="shared" si="26"/>
        <v>3.7425754556310331E-3</v>
      </c>
      <c r="S165" s="2"/>
      <c r="T165" s="6">
        <v>16369.82</v>
      </c>
      <c r="U165" s="2"/>
      <c r="V165" s="7">
        <f t="shared" si="27"/>
        <v>3.5965736259310193E-3</v>
      </c>
      <c r="W165" s="2"/>
      <c r="X165" s="6">
        <f t="shared" si="28"/>
        <v>-868.05999999999949</v>
      </c>
      <c r="Y165" s="2"/>
      <c r="Z165" s="7">
        <f t="shared" si="29"/>
        <v>-5.3028072391755041E-2</v>
      </c>
    </row>
    <row r="166" spans="1:26" s="24" customFormat="1" hidden="1" outlineLevel="2" x14ac:dyDescent="0.25">
      <c r="A166" s="28"/>
      <c r="B166" s="11" t="str">
        <f>CONCATENATE("          ", "6156", " - ", "EMPLOYEE MEALS")</f>
        <v xml:space="preserve">          6156 - EMPLOYEE MEALS</v>
      </c>
      <c r="C166" s="11"/>
      <c r="D166" s="6">
        <v>2146.5300000000002</v>
      </c>
      <c r="E166" s="2"/>
      <c r="F166" s="7">
        <f t="shared" si="22"/>
        <v>1.9746209604065198E-3</v>
      </c>
      <c r="G166" s="2"/>
      <c r="H166" s="6">
        <v>2014.08</v>
      </c>
      <c r="I166" s="2"/>
      <c r="J166" s="7">
        <f t="shared" si="23"/>
        <v>1.7695793142532229E-3</v>
      </c>
      <c r="K166" s="2"/>
      <c r="L166" s="6">
        <f t="shared" si="24"/>
        <v>132.45000000000027</v>
      </c>
      <c r="M166" s="2"/>
      <c r="N166" s="7">
        <f t="shared" si="25"/>
        <v>6.5762035271687461E-2</v>
      </c>
      <c r="O166" s="11"/>
      <c r="P166" s="6">
        <v>5794.36</v>
      </c>
      <c r="Q166" s="2"/>
      <c r="R166" s="7">
        <f t="shared" si="26"/>
        <v>1.3989269293996445E-3</v>
      </c>
      <c r="S166" s="2"/>
      <c r="T166" s="6">
        <v>6250.87</v>
      </c>
      <c r="U166" s="2"/>
      <c r="V166" s="7">
        <f t="shared" si="27"/>
        <v>1.3733635544632397E-3</v>
      </c>
      <c r="W166" s="2"/>
      <c r="X166" s="6">
        <f t="shared" si="28"/>
        <v>-456.51000000000022</v>
      </c>
      <c r="Y166" s="2"/>
      <c r="Z166" s="7">
        <f t="shared" si="29"/>
        <v>-7.3031434024383848E-2</v>
      </c>
    </row>
    <row r="167" spans="1:26" s="29" customFormat="1" outlineLevel="1" collapsed="1" x14ac:dyDescent="0.25">
      <c r="A167" s="27"/>
      <c r="B167" s="14" t="str">
        <f>CONCATENATE("     ","*Payroll                                          ")</f>
        <v xml:space="preserve">     *Payroll                                          </v>
      </c>
      <c r="C167" s="14"/>
      <c r="D167" s="1">
        <f>SUM(OSRRefD22_1x_0)</f>
        <v>172459.12</v>
      </c>
      <c r="E167" s="1"/>
      <c r="F167" s="5">
        <f t="shared" ref="F167:F174" si="30">IF(D$12=0,0,D167/D$12)</f>
        <v>0.15864739517512599</v>
      </c>
      <c r="G167" s="1"/>
      <c r="H167" s="1">
        <f>SUM(OSRRefH22_1x_0)</f>
        <v>164812.65</v>
      </c>
      <c r="I167" s="1"/>
      <c r="J167" s="5">
        <f t="shared" ref="J167:J174" si="31">IF(H$12=0,0,H167/H$12)</f>
        <v>0.14480510017837248</v>
      </c>
      <c r="K167" s="1"/>
      <c r="L167" s="1">
        <f t="shared" ref="L167:L174" si="32">+D167-H167</f>
        <v>7646.4700000000012</v>
      </c>
      <c r="M167" s="1"/>
      <c r="N167" s="5">
        <f t="shared" ref="N167:N174" si="33">IF(H167=0,0,L167/H167)</f>
        <v>4.6394921749028373E-2</v>
      </c>
      <c r="O167" s="14"/>
      <c r="P167" s="1">
        <f>SUM(OSRRefP22_1x_0)</f>
        <v>566591.30000000005</v>
      </c>
      <c r="Q167" s="1"/>
      <c r="R167" s="5">
        <f t="shared" ref="R167:R174" si="34">IF(P$12=0,0,P167/P$12)</f>
        <v>0.13679160900143464</v>
      </c>
      <c r="S167" s="1"/>
      <c r="T167" s="1">
        <f>SUM(OSRRefT22_1x_0)</f>
        <v>548870.51</v>
      </c>
      <c r="U167" s="1"/>
      <c r="V167" s="5">
        <f t="shared" ref="V167:V174" si="35">IF(T$12=0,0,T167/T$12)</f>
        <v>0.12059101445937144</v>
      </c>
      <c r="W167" s="1"/>
      <c r="X167" s="1">
        <f t="shared" ref="X167:X174" si="36">+P167-T167</f>
        <v>17720.790000000037</v>
      </c>
      <c r="Y167" s="1"/>
      <c r="Z167" s="5">
        <f t="shared" ref="Z167:Z174" si="37">IF(T167=0,0,X167/T167)</f>
        <v>3.2285921136480877E-2</v>
      </c>
    </row>
    <row r="168" spans="1:26" s="24" customFormat="1" hidden="1" outlineLevel="2" x14ac:dyDescent="0.25">
      <c r="A168" s="28"/>
      <c r="B168" s="11" t="str">
        <f>CONCATENATE("          ", "6001", " - ", "ADMINISTRATIVE SALARIES")</f>
        <v xml:space="preserve">          6001 - ADMINISTRATIVE SALARIES</v>
      </c>
      <c r="C168" s="11"/>
      <c r="D168" s="6">
        <v>10717.14</v>
      </c>
      <c r="E168" s="2"/>
      <c r="F168" s="7">
        <f t="shared" si="30"/>
        <v>9.8588369506184981E-3</v>
      </c>
      <c r="G168" s="2"/>
      <c r="H168" s="6">
        <v>9884.75</v>
      </c>
      <c r="I168" s="2"/>
      <c r="J168" s="7">
        <f t="shared" si="31"/>
        <v>8.6847836861319045E-3</v>
      </c>
      <c r="K168" s="2"/>
      <c r="L168" s="6">
        <f t="shared" si="32"/>
        <v>832.38999999999942</v>
      </c>
      <c r="M168" s="2"/>
      <c r="N168" s="7">
        <f t="shared" si="33"/>
        <v>8.420951465641513E-2</v>
      </c>
      <c r="O168" s="11"/>
      <c r="P168" s="6">
        <v>33758.700000000004</v>
      </c>
      <c r="Q168" s="2"/>
      <c r="R168" s="7">
        <f t="shared" si="34"/>
        <v>8.1503314484298161E-3</v>
      </c>
      <c r="S168" s="2"/>
      <c r="T168" s="6">
        <v>33295.75</v>
      </c>
      <c r="U168" s="2"/>
      <c r="V168" s="7">
        <f t="shared" si="35"/>
        <v>7.3153288371889695E-3</v>
      </c>
      <c r="W168" s="2"/>
      <c r="X168" s="6">
        <f t="shared" si="36"/>
        <v>462.95000000000437</v>
      </c>
      <c r="Y168" s="2"/>
      <c r="Z168" s="7">
        <f t="shared" si="37"/>
        <v>1.3904176959521992E-2</v>
      </c>
    </row>
    <row r="169" spans="1:26" s="24" customFormat="1" hidden="1" outlineLevel="2" x14ac:dyDescent="0.25">
      <c r="A169" s="28"/>
      <c r="B169" s="11" t="str">
        <f>CONCATENATE("          ", "6002", " - ", "STAFF SALARIES")</f>
        <v xml:space="preserve">          6002 - STAFF SALARIES</v>
      </c>
      <c r="C169" s="11"/>
      <c r="D169" s="6">
        <v>59285.080000000009</v>
      </c>
      <c r="E169" s="2"/>
      <c r="F169" s="7">
        <f t="shared" si="30"/>
        <v>5.4537118795161196E-2</v>
      </c>
      <c r="G169" s="2"/>
      <c r="H169" s="6">
        <v>52562.409999999996</v>
      </c>
      <c r="I169" s="2"/>
      <c r="J169" s="7">
        <f t="shared" si="31"/>
        <v>4.6181558549460169E-2</v>
      </c>
      <c r="K169" s="2"/>
      <c r="L169" s="6">
        <f t="shared" si="32"/>
        <v>6722.6700000000128</v>
      </c>
      <c r="M169" s="2"/>
      <c r="N169" s="7">
        <f t="shared" si="33"/>
        <v>0.12789881590284793</v>
      </c>
      <c r="O169" s="11"/>
      <c r="P169" s="6">
        <v>179921.16</v>
      </c>
      <c r="Q169" s="2"/>
      <c r="R169" s="7">
        <f t="shared" si="34"/>
        <v>4.3438197815258657E-2</v>
      </c>
      <c r="S169" s="2"/>
      <c r="T169" s="6">
        <v>167418.13999999998</v>
      </c>
      <c r="U169" s="2"/>
      <c r="V169" s="7">
        <f t="shared" si="35"/>
        <v>3.6783035294610876E-2</v>
      </c>
      <c r="W169" s="2"/>
      <c r="X169" s="6">
        <f t="shared" si="36"/>
        <v>12503.020000000019</v>
      </c>
      <c r="Y169" s="2"/>
      <c r="Z169" s="7">
        <f t="shared" si="37"/>
        <v>7.4681393545526303E-2</v>
      </c>
    </row>
    <row r="170" spans="1:26" s="24" customFormat="1" hidden="1" outlineLevel="2" x14ac:dyDescent="0.25">
      <c r="A170" s="28"/>
      <c r="B170" s="11" t="str">
        <f>CONCATENATE("          ", "6004", " - ", "STAFF HOURLY")</f>
        <v xml:space="preserve">          6004 - STAFF HOURLY</v>
      </c>
      <c r="C170" s="11"/>
      <c r="D170" s="6">
        <v>1265.96</v>
      </c>
      <c r="E170" s="2"/>
      <c r="F170" s="7">
        <f t="shared" si="30"/>
        <v>1.1645731254798385E-3</v>
      </c>
      <c r="G170" s="2"/>
      <c r="H170" s="6">
        <v>6196.2</v>
      </c>
      <c r="I170" s="2"/>
      <c r="J170" s="7">
        <f t="shared" si="31"/>
        <v>5.444007858166418E-3</v>
      </c>
      <c r="K170" s="2"/>
      <c r="L170" s="6">
        <f t="shared" si="32"/>
        <v>-4930.24</v>
      </c>
      <c r="M170" s="2"/>
      <c r="N170" s="7">
        <f t="shared" si="33"/>
        <v>-0.79568767954552788</v>
      </c>
      <c r="O170" s="11"/>
      <c r="P170" s="6">
        <v>6102.21</v>
      </c>
      <c r="Q170" s="2"/>
      <c r="R170" s="7">
        <f t="shared" si="34"/>
        <v>1.4732508677147787E-3</v>
      </c>
      <c r="S170" s="2"/>
      <c r="T170" s="6">
        <v>17597.710000000003</v>
      </c>
      <c r="U170" s="2"/>
      <c r="V170" s="7">
        <f t="shared" si="35"/>
        <v>3.8663503729902083E-3</v>
      </c>
      <c r="W170" s="2"/>
      <c r="X170" s="6">
        <f t="shared" si="36"/>
        <v>-11495.500000000004</v>
      </c>
      <c r="Y170" s="2"/>
      <c r="Z170" s="7">
        <f t="shared" si="37"/>
        <v>-0.65323840431510705</v>
      </c>
    </row>
    <row r="171" spans="1:26" s="24" customFormat="1" hidden="1" outlineLevel="2" x14ac:dyDescent="0.25">
      <c r="A171" s="28"/>
      <c r="B171" s="11" t="str">
        <f>CONCATENATE("          ", "6005", " - ", "TEMPORARY WAGES-HOURLY")</f>
        <v xml:space="preserve">          6005 - TEMPORARY WAGES-HOURLY</v>
      </c>
      <c r="C171" s="11"/>
      <c r="D171" s="6">
        <v>15943.06</v>
      </c>
      <c r="E171" s="2"/>
      <c r="F171" s="7">
        <f t="shared" si="30"/>
        <v>1.4666228959771708E-2</v>
      </c>
      <c r="G171" s="2"/>
      <c r="H171" s="6">
        <v>21269.289999999997</v>
      </c>
      <c r="I171" s="2"/>
      <c r="J171" s="7">
        <f t="shared" si="31"/>
        <v>1.8687289289826086E-2</v>
      </c>
      <c r="K171" s="2"/>
      <c r="L171" s="6">
        <f t="shared" si="32"/>
        <v>-5326.2299999999977</v>
      </c>
      <c r="M171" s="2"/>
      <c r="N171" s="7">
        <f t="shared" si="33"/>
        <v>-0.25041879630208619</v>
      </c>
      <c r="O171" s="11"/>
      <c r="P171" s="6">
        <v>50815.77</v>
      </c>
      <c r="Q171" s="2"/>
      <c r="R171" s="7">
        <f t="shared" si="34"/>
        <v>1.2268403946454582E-2</v>
      </c>
      <c r="S171" s="2"/>
      <c r="T171" s="6">
        <v>51563.56</v>
      </c>
      <c r="U171" s="2"/>
      <c r="V171" s="7">
        <f t="shared" si="35"/>
        <v>1.1328905263167932E-2</v>
      </c>
      <c r="W171" s="2"/>
      <c r="X171" s="6">
        <f t="shared" si="36"/>
        <v>-747.79000000000087</v>
      </c>
      <c r="Y171" s="2"/>
      <c r="Z171" s="7">
        <f t="shared" si="37"/>
        <v>-1.4502295807349238E-2</v>
      </c>
    </row>
    <row r="172" spans="1:26" s="24" customFormat="1" hidden="1" outlineLevel="2" x14ac:dyDescent="0.25">
      <c r="A172" s="28"/>
      <c r="B172" s="11" t="str">
        <f>CONCATENATE("          ", "6006", " - ", "TEMPORARY PART TIME")</f>
        <v xml:space="preserve">          6006 - TEMPORARY PART TIME</v>
      </c>
      <c r="C172" s="11"/>
      <c r="D172" s="6">
        <v>5942.38</v>
      </c>
      <c r="E172" s="2"/>
      <c r="F172" s="7">
        <f t="shared" si="30"/>
        <v>5.4664729133534094E-3</v>
      </c>
      <c r="G172" s="2"/>
      <c r="H172" s="6">
        <v>11137.76</v>
      </c>
      <c r="I172" s="2"/>
      <c r="J172" s="7">
        <f t="shared" si="31"/>
        <v>9.7856836387417469E-3</v>
      </c>
      <c r="K172" s="2"/>
      <c r="L172" s="6">
        <f t="shared" si="32"/>
        <v>-5195.38</v>
      </c>
      <c r="M172" s="2"/>
      <c r="N172" s="7">
        <f t="shared" si="33"/>
        <v>-0.46646542931433249</v>
      </c>
      <c r="O172" s="11"/>
      <c r="P172" s="6">
        <v>14216.38</v>
      </c>
      <c r="Q172" s="2"/>
      <c r="R172" s="7">
        <f t="shared" si="34"/>
        <v>3.4322473613269656E-3</v>
      </c>
      <c r="S172" s="2"/>
      <c r="T172" s="6">
        <v>30626.05</v>
      </c>
      <c r="U172" s="2"/>
      <c r="V172" s="7">
        <f t="shared" si="35"/>
        <v>6.7287754963979256E-3</v>
      </c>
      <c r="W172" s="2"/>
      <c r="X172" s="6">
        <f t="shared" si="36"/>
        <v>-16409.669999999998</v>
      </c>
      <c r="Y172" s="2"/>
      <c r="Z172" s="7">
        <f t="shared" si="37"/>
        <v>-0.53580758863777722</v>
      </c>
    </row>
    <row r="173" spans="1:26" s="24" customFormat="1" hidden="1" outlineLevel="2" x14ac:dyDescent="0.25">
      <c r="A173" s="28"/>
      <c r="B173" s="11" t="str">
        <f>CONCATENATE("          ", "6007", " - ", "STUDENT HOURLY")</f>
        <v xml:space="preserve">          6007 - STUDENT HOURLY</v>
      </c>
      <c r="C173" s="11"/>
      <c r="D173" s="6">
        <v>77643.5</v>
      </c>
      <c r="E173" s="2"/>
      <c r="F173" s="7">
        <f t="shared" si="30"/>
        <v>7.1425268940719946E-2</v>
      </c>
      <c r="G173" s="2"/>
      <c r="H173" s="6">
        <v>60871.990000000005</v>
      </c>
      <c r="I173" s="2"/>
      <c r="J173" s="7">
        <f t="shared" si="31"/>
        <v>5.3482391127179181E-2</v>
      </c>
      <c r="K173" s="2"/>
      <c r="L173" s="6">
        <f t="shared" si="32"/>
        <v>16771.509999999995</v>
      </c>
      <c r="M173" s="2"/>
      <c r="N173" s="7">
        <f t="shared" si="33"/>
        <v>0.27552097442518297</v>
      </c>
      <c r="O173" s="11"/>
      <c r="P173" s="6">
        <v>278153.07999999996</v>
      </c>
      <c r="Q173" s="2"/>
      <c r="R173" s="7">
        <f t="shared" si="34"/>
        <v>6.7154238622980561E-2</v>
      </c>
      <c r="S173" s="2"/>
      <c r="T173" s="6">
        <v>240919.55</v>
      </c>
      <c r="U173" s="2"/>
      <c r="V173" s="7">
        <f t="shared" si="35"/>
        <v>5.293185261054608E-2</v>
      </c>
      <c r="W173" s="2"/>
      <c r="X173" s="6">
        <f t="shared" si="36"/>
        <v>37233.52999999997</v>
      </c>
      <c r="Y173" s="2"/>
      <c r="Z173" s="7">
        <f t="shared" si="37"/>
        <v>0.15454756577454992</v>
      </c>
    </row>
    <row r="174" spans="1:26" s="24" customFormat="1" hidden="1" outlineLevel="2" x14ac:dyDescent="0.25">
      <c r="A174" s="28"/>
      <c r="B174" s="11" t="str">
        <f>CONCATENATE("          ", "6008", " - ", "STUDENT HOURLY-FICA EXEMPT")</f>
        <v xml:space="preserve">          6008 - STUDENT HOURLY-FICA EXEMPT</v>
      </c>
      <c r="C174" s="11"/>
      <c r="D174" s="6">
        <v>1662</v>
      </c>
      <c r="E174" s="2"/>
      <c r="F174" s="7">
        <f t="shared" si="30"/>
        <v>1.5288954900213999E-3</v>
      </c>
      <c r="G174" s="2"/>
      <c r="H174" s="6">
        <v>2890.25</v>
      </c>
      <c r="I174" s="2"/>
      <c r="J174" s="7">
        <f t="shared" si="31"/>
        <v>2.5393860288669655E-3</v>
      </c>
      <c r="K174" s="2"/>
      <c r="L174" s="6">
        <f t="shared" si="32"/>
        <v>-1228.25</v>
      </c>
      <c r="M174" s="2"/>
      <c r="N174" s="7">
        <f t="shared" si="33"/>
        <v>-0.42496323847418044</v>
      </c>
      <c r="O174" s="11"/>
      <c r="P174" s="6">
        <v>3624</v>
      </c>
      <c r="Q174" s="2"/>
      <c r="R174" s="7">
        <f t="shared" si="34"/>
        <v>8.7493893926927425E-4</v>
      </c>
      <c r="S174" s="2"/>
      <c r="T174" s="6">
        <v>7449.75</v>
      </c>
      <c r="U174" s="2"/>
      <c r="V174" s="7">
        <f t="shared" si="35"/>
        <v>1.6367665844694451E-3</v>
      </c>
      <c r="W174" s="2"/>
      <c r="X174" s="6">
        <f t="shared" si="36"/>
        <v>-3825.75</v>
      </c>
      <c r="Y174" s="2"/>
      <c r="Z174" s="7">
        <f t="shared" si="37"/>
        <v>-0.51354072284304841</v>
      </c>
    </row>
    <row r="175" spans="1:26" s="29" customFormat="1" outlineLevel="1" collapsed="1" x14ac:dyDescent="0.25">
      <c r="A175" s="27"/>
      <c r="B175" s="14" t="str">
        <f>CONCATENATE("     ","Advertising/Promo                                 ")</f>
        <v xml:space="preserve">     Advertising/Promo                                 </v>
      </c>
      <c r="C175" s="14"/>
      <c r="D175" s="1">
        <f>SUM(OSRRefD22_2x_0)</f>
        <v>-182.82</v>
      </c>
      <c r="E175" s="1"/>
      <c r="F175" s="5">
        <f t="shared" ref="F175:F183" si="38">IF(D$12=0,0,D175/D$12)</f>
        <v>-1.6817850390235398E-4</v>
      </c>
      <c r="G175" s="1"/>
      <c r="H175" s="1">
        <f>SUM(OSRRefH22_2x_0)</f>
        <v>3377.71</v>
      </c>
      <c r="I175" s="1"/>
      <c r="J175" s="5">
        <f t="shared" ref="J175:J183" si="39">IF(H$12=0,0,H175/H$12)</f>
        <v>2.9676704726457012E-3</v>
      </c>
      <c r="K175" s="1"/>
      <c r="L175" s="1">
        <f t="shared" ref="L175:L183" si="40">+D175-H175</f>
        <v>-3560.53</v>
      </c>
      <c r="M175" s="1"/>
      <c r="N175" s="5">
        <f t="shared" ref="N175:N183" si="41">IF(H175=0,0,L175/H175)</f>
        <v>-1.0541254281747101</v>
      </c>
      <c r="O175" s="14"/>
      <c r="P175" s="1">
        <f>SUM(OSRRefP22_2x_0)</f>
        <v>7007.68</v>
      </c>
      <c r="Q175" s="1"/>
      <c r="R175" s="5">
        <f t="shared" ref="R175:R183" si="42">IF(P$12=0,0,P175/P$12)</f>
        <v>1.6918576451265199E-3</v>
      </c>
      <c r="S175" s="1"/>
      <c r="T175" s="1">
        <f>SUM(OSRRefT22_2x_0)</f>
        <v>11989.58</v>
      </c>
      <c r="U175" s="1"/>
      <c r="V175" s="5">
        <f t="shared" ref="V175:V183" si="43">IF(T$12=0,0,T175/T$12)</f>
        <v>2.6342016719786798E-3</v>
      </c>
      <c r="W175" s="1"/>
      <c r="X175" s="1">
        <f t="shared" ref="X175:X183" si="44">+P175-T175</f>
        <v>-4981.8999999999996</v>
      </c>
      <c r="Y175" s="1"/>
      <c r="Z175" s="5">
        <f t="shared" ref="Z175:Z183" si="45">IF(T175=0,0,X175/T175)</f>
        <v>-0.41551914245536536</v>
      </c>
    </row>
    <row r="176" spans="1:26" s="24" customFormat="1" hidden="1" outlineLevel="2" x14ac:dyDescent="0.25">
      <c r="A176" s="28"/>
      <c r="B176" s="11" t="str">
        <f>CONCATENATE("          ", "6362", " - ", "ADVERTISING EXPENSE")</f>
        <v xml:space="preserve">          6362 - ADVERTISING EXPENSE</v>
      </c>
      <c r="C176" s="11"/>
      <c r="D176" s="6">
        <v>-182.82</v>
      </c>
      <c r="E176" s="2"/>
      <c r="F176" s="7">
        <f t="shared" si="38"/>
        <v>-1.6817850390235398E-4</v>
      </c>
      <c r="G176" s="2"/>
      <c r="H176" s="6">
        <v>3377.71</v>
      </c>
      <c r="I176" s="2"/>
      <c r="J176" s="7">
        <f t="shared" si="39"/>
        <v>2.9676704726457012E-3</v>
      </c>
      <c r="K176" s="2"/>
      <c r="L176" s="6">
        <f t="shared" si="40"/>
        <v>-3560.53</v>
      </c>
      <c r="M176" s="2"/>
      <c r="N176" s="7">
        <f t="shared" si="41"/>
        <v>-1.0541254281747101</v>
      </c>
      <c r="O176" s="11"/>
      <c r="P176" s="6">
        <v>7007.68</v>
      </c>
      <c r="Q176" s="2"/>
      <c r="R176" s="7">
        <f t="shared" si="42"/>
        <v>1.6918576451265199E-3</v>
      </c>
      <c r="S176" s="2"/>
      <c r="T176" s="6">
        <v>11989.58</v>
      </c>
      <c r="U176" s="2"/>
      <c r="V176" s="7">
        <f t="shared" si="43"/>
        <v>2.6342016719786798E-3</v>
      </c>
      <c r="W176" s="2"/>
      <c r="X176" s="6">
        <f t="shared" si="44"/>
        <v>-4981.8999999999996</v>
      </c>
      <c r="Y176" s="2"/>
      <c r="Z176" s="7">
        <f t="shared" si="45"/>
        <v>-0.41551914245536536</v>
      </c>
    </row>
    <row r="177" spans="1:26" s="29" customFormat="1" outlineLevel="1" collapsed="1" x14ac:dyDescent="0.25">
      <c r="A177" s="27"/>
      <c r="B177" s="14" t="str">
        <f>CONCATENATE("     ","Bad Debts/Over/Short                              ")</f>
        <v xml:space="preserve">     Bad Debts/Over/Short                              </v>
      </c>
      <c r="C177" s="14"/>
      <c r="D177" s="1">
        <f>SUM(OSRRefD22_3x_0)</f>
        <v>-82.82</v>
      </c>
      <c r="E177" s="1"/>
      <c r="F177" s="5">
        <f t="shared" si="38"/>
        <v>-7.6187198846914758E-5</v>
      </c>
      <c r="G177" s="1"/>
      <c r="H177" s="1">
        <f>SUM(OSRRefH22_3x_0)</f>
        <v>53.43</v>
      </c>
      <c r="I177" s="1"/>
      <c r="J177" s="5">
        <f t="shared" si="39"/>
        <v>4.6943826839325991E-5</v>
      </c>
      <c r="K177" s="1"/>
      <c r="L177" s="1">
        <f t="shared" si="40"/>
        <v>-136.25</v>
      </c>
      <c r="M177" s="1"/>
      <c r="N177" s="5">
        <f t="shared" si="41"/>
        <v>-2.550065506269886</v>
      </c>
      <c r="O177" s="14"/>
      <c r="P177" s="1">
        <f>SUM(OSRRefP22_3x_0)</f>
        <v>-165.15</v>
      </c>
      <c r="Q177" s="1"/>
      <c r="R177" s="5">
        <f t="shared" si="42"/>
        <v>-3.9872010436070818E-5</v>
      </c>
      <c r="S177" s="1"/>
      <c r="T177" s="1">
        <f>SUM(OSRRefT22_3x_0)</f>
        <v>92.72</v>
      </c>
      <c r="U177" s="1"/>
      <c r="V177" s="5">
        <f t="shared" si="43"/>
        <v>2.0371287319978114E-5</v>
      </c>
      <c r="W177" s="1"/>
      <c r="X177" s="1">
        <f t="shared" si="44"/>
        <v>-257.87</v>
      </c>
      <c r="Y177" s="1"/>
      <c r="Z177" s="5">
        <f t="shared" si="45"/>
        <v>-2.7811691113028472</v>
      </c>
    </row>
    <row r="178" spans="1:26" s="24" customFormat="1" hidden="1" outlineLevel="2" x14ac:dyDescent="0.25">
      <c r="A178" s="28"/>
      <c r="B178" s="11" t="str">
        <f>CONCATENATE("          ", "6272", " - ", "CASH (OVER/SHORT)")</f>
        <v xml:space="preserve">          6272 - CASH (OVER/SHORT)</v>
      </c>
      <c r="C178" s="11"/>
      <c r="D178" s="6">
        <v>-82.82</v>
      </c>
      <c r="E178" s="2"/>
      <c r="F178" s="7">
        <f t="shared" si="38"/>
        <v>-7.6187198846914758E-5</v>
      </c>
      <c r="G178" s="2"/>
      <c r="H178" s="6">
        <v>53.43</v>
      </c>
      <c r="I178" s="2"/>
      <c r="J178" s="7">
        <f t="shared" si="39"/>
        <v>4.6943826839325991E-5</v>
      </c>
      <c r="K178" s="2"/>
      <c r="L178" s="6">
        <f t="shared" si="40"/>
        <v>-136.25</v>
      </c>
      <c r="M178" s="2"/>
      <c r="N178" s="7">
        <f t="shared" si="41"/>
        <v>-2.550065506269886</v>
      </c>
      <c r="O178" s="11"/>
      <c r="P178" s="6">
        <v>-165.15</v>
      </c>
      <c r="Q178" s="2"/>
      <c r="R178" s="7">
        <f t="shared" si="42"/>
        <v>-3.9872010436070818E-5</v>
      </c>
      <c r="S178" s="2"/>
      <c r="T178" s="6">
        <v>92.72</v>
      </c>
      <c r="U178" s="2"/>
      <c r="V178" s="7">
        <f t="shared" si="43"/>
        <v>2.0371287319978114E-5</v>
      </c>
      <c r="W178" s="2"/>
      <c r="X178" s="6">
        <f t="shared" si="44"/>
        <v>-257.87</v>
      </c>
      <c r="Y178" s="2"/>
      <c r="Z178" s="7">
        <f t="shared" si="45"/>
        <v>-2.7811691113028472</v>
      </c>
    </row>
    <row r="179" spans="1:26" s="29" customFormat="1" outlineLevel="1" collapsed="1" x14ac:dyDescent="0.25">
      <c r="A179" s="27"/>
      <c r="B179" s="14" t="str">
        <f>CONCATENATE("     ","Bank/card Fees                                    ")</f>
        <v xml:space="preserve">     Bank/card Fees                                    </v>
      </c>
      <c r="C179" s="14"/>
      <c r="D179" s="1">
        <f>SUM(OSRRefD22_4x_0)</f>
        <v>20801.550000000003</v>
      </c>
      <c r="E179" s="1"/>
      <c r="F179" s="5">
        <f t="shared" si="38"/>
        <v>1.913561731675972E-2</v>
      </c>
      <c r="G179" s="1"/>
      <c r="H179" s="1">
        <f>SUM(OSRRefH22_4x_0)</f>
        <v>24922.080000000002</v>
      </c>
      <c r="I179" s="1"/>
      <c r="J179" s="5">
        <f t="shared" si="39"/>
        <v>2.189664622863241E-2</v>
      </c>
      <c r="K179" s="1"/>
      <c r="L179" s="1">
        <f t="shared" si="40"/>
        <v>-4120.5299999999988</v>
      </c>
      <c r="M179" s="1"/>
      <c r="N179" s="5">
        <f t="shared" si="41"/>
        <v>-0.16533652086824208</v>
      </c>
      <c r="O179" s="14"/>
      <c r="P179" s="1">
        <f>SUM(OSRRefP22_4x_0)</f>
        <v>60257.06</v>
      </c>
      <c r="Q179" s="1"/>
      <c r="R179" s="5">
        <f t="shared" si="42"/>
        <v>1.4547805783632729E-2</v>
      </c>
      <c r="S179" s="1"/>
      <c r="T179" s="1">
        <f>SUM(OSRRefT22_4x_0)</f>
        <v>60959.33</v>
      </c>
      <c r="U179" s="1"/>
      <c r="V179" s="5">
        <f t="shared" si="43"/>
        <v>1.3393227203012958E-2</v>
      </c>
      <c r="W179" s="1"/>
      <c r="X179" s="1">
        <f t="shared" si="44"/>
        <v>-702.27000000000407</v>
      </c>
      <c r="Y179" s="1"/>
      <c r="Z179" s="5">
        <f t="shared" si="45"/>
        <v>-1.1520303782866446E-2</v>
      </c>
    </row>
    <row r="180" spans="1:26" s="24" customFormat="1" hidden="1" outlineLevel="2" x14ac:dyDescent="0.25">
      <c r="A180" s="28"/>
      <c r="B180" s="11" t="str">
        <f>CONCATENATE("          ", "6381", " - ", "BANK/CREDIT CARD FEES")</f>
        <v xml:space="preserve">          6381 - BANK/CREDIT CARD FEES</v>
      </c>
      <c r="C180" s="11"/>
      <c r="D180" s="6">
        <v>20801.550000000003</v>
      </c>
      <c r="E180" s="2"/>
      <c r="F180" s="7">
        <f t="shared" si="38"/>
        <v>1.913561731675972E-2</v>
      </c>
      <c r="G180" s="2"/>
      <c r="H180" s="6">
        <v>24922.080000000002</v>
      </c>
      <c r="I180" s="2"/>
      <c r="J180" s="7">
        <f t="shared" si="39"/>
        <v>2.189664622863241E-2</v>
      </c>
      <c r="K180" s="2"/>
      <c r="L180" s="6">
        <f t="shared" si="40"/>
        <v>-4120.5299999999988</v>
      </c>
      <c r="M180" s="2"/>
      <c r="N180" s="7">
        <f t="shared" si="41"/>
        <v>-0.16533652086824208</v>
      </c>
      <c r="O180" s="11"/>
      <c r="P180" s="6">
        <v>60257.06</v>
      </c>
      <c r="Q180" s="2"/>
      <c r="R180" s="7">
        <f t="shared" si="42"/>
        <v>1.4547805783632729E-2</v>
      </c>
      <c r="S180" s="2"/>
      <c r="T180" s="6">
        <v>60959.33</v>
      </c>
      <c r="U180" s="2"/>
      <c r="V180" s="7">
        <f t="shared" si="43"/>
        <v>1.3393227203012958E-2</v>
      </c>
      <c r="W180" s="2"/>
      <c r="X180" s="6">
        <f t="shared" si="44"/>
        <v>-702.27000000000407</v>
      </c>
      <c r="Y180" s="2"/>
      <c r="Z180" s="7">
        <f t="shared" si="45"/>
        <v>-1.1520303782866446E-2</v>
      </c>
    </row>
    <row r="181" spans="1:26" s="29" customFormat="1" outlineLevel="1" collapsed="1" x14ac:dyDescent="0.25">
      <c r="A181" s="27"/>
      <c r="B181" s="14" t="str">
        <f>CONCATENATE("     ","Depreciation                                      ")</f>
        <v xml:space="preserve">     Depreciation                                      </v>
      </c>
      <c r="C181" s="14"/>
      <c r="D181" s="1">
        <f>SUM(OSRRefD22_5x_0)</f>
        <v>29607.43</v>
      </c>
      <c r="E181" s="1"/>
      <c r="F181" s="5">
        <f t="shared" si="38"/>
        <v>2.7236261250375628E-2</v>
      </c>
      <c r="G181" s="1"/>
      <c r="H181" s="1">
        <f>SUM(OSRRefH22_5x_0)</f>
        <v>29330.07</v>
      </c>
      <c r="I181" s="1"/>
      <c r="J181" s="5">
        <f t="shared" si="39"/>
        <v>2.5769525121941049E-2</v>
      </c>
      <c r="K181" s="1"/>
      <c r="L181" s="1">
        <f t="shared" si="40"/>
        <v>277.36000000000058</v>
      </c>
      <c r="M181" s="1"/>
      <c r="N181" s="5">
        <f t="shared" si="41"/>
        <v>9.4565065818117914E-3</v>
      </c>
      <c r="O181" s="14"/>
      <c r="P181" s="1">
        <f>SUM(OSRRefP22_5x_0)</f>
        <v>88822.29</v>
      </c>
      <c r="Q181" s="1"/>
      <c r="R181" s="5">
        <f t="shared" si="42"/>
        <v>2.1444282614809011E-2</v>
      </c>
      <c r="S181" s="1"/>
      <c r="T181" s="1">
        <f>SUM(OSRRefT22_5x_0)</f>
        <v>87990.21</v>
      </c>
      <c r="U181" s="1"/>
      <c r="V181" s="5">
        <f t="shared" si="43"/>
        <v>1.9332116579542834E-2</v>
      </c>
      <c r="W181" s="1"/>
      <c r="X181" s="1">
        <f t="shared" si="44"/>
        <v>832.07999999998719</v>
      </c>
      <c r="Y181" s="1"/>
      <c r="Z181" s="5">
        <f t="shared" si="45"/>
        <v>9.4565065818116266E-3</v>
      </c>
    </row>
    <row r="182" spans="1:26" s="24" customFormat="1" hidden="1" outlineLevel="2" x14ac:dyDescent="0.25">
      <c r="A182" s="28"/>
      <c r="B182" s="11" t="str">
        <f>CONCATENATE("          ", "6321", " - ", "BUILDING DEPRECIATION")</f>
        <v xml:space="preserve">          6321 - BUILDING DEPRECIATION</v>
      </c>
      <c r="C182" s="11"/>
      <c r="D182" s="6">
        <v>16396.52</v>
      </c>
      <c r="E182" s="2"/>
      <c r="F182" s="7">
        <f t="shared" si="38"/>
        <v>1.5083372731676105E-2</v>
      </c>
      <c r="G182" s="2"/>
      <c r="H182" s="6">
        <v>16453.38</v>
      </c>
      <c r="I182" s="2"/>
      <c r="J182" s="7">
        <f t="shared" si="39"/>
        <v>1.4456010137406505E-2</v>
      </c>
      <c r="K182" s="2"/>
      <c r="L182" s="6">
        <f t="shared" si="40"/>
        <v>-56.860000000000582</v>
      </c>
      <c r="M182" s="2"/>
      <c r="N182" s="7">
        <f t="shared" si="41"/>
        <v>-3.4558248821822978E-3</v>
      </c>
      <c r="O182" s="11"/>
      <c r="P182" s="6">
        <v>49189.56</v>
      </c>
      <c r="Q182" s="2"/>
      <c r="R182" s="7">
        <f t="shared" si="42"/>
        <v>1.1875789583201523E-2</v>
      </c>
      <c r="S182" s="2"/>
      <c r="T182" s="6">
        <v>49360.140000000007</v>
      </c>
      <c r="U182" s="2"/>
      <c r="V182" s="7">
        <f t="shared" si="43"/>
        <v>1.0844797175305702E-2</v>
      </c>
      <c r="W182" s="2"/>
      <c r="X182" s="6">
        <f t="shared" si="44"/>
        <v>-170.58000000000902</v>
      </c>
      <c r="Y182" s="2"/>
      <c r="Z182" s="7">
        <f t="shared" si="45"/>
        <v>-3.4558248821824453E-3</v>
      </c>
    </row>
    <row r="183" spans="1:26" s="24" customFormat="1" hidden="1" outlineLevel="2" x14ac:dyDescent="0.25">
      <c r="A183" s="28"/>
      <c r="B183" s="11" t="str">
        <f>CONCATENATE("          ", "6322", " - ", "EQUIPMENT DEPRECIATION EXPENSE")</f>
        <v xml:space="preserve">          6322 - EQUIPMENT DEPRECIATION EXPENSE</v>
      </c>
      <c r="C183" s="11"/>
      <c r="D183" s="6">
        <v>13210.91</v>
      </c>
      <c r="E183" s="2"/>
      <c r="F183" s="7">
        <f t="shared" si="38"/>
        <v>1.2152888518699525E-2</v>
      </c>
      <c r="G183" s="2"/>
      <c r="H183" s="6">
        <v>12876.69</v>
      </c>
      <c r="I183" s="2"/>
      <c r="J183" s="7">
        <f t="shared" si="39"/>
        <v>1.1313514984534544E-2</v>
      </c>
      <c r="K183" s="2"/>
      <c r="L183" s="6">
        <f t="shared" si="40"/>
        <v>334.21999999999935</v>
      </c>
      <c r="M183" s="2"/>
      <c r="N183" s="7">
        <f t="shared" si="41"/>
        <v>2.5955427986539967E-2</v>
      </c>
      <c r="O183" s="11"/>
      <c r="P183" s="6">
        <v>39632.729999999996</v>
      </c>
      <c r="Q183" s="2"/>
      <c r="R183" s="7">
        <f t="shared" si="42"/>
        <v>9.5684930316074883E-3</v>
      </c>
      <c r="S183" s="2"/>
      <c r="T183" s="6">
        <v>38630.07</v>
      </c>
      <c r="U183" s="2"/>
      <c r="V183" s="7">
        <f t="shared" si="43"/>
        <v>8.4873194042371317E-3</v>
      </c>
      <c r="W183" s="2"/>
      <c r="X183" s="6">
        <f t="shared" si="44"/>
        <v>1002.6599999999962</v>
      </c>
      <c r="Y183" s="2"/>
      <c r="Z183" s="7">
        <f t="shared" si="45"/>
        <v>2.5955427986539922E-2</v>
      </c>
    </row>
    <row r="184" spans="1:26" s="29" customFormat="1" outlineLevel="1" collapsed="1" x14ac:dyDescent="0.25">
      <c r="A184" s="27"/>
      <c r="B184" s="14" t="str">
        <f>CONCATENATE("     ","Discounts and Markdowns                           ")</f>
        <v xml:space="preserve">     Discounts and Markdowns                           </v>
      </c>
      <c r="C184" s="14"/>
      <c r="D184" s="1">
        <f>SUM(OSRRefD22_6x_0)</f>
        <v>4945.33</v>
      </c>
      <c r="E184" s="1"/>
      <c r="F184" s="5">
        <f t="shared" ref="F184:F186" si="46">IF(D$12=0,0,D184/D$12)</f>
        <v>4.5492736062981527E-3</v>
      </c>
      <c r="G184" s="1"/>
      <c r="H184" s="1">
        <f>SUM(OSRRefH22_6x_0)</f>
        <v>13278.44</v>
      </c>
      <c r="I184" s="1"/>
      <c r="J184" s="5">
        <f t="shared" ref="J184:J186" si="47">IF(H$12=0,0,H184/H$12)</f>
        <v>1.1666494255219538E-2</v>
      </c>
      <c r="K184" s="1"/>
      <c r="L184" s="1">
        <f t="shared" ref="L184:L186" si="48">+D184-H184</f>
        <v>-8333.11</v>
      </c>
      <c r="M184" s="1"/>
      <c r="N184" s="5">
        <f t="shared" ref="N184:N186" si="49">IF(H184=0,0,L184/H184)</f>
        <v>-0.62756694310476235</v>
      </c>
      <c r="O184" s="14"/>
      <c r="P184" s="1">
        <f>SUM(OSRRefP22_6x_0)</f>
        <v>64028.740000000005</v>
      </c>
      <c r="Q184" s="1"/>
      <c r="R184" s="5">
        <f t="shared" ref="R184:R186" si="50">IF(P$12=0,0,P184/P$12)</f>
        <v>1.5458398967535363E-2</v>
      </c>
      <c r="S184" s="1"/>
      <c r="T184" s="1">
        <f>SUM(OSRRefT22_6x_0)</f>
        <v>71937.850000000006</v>
      </c>
      <c r="U184" s="1"/>
      <c r="V184" s="5">
        <f t="shared" ref="V184:V186" si="51">IF(T$12=0,0,T184/T$12)</f>
        <v>1.5805291323678684E-2</v>
      </c>
      <c r="W184" s="1"/>
      <c r="X184" s="1">
        <f t="shared" ref="X184:X186" si="52">+P184-T184</f>
        <v>-7909.1100000000006</v>
      </c>
      <c r="Y184" s="1"/>
      <c r="Z184" s="5">
        <f t="shared" ref="Z184:Z186" si="53">IF(T184=0,0,X184/T184)</f>
        <v>-0.10994365275025594</v>
      </c>
    </row>
    <row r="185" spans="1:26" s="24" customFormat="1" hidden="1" outlineLevel="2" x14ac:dyDescent="0.25">
      <c r="A185" s="28"/>
      <c r="B185" s="11" t="str">
        <f>CONCATENATE("          ", "6382", " - ", "DISCOUNTS/MARK DOWNS")</f>
        <v xml:space="preserve">          6382 - DISCOUNTS/MARK DOWNS</v>
      </c>
      <c r="C185" s="11"/>
      <c r="D185" s="6">
        <v>5343.63</v>
      </c>
      <c r="E185" s="2"/>
      <c r="F185" s="7">
        <f t="shared" si="46"/>
        <v>4.9156749743339669E-3</v>
      </c>
      <c r="G185" s="2"/>
      <c r="H185" s="6">
        <v>14356.67</v>
      </c>
      <c r="I185" s="2"/>
      <c r="J185" s="7">
        <f t="shared" si="47"/>
        <v>1.2613831751251102E-2</v>
      </c>
      <c r="K185" s="2"/>
      <c r="L185" s="6">
        <f t="shared" si="48"/>
        <v>-9013.0400000000009</v>
      </c>
      <c r="M185" s="2"/>
      <c r="N185" s="7">
        <f t="shared" si="49"/>
        <v>-0.62779460696665734</v>
      </c>
      <c r="O185" s="11"/>
      <c r="P185" s="6">
        <v>65676.600000000006</v>
      </c>
      <c r="Q185" s="2"/>
      <c r="R185" s="7">
        <f t="shared" si="50"/>
        <v>1.5856240270091727E-2</v>
      </c>
      <c r="S185" s="2"/>
      <c r="T185" s="6">
        <v>74416.72</v>
      </c>
      <c r="U185" s="2"/>
      <c r="V185" s="7">
        <f t="shared" si="51"/>
        <v>1.6349917865944367E-2</v>
      </c>
      <c r="W185" s="2"/>
      <c r="X185" s="6">
        <f t="shared" si="52"/>
        <v>-8740.1199999999953</v>
      </c>
      <c r="Y185" s="2"/>
      <c r="Z185" s="7">
        <f t="shared" si="53"/>
        <v>-0.11744833687913139</v>
      </c>
    </row>
    <row r="186" spans="1:26" s="24" customFormat="1" hidden="1" outlineLevel="2" x14ac:dyDescent="0.25">
      <c r="A186" s="28"/>
      <c r="B186" s="11" t="str">
        <f>CONCATENATE("          ", "9175", " - ", "EARNED DISCOUNTS")</f>
        <v xml:space="preserve">          9175 - EARNED DISCOUNTS</v>
      </c>
      <c r="C186" s="11"/>
      <c r="D186" s="6">
        <v>-398.3</v>
      </c>
      <c r="E186" s="2"/>
      <c r="F186" s="7">
        <f t="shared" si="46"/>
        <v>-3.6640136803581442E-4</v>
      </c>
      <c r="G186" s="2"/>
      <c r="H186" s="6">
        <v>-1078.23</v>
      </c>
      <c r="I186" s="2"/>
      <c r="J186" s="7">
        <f t="shared" si="47"/>
        <v>-9.4733749603156405E-4</v>
      </c>
      <c r="K186" s="2"/>
      <c r="L186" s="6">
        <f t="shared" si="48"/>
        <v>679.93000000000006</v>
      </c>
      <c r="M186" s="2"/>
      <c r="N186" s="7">
        <f t="shared" si="49"/>
        <v>-0.63059829535442347</v>
      </c>
      <c r="O186" s="11"/>
      <c r="P186" s="6">
        <v>-1647.86</v>
      </c>
      <c r="Q186" s="2"/>
      <c r="R186" s="7">
        <f t="shared" si="50"/>
        <v>-3.978413025563648E-4</v>
      </c>
      <c r="S186" s="2"/>
      <c r="T186" s="6">
        <v>-2478.87</v>
      </c>
      <c r="U186" s="2"/>
      <c r="V186" s="7">
        <f t="shared" si="51"/>
        <v>-5.4462654226568319E-4</v>
      </c>
      <c r="W186" s="2"/>
      <c r="X186" s="6">
        <f t="shared" si="52"/>
        <v>831.01</v>
      </c>
      <c r="Y186" s="2"/>
      <c r="Z186" s="7">
        <f t="shared" si="53"/>
        <v>-0.33523742673072815</v>
      </c>
    </row>
    <row r="187" spans="1:26" s="29" customFormat="1" outlineLevel="1" collapsed="1" x14ac:dyDescent="0.25">
      <c r="A187" s="27"/>
      <c r="B187" s="14" t="str">
        <f>CONCATENATE("     ","Donations                                         ")</f>
        <v xml:space="preserve">     Donations                                         </v>
      </c>
      <c r="C187" s="14"/>
      <c r="D187" s="1">
        <f>SUM(OSRRefD22_7x_0)</f>
        <v>1608.36</v>
      </c>
      <c r="E187" s="1"/>
      <c r="F187" s="5">
        <f t="shared" ref="F187:F195" si="54">IF(D$12=0,0,D187/D$12)</f>
        <v>1.4795513539896622E-3</v>
      </c>
      <c r="G187" s="1"/>
      <c r="H187" s="1">
        <f>SUM(OSRRefH22_7x_0)</f>
        <v>1039.92</v>
      </c>
      <c r="I187" s="1"/>
      <c r="J187" s="5">
        <f t="shared" ref="J187:J195" si="55">IF(H$12=0,0,H187/H$12)</f>
        <v>9.1367816595081214E-4</v>
      </c>
      <c r="K187" s="1"/>
      <c r="L187" s="1">
        <f t="shared" ref="L187:L195" si="56">+D187-H187</f>
        <v>568.43999999999983</v>
      </c>
      <c r="M187" s="1"/>
      <c r="N187" s="5">
        <f t="shared" ref="N187:N195" si="57">IF(H187=0,0,L187/H187)</f>
        <v>0.54661897069005283</v>
      </c>
      <c r="O187" s="14"/>
      <c r="P187" s="1">
        <f>SUM(OSRRefP22_7x_0)</f>
        <v>5225.34</v>
      </c>
      <c r="Q187" s="1"/>
      <c r="R187" s="5">
        <f t="shared" ref="R187:R195" si="58">IF(P$12=0,0,P187/P$12)</f>
        <v>1.2615489616228778E-3</v>
      </c>
      <c r="S187" s="1"/>
      <c r="T187" s="1">
        <f>SUM(OSRRefT22_7x_0)</f>
        <v>3335.73</v>
      </c>
      <c r="U187" s="1"/>
      <c r="V187" s="5">
        <f t="shared" ref="V187:V195" si="59">IF(T$12=0,0,T187/T$12)</f>
        <v>7.328851839071462E-4</v>
      </c>
      <c r="W187" s="1"/>
      <c r="X187" s="1">
        <f t="shared" ref="X187:X195" si="60">+P187-T187</f>
        <v>1889.6100000000001</v>
      </c>
      <c r="Y187" s="1"/>
      <c r="Z187" s="5">
        <f t="shared" ref="Z187:Z195" si="61">IF(T187=0,0,X187/T187)</f>
        <v>0.56647570396884639</v>
      </c>
    </row>
    <row r="188" spans="1:26" s="24" customFormat="1" hidden="1" outlineLevel="2" x14ac:dyDescent="0.25">
      <c r="A188" s="28"/>
      <c r="B188" s="11" t="str">
        <f>CONCATENATE("          ", "6399", " - ", "DONATION-ON CAMPUS")</f>
        <v xml:space="preserve">          6399 - DONATION-ON CAMPUS</v>
      </c>
      <c r="C188" s="11"/>
      <c r="D188" s="6">
        <v>1608.36</v>
      </c>
      <c r="E188" s="2"/>
      <c r="F188" s="7">
        <f t="shared" si="54"/>
        <v>1.4795513539896622E-3</v>
      </c>
      <c r="G188" s="2"/>
      <c r="H188" s="6">
        <v>1039.92</v>
      </c>
      <c r="I188" s="2"/>
      <c r="J188" s="7">
        <f t="shared" si="55"/>
        <v>9.1367816595081214E-4</v>
      </c>
      <c r="K188" s="2"/>
      <c r="L188" s="6">
        <f t="shared" si="56"/>
        <v>568.43999999999983</v>
      </c>
      <c r="M188" s="2"/>
      <c r="N188" s="7">
        <f t="shared" si="57"/>
        <v>0.54661897069005283</v>
      </c>
      <c r="O188" s="11"/>
      <c r="P188" s="6">
        <v>5225.34</v>
      </c>
      <c r="Q188" s="2"/>
      <c r="R188" s="7">
        <f t="shared" si="58"/>
        <v>1.2615489616228778E-3</v>
      </c>
      <c r="S188" s="2"/>
      <c r="T188" s="6">
        <v>3335.73</v>
      </c>
      <c r="U188" s="2"/>
      <c r="V188" s="7">
        <f t="shared" si="59"/>
        <v>7.328851839071462E-4</v>
      </c>
      <c r="W188" s="2"/>
      <c r="X188" s="6">
        <f t="shared" si="60"/>
        <v>1889.6100000000001</v>
      </c>
      <c r="Y188" s="2"/>
      <c r="Z188" s="7">
        <f t="shared" si="61"/>
        <v>0.56647570396884639</v>
      </c>
    </row>
    <row r="189" spans="1:26" s="29" customFormat="1" outlineLevel="1" collapsed="1" x14ac:dyDescent="0.25">
      <c r="A189" s="27"/>
      <c r="B189" s="14" t="str">
        <f>CONCATENATE("     ","Employees' Appreciation                           ")</f>
        <v xml:space="preserve">     Employees' Appreciation                           </v>
      </c>
      <c r="C189" s="14"/>
      <c r="D189" s="1">
        <f>SUM(OSRRefD22_8x_0)</f>
        <v>134.26</v>
      </c>
      <c r="E189" s="1"/>
      <c r="F189" s="5">
        <f t="shared" si="54"/>
        <v>1.235075261674327E-4</v>
      </c>
      <c r="G189" s="1"/>
      <c r="H189" s="1">
        <f>SUM(OSRRefH22_8x_0)</f>
        <v>657.2</v>
      </c>
      <c r="I189" s="1"/>
      <c r="J189" s="5">
        <f t="shared" si="55"/>
        <v>5.7741873477082253E-4</v>
      </c>
      <c r="K189" s="1"/>
      <c r="L189" s="1">
        <f t="shared" si="56"/>
        <v>-522.94000000000005</v>
      </c>
      <c r="M189" s="1"/>
      <c r="N189" s="5">
        <f t="shared" si="57"/>
        <v>-0.79570906877662817</v>
      </c>
      <c r="O189" s="14"/>
      <c r="P189" s="1">
        <f>SUM(OSRRefP22_8x_0)</f>
        <v>585.13</v>
      </c>
      <c r="Q189" s="1"/>
      <c r="R189" s="5">
        <f t="shared" si="58"/>
        <v>1.412673900481872E-4</v>
      </c>
      <c r="S189" s="1"/>
      <c r="T189" s="1">
        <f>SUM(OSRRefT22_8x_0)</f>
        <v>1395.94</v>
      </c>
      <c r="U189" s="1"/>
      <c r="V189" s="5">
        <f t="shared" si="59"/>
        <v>3.0669860678872142E-4</v>
      </c>
      <c r="W189" s="1"/>
      <c r="X189" s="1">
        <f t="shared" si="60"/>
        <v>-810.81000000000006</v>
      </c>
      <c r="Y189" s="1"/>
      <c r="Z189" s="5">
        <f t="shared" si="61"/>
        <v>-0.58083441981747064</v>
      </c>
    </row>
    <row r="190" spans="1:26" s="24" customFormat="1" hidden="1" outlineLevel="2" x14ac:dyDescent="0.25">
      <c r="A190" s="28"/>
      <c r="B190" s="11" t="str">
        <f>CONCATENATE("          ", "6277", " - ", "EMPLOYEE APPRECIATION")</f>
        <v xml:space="preserve">          6277 - EMPLOYEE APPRECIATION</v>
      </c>
      <c r="C190" s="11"/>
      <c r="D190" s="6">
        <v>134.26</v>
      </c>
      <c r="E190" s="2"/>
      <c r="F190" s="7">
        <f t="shared" si="54"/>
        <v>1.235075261674327E-4</v>
      </c>
      <c r="G190" s="2"/>
      <c r="H190" s="6">
        <v>657.2</v>
      </c>
      <c r="I190" s="2"/>
      <c r="J190" s="7">
        <f t="shared" si="55"/>
        <v>5.7741873477082253E-4</v>
      </c>
      <c r="K190" s="2"/>
      <c r="L190" s="6">
        <f t="shared" si="56"/>
        <v>-522.94000000000005</v>
      </c>
      <c r="M190" s="2"/>
      <c r="N190" s="7">
        <f t="shared" si="57"/>
        <v>-0.79570906877662817</v>
      </c>
      <c r="O190" s="11"/>
      <c r="P190" s="6">
        <v>585.13</v>
      </c>
      <c r="Q190" s="2"/>
      <c r="R190" s="7">
        <f t="shared" si="58"/>
        <v>1.412673900481872E-4</v>
      </c>
      <c r="S190" s="2"/>
      <c r="T190" s="6">
        <v>1395.94</v>
      </c>
      <c r="U190" s="2"/>
      <c r="V190" s="7">
        <f t="shared" si="59"/>
        <v>3.0669860678872142E-4</v>
      </c>
      <c r="W190" s="2"/>
      <c r="X190" s="6">
        <f t="shared" si="60"/>
        <v>-810.81000000000006</v>
      </c>
      <c r="Y190" s="2"/>
      <c r="Z190" s="7">
        <f t="shared" si="61"/>
        <v>-0.58083441981747064</v>
      </c>
    </row>
    <row r="191" spans="1:26" s="29" customFormat="1" outlineLevel="1" collapsed="1" x14ac:dyDescent="0.25">
      <c r="A191" s="27"/>
      <c r="B191" s="14" t="str">
        <f>CONCATENATE("     ","Equipment Rental                                  ")</f>
        <v xml:space="preserve">     Equipment Rental                                  </v>
      </c>
      <c r="C191" s="14"/>
      <c r="D191" s="1">
        <f>SUM(OSRRefD22_9x_0)</f>
        <v>1296.9000000000001</v>
      </c>
      <c r="E191" s="1"/>
      <c r="F191" s="5">
        <f t="shared" si="54"/>
        <v>1.1930352352639913E-3</v>
      </c>
      <c r="G191" s="1"/>
      <c r="H191" s="1">
        <f>SUM(OSRRefH22_9x_0)</f>
        <v>3400.41</v>
      </c>
      <c r="I191" s="1"/>
      <c r="J191" s="5">
        <f t="shared" si="55"/>
        <v>2.9876147898692212E-3</v>
      </c>
      <c r="K191" s="1"/>
      <c r="L191" s="1">
        <f t="shared" si="56"/>
        <v>-2103.5099999999998</v>
      </c>
      <c r="M191" s="1"/>
      <c r="N191" s="5">
        <f t="shared" si="57"/>
        <v>-0.61860481530168421</v>
      </c>
      <c r="O191" s="14"/>
      <c r="P191" s="1">
        <f>SUM(OSRRefP22_9x_0)</f>
        <v>3890.7</v>
      </c>
      <c r="Q191" s="1"/>
      <c r="R191" s="5">
        <f t="shared" si="58"/>
        <v>9.3932807147212056E-4</v>
      </c>
      <c r="S191" s="1"/>
      <c r="T191" s="1">
        <f>SUM(OSRRefT22_9x_0)</f>
        <v>10202.51</v>
      </c>
      <c r="U191" s="1"/>
      <c r="V191" s="5">
        <f t="shared" si="59"/>
        <v>2.2415688373053268E-3</v>
      </c>
      <c r="W191" s="1"/>
      <c r="X191" s="1">
        <f t="shared" si="60"/>
        <v>-6311.81</v>
      </c>
      <c r="Y191" s="1"/>
      <c r="Z191" s="5">
        <f t="shared" si="61"/>
        <v>-0.61865266488344539</v>
      </c>
    </row>
    <row r="192" spans="1:26" s="24" customFormat="1" hidden="1" outlineLevel="2" x14ac:dyDescent="0.25">
      <c r="A192" s="28"/>
      <c r="B192" s="11" t="str">
        <f>CONCATENATE("          ", "6351", " - ", "EQUIPMENT RENTAL")</f>
        <v xml:space="preserve">          6351 - EQUIPMENT RENTAL</v>
      </c>
      <c r="C192" s="11"/>
      <c r="D192" s="6">
        <v>1296.9000000000001</v>
      </c>
      <c r="E192" s="2"/>
      <c r="F192" s="7">
        <f t="shared" si="54"/>
        <v>1.1930352352639913E-3</v>
      </c>
      <c r="G192" s="2"/>
      <c r="H192" s="6">
        <v>3400.41</v>
      </c>
      <c r="I192" s="2"/>
      <c r="J192" s="7">
        <f t="shared" si="55"/>
        <v>2.9876147898692212E-3</v>
      </c>
      <c r="K192" s="2"/>
      <c r="L192" s="6">
        <f t="shared" si="56"/>
        <v>-2103.5099999999998</v>
      </c>
      <c r="M192" s="2"/>
      <c r="N192" s="7">
        <f t="shared" si="57"/>
        <v>-0.61860481530168421</v>
      </c>
      <c r="O192" s="11"/>
      <c r="P192" s="6">
        <v>3890.7</v>
      </c>
      <c r="Q192" s="2"/>
      <c r="R192" s="7">
        <f t="shared" si="58"/>
        <v>9.3932807147212056E-4</v>
      </c>
      <c r="S192" s="2"/>
      <c r="T192" s="6">
        <v>10202.51</v>
      </c>
      <c r="U192" s="2"/>
      <c r="V192" s="7">
        <f t="shared" si="59"/>
        <v>2.2415688373053268E-3</v>
      </c>
      <c r="W192" s="2"/>
      <c r="X192" s="6">
        <f t="shared" si="60"/>
        <v>-6311.81</v>
      </c>
      <c r="Y192" s="2"/>
      <c r="Z192" s="7">
        <f t="shared" si="61"/>
        <v>-0.61865266488344539</v>
      </c>
    </row>
    <row r="193" spans="1:26" s="29" customFormat="1" outlineLevel="1" collapsed="1" x14ac:dyDescent="0.25">
      <c r="A193" s="27"/>
      <c r="B193" s="14" t="str">
        <f>CONCATENATE("     ","Freight out/Postage                               ")</f>
        <v xml:space="preserve">     Freight out/Postage                               </v>
      </c>
      <c r="C193" s="14"/>
      <c r="D193" s="1">
        <f>SUM(OSRRefD22_10x_0)</f>
        <v>9425.0299999999988</v>
      </c>
      <c r="E193" s="1"/>
      <c r="F193" s="5">
        <f t="shared" si="54"/>
        <v>8.6702080988666618E-3</v>
      </c>
      <c r="G193" s="1"/>
      <c r="H193" s="1">
        <f>SUM(OSRRefH22_10x_0)</f>
        <v>9429.7200000000012</v>
      </c>
      <c r="I193" s="1"/>
      <c r="J193" s="5">
        <f t="shared" si="55"/>
        <v>8.2849923792500321E-3</v>
      </c>
      <c r="K193" s="1"/>
      <c r="L193" s="1">
        <f t="shared" si="56"/>
        <v>-4.6900000000023283</v>
      </c>
      <c r="M193" s="1"/>
      <c r="N193" s="5">
        <f t="shared" si="57"/>
        <v>-4.9736365448839709E-4</v>
      </c>
      <c r="O193" s="14"/>
      <c r="P193" s="1">
        <f>SUM(OSRRefP22_10x_0)</f>
        <v>-5710.8099999999995</v>
      </c>
      <c r="Q193" s="1"/>
      <c r="R193" s="5">
        <f t="shared" si="58"/>
        <v>-1.3787555308411598E-3</v>
      </c>
      <c r="S193" s="1"/>
      <c r="T193" s="1">
        <f>SUM(OSRRefT22_10x_0)</f>
        <v>826.72000000000116</v>
      </c>
      <c r="U193" s="1"/>
      <c r="V193" s="5">
        <f t="shared" si="59"/>
        <v>1.8163665501695782E-4</v>
      </c>
      <c r="W193" s="1"/>
      <c r="X193" s="1">
        <f t="shared" si="60"/>
        <v>-6537.5300000000007</v>
      </c>
      <c r="Y193" s="1"/>
      <c r="Z193" s="5">
        <f t="shared" si="61"/>
        <v>-7.9077922392103632</v>
      </c>
    </row>
    <row r="194" spans="1:26" s="24" customFormat="1" hidden="1" outlineLevel="2" x14ac:dyDescent="0.25">
      <c r="A194" s="28"/>
      <c r="B194" s="11" t="str">
        <f>CONCATENATE("          ", "6305", " - ", "FREIGHT OUT")</f>
        <v xml:space="preserve">          6305 - FREIGHT OUT</v>
      </c>
      <c r="C194" s="11"/>
      <c r="D194" s="6">
        <v>10653.47</v>
      </c>
      <c r="E194" s="2"/>
      <c r="F194" s="7">
        <f t="shared" si="54"/>
        <v>9.8002660866897007E-3</v>
      </c>
      <c r="G194" s="2"/>
      <c r="H194" s="6">
        <v>13698.76</v>
      </c>
      <c r="I194" s="2"/>
      <c r="J194" s="7">
        <f t="shared" si="55"/>
        <v>1.2035789207439368E-2</v>
      </c>
      <c r="K194" s="2"/>
      <c r="L194" s="6">
        <f t="shared" si="56"/>
        <v>-3045.2900000000009</v>
      </c>
      <c r="M194" s="2"/>
      <c r="N194" s="7">
        <f t="shared" si="57"/>
        <v>-0.22230406255748703</v>
      </c>
      <c r="O194" s="11"/>
      <c r="P194" s="6">
        <v>14931.230000000001</v>
      </c>
      <c r="Q194" s="2"/>
      <c r="R194" s="7">
        <f t="shared" si="58"/>
        <v>3.6048329299629045E-3</v>
      </c>
      <c r="S194" s="2"/>
      <c r="T194" s="6">
        <v>19254.7</v>
      </c>
      <c r="U194" s="2"/>
      <c r="V194" s="7">
        <f t="shared" si="59"/>
        <v>4.2304036449523578E-3</v>
      </c>
      <c r="W194" s="2"/>
      <c r="X194" s="6">
        <f t="shared" si="60"/>
        <v>-4323.4699999999993</v>
      </c>
      <c r="Y194" s="2"/>
      <c r="Z194" s="7">
        <f t="shared" si="61"/>
        <v>-0.22454102115327682</v>
      </c>
    </row>
    <row r="195" spans="1:26" s="24" customFormat="1" hidden="1" outlineLevel="2" x14ac:dyDescent="0.25">
      <c r="A195" s="28"/>
      <c r="B195" s="11" t="str">
        <f>CONCATENATE("          ", "6307", " - ", "POSTAGE")</f>
        <v xml:space="preserve">          6307 - POSTAGE</v>
      </c>
      <c r="C195" s="11"/>
      <c r="D195" s="6">
        <v>-1228.44</v>
      </c>
      <c r="E195" s="2"/>
      <c r="F195" s="7">
        <f t="shared" si="54"/>
        <v>-1.1300579878230376E-3</v>
      </c>
      <c r="G195" s="2"/>
      <c r="H195" s="6">
        <v>-4269.04</v>
      </c>
      <c r="I195" s="2"/>
      <c r="J195" s="7">
        <f t="shared" si="55"/>
        <v>-3.7507968281893364E-3</v>
      </c>
      <c r="K195" s="2"/>
      <c r="L195" s="6">
        <f t="shared" si="56"/>
        <v>3040.6</v>
      </c>
      <c r="M195" s="2"/>
      <c r="N195" s="7">
        <f t="shared" si="57"/>
        <v>-0.71224443903078916</v>
      </c>
      <c r="O195" s="11"/>
      <c r="P195" s="6">
        <v>-20642.04</v>
      </c>
      <c r="Q195" s="2"/>
      <c r="R195" s="7">
        <f t="shared" si="58"/>
        <v>-4.9835884608040648E-3</v>
      </c>
      <c r="S195" s="2"/>
      <c r="T195" s="6">
        <v>-18427.98</v>
      </c>
      <c r="U195" s="2"/>
      <c r="V195" s="7">
        <f t="shared" si="59"/>
        <v>-4.0487669899353998E-3</v>
      </c>
      <c r="W195" s="2"/>
      <c r="X195" s="6">
        <f t="shared" si="60"/>
        <v>-2214.0600000000013</v>
      </c>
      <c r="Y195" s="2"/>
      <c r="Z195" s="7">
        <f t="shared" si="61"/>
        <v>0.12014664656679687</v>
      </c>
    </row>
    <row r="196" spans="1:26" s="29" customFormat="1" outlineLevel="1" collapsed="1" x14ac:dyDescent="0.25">
      <c r="A196" s="27"/>
      <c r="B196" s="14" t="str">
        <f>CONCATENATE("     ","General                                           ")</f>
        <v xml:space="preserve">     General                                           </v>
      </c>
      <c r="C196" s="14"/>
      <c r="D196" s="1">
        <f>SUM(OSRRefD22_11x_0)</f>
        <v>-1366.16</v>
      </c>
      <c r="E196" s="1"/>
      <c r="F196" s="5">
        <f t="shared" ref="F196:F209" si="62">IF(D$12=0,0,D196/D$12)</f>
        <v>-1.2567484131453886E-3</v>
      </c>
      <c r="G196" s="1"/>
      <c r="H196" s="1">
        <f>SUM(OSRRefH22_11x_0)</f>
        <v>131.63</v>
      </c>
      <c r="I196" s="1"/>
      <c r="J196" s="5">
        <f t="shared" ref="J196:J209" si="63">IF(H$12=0,0,H196/H$12)</f>
        <v>1.1565068176792963E-4</v>
      </c>
      <c r="K196" s="1"/>
      <c r="L196" s="1">
        <f t="shared" ref="L196:L209" si="64">+D196-H196</f>
        <v>-1497.79</v>
      </c>
      <c r="M196" s="1"/>
      <c r="N196" s="5">
        <f t="shared" ref="N196:N209" si="65">IF(H196=0,0,L196/H196)</f>
        <v>-11.378789029856415</v>
      </c>
      <c r="O196" s="14"/>
      <c r="P196" s="1">
        <f>SUM(OSRRefP22_11x_0)</f>
        <v>-15701.74</v>
      </c>
      <c r="Q196" s="1"/>
      <c r="R196" s="5">
        <f t="shared" ref="R196:R209" si="66">IF(P$12=0,0,P196/P$12)</f>
        <v>-3.7908564404751472E-3</v>
      </c>
      <c r="S196" s="1"/>
      <c r="T196" s="1">
        <f>SUM(OSRRefT22_11x_0)</f>
        <v>-243.99</v>
      </c>
      <c r="U196" s="1"/>
      <c r="V196" s="5">
        <f t="shared" ref="V196:V209" si="67">IF(T$12=0,0,T196/T$12)</f>
        <v>-5.3606453766193485E-5</v>
      </c>
      <c r="W196" s="1"/>
      <c r="X196" s="1">
        <f t="shared" ref="X196:X209" si="68">+P196-T196</f>
        <v>-15457.75</v>
      </c>
      <c r="Y196" s="1"/>
      <c r="Z196" s="5">
        <f t="shared" ref="Z196:Z209" si="69">IF(T196=0,0,X196/T196)</f>
        <v>63.354030902905855</v>
      </c>
    </row>
    <row r="197" spans="1:26" s="24" customFormat="1" hidden="1" outlineLevel="2" x14ac:dyDescent="0.25">
      <c r="A197" s="28"/>
      <c r="B197" s="11" t="str">
        <f>CONCATENATE("          ", "6279", " - ", "GENERAL EXPENSE")</f>
        <v xml:space="preserve">          6279 - GENERAL EXPENSE</v>
      </c>
      <c r="C197" s="11"/>
      <c r="D197" s="6">
        <v>-1366.16</v>
      </c>
      <c r="E197" s="2"/>
      <c r="F197" s="7">
        <f t="shared" si="62"/>
        <v>-1.2567484131453886E-3</v>
      </c>
      <c r="G197" s="2"/>
      <c r="H197" s="6">
        <v>131.63</v>
      </c>
      <c r="I197" s="2"/>
      <c r="J197" s="7">
        <f t="shared" si="63"/>
        <v>1.1565068176792963E-4</v>
      </c>
      <c r="K197" s="2"/>
      <c r="L197" s="6">
        <f t="shared" si="64"/>
        <v>-1497.79</v>
      </c>
      <c r="M197" s="2"/>
      <c r="N197" s="7">
        <f t="shared" si="65"/>
        <v>-11.378789029856415</v>
      </c>
      <c r="O197" s="11"/>
      <c r="P197" s="6">
        <v>-15701.74</v>
      </c>
      <c r="Q197" s="2"/>
      <c r="R197" s="7">
        <f t="shared" si="66"/>
        <v>-3.7908564404751472E-3</v>
      </c>
      <c r="S197" s="2"/>
      <c r="T197" s="6">
        <v>-243.99</v>
      </c>
      <c r="U197" s="2"/>
      <c r="V197" s="7">
        <f t="shared" si="67"/>
        <v>-5.3606453766193485E-5</v>
      </c>
      <c r="W197" s="2"/>
      <c r="X197" s="6">
        <f t="shared" si="68"/>
        <v>-15457.75</v>
      </c>
      <c r="Y197" s="2"/>
      <c r="Z197" s="7">
        <f t="shared" si="69"/>
        <v>63.354030902905855</v>
      </c>
    </row>
    <row r="198" spans="1:26" s="29" customFormat="1" outlineLevel="1" collapsed="1" x14ac:dyDescent="0.25">
      <c r="A198" s="27"/>
      <c r="B198" s="14" t="str">
        <f>CONCATENATE("     ","Insurance                                         ")</f>
        <v xml:space="preserve">     Insurance                                         </v>
      </c>
      <c r="C198" s="14"/>
      <c r="D198" s="1">
        <f>SUM(OSRRefD22_12x_0)</f>
        <v>4044.74</v>
      </c>
      <c r="E198" s="1"/>
      <c r="F198" s="5">
        <f t="shared" si="62"/>
        <v>3.7208091120993722E-3</v>
      </c>
      <c r="G198" s="1"/>
      <c r="H198" s="1">
        <f>SUM(OSRRefH22_12x_0)</f>
        <v>3809.97</v>
      </c>
      <c r="I198" s="1"/>
      <c r="J198" s="5">
        <f t="shared" si="63"/>
        <v>3.3474559600042459E-3</v>
      </c>
      <c r="K198" s="1"/>
      <c r="L198" s="1">
        <f t="shared" si="64"/>
        <v>234.76999999999998</v>
      </c>
      <c r="M198" s="1"/>
      <c r="N198" s="5">
        <f t="shared" si="65"/>
        <v>6.1619907768302638E-2</v>
      </c>
      <c r="O198" s="14"/>
      <c r="P198" s="1">
        <f>SUM(OSRRefP22_12x_0)</f>
        <v>12134.22</v>
      </c>
      <c r="Q198" s="1"/>
      <c r="R198" s="5">
        <f t="shared" si="66"/>
        <v>2.9295534149172218E-3</v>
      </c>
      <c r="S198" s="1"/>
      <c r="T198" s="1">
        <f>SUM(OSRRefT22_12x_0)</f>
        <v>11429.91</v>
      </c>
      <c r="U198" s="1"/>
      <c r="V198" s="5">
        <f t="shared" si="67"/>
        <v>2.51123792764766E-3</v>
      </c>
      <c r="W198" s="1"/>
      <c r="X198" s="1">
        <f t="shared" si="68"/>
        <v>704.30999999999949</v>
      </c>
      <c r="Y198" s="1"/>
      <c r="Z198" s="5">
        <f t="shared" si="69"/>
        <v>6.1619907768302597E-2</v>
      </c>
    </row>
    <row r="199" spans="1:26" s="24" customFormat="1" hidden="1" outlineLevel="2" x14ac:dyDescent="0.25">
      <c r="A199" s="28"/>
      <c r="B199" s="11" t="str">
        <f>CONCATENATE("          ", "6314", " - ", "LIABILITY INSURANCE")</f>
        <v xml:space="preserve">          6314 - LIABILITY INSURANCE</v>
      </c>
      <c r="C199" s="11"/>
      <c r="D199" s="6">
        <v>4044.74</v>
      </c>
      <c r="E199" s="2"/>
      <c r="F199" s="7">
        <f t="shared" si="62"/>
        <v>3.7208091120993722E-3</v>
      </c>
      <c r="G199" s="2"/>
      <c r="H199" s="6">
        <v>3809.97</v>
      </c>
      <c r="I199" s="2"/>
      <c r="J199" s="7">
        <f t="shared" si="63"/>
        <v>3.3474559600042459E-3</v>
      </c>
      <c r="K199" s="2"/>
      <c r="L199" s="6">
        <f t="shared" si="64"/>
        <v>234.76999999999998</v>
      </c>
      <c r="M199" s="2"/>
      <c r="N199" s="7">
        <f t="shared" si="65"/>
        <v>6.1619907768302638E-2</v>
      </c>
      <c r="O199" s="11"/>
      <c r="P199" s="6">
        <v>12134.22</v>
      </c>
      <c r="Q199" s="2"/>
      <c r="R199" s="7">
        <f t="shared" si="66"/>
        <v>2.9295534149172218E-3</v>
      </c>
      <c r="S199" s="2"/>
      <c r="T199" s="6">
        <v>11429.91</v>
      </c>
      <c r="U199" s="2"/>
      <c r="V199" s="7">
        <f t="shared" si="67"/>
        <v>2.51123792764766E-3</v>
      </c>
      <c r="W199" s="2"/>
      <c r="X199" s="6">
        <f t="shared" si="68"/>
        <v>704.30999999999949</v>
      </c>
      <c r="Y199" s="2"/>
      <c r="Z199" s="7">
        <f t="shared" si="69"/>
        <v>6.1619907768302597E-2</v>
      </c>
    </row>
    <row r="200" spans="1:26" s="29" customFormat="1" outlineLevel="1" collapsed="1" x14ac:dyDescent="0.25">
      <c r="A200" s="27"/>
      <c r="B200" s="14" t="str">
        <f>CONCATENATE("     ","Inventory Adjustment                              ")</f>
        <v xml:space="preserve">     Inventory Adjustment                              </v>
      </c>
      <c r="C200" s="14"/>
      <c r="D200" s="1">
        <f>SUM(OSRRefD22_13x_0)</f>
        <v>4250</v>
      </c>
      <c r="E200" s="1"/>
      <c r="F200" s="5">
        <f t="shared" si="62"/>
        <v>3.9096304648561673E-3</v>
      </c>
      <c r="G200" s="1"/>
      <c r="H200" s="1">
        <f>SUM(OSRRefH22_13x_0)</f>
        <v>8750</v>
      </c>
      <c r="I200" s="1"/>
      <c r="J200" s="5">
        <f t="shared" si="63"/>
        <v>7.6877874760266224E-3</v>
      </c>
      <c r="K200" s="1"/>
      <c r="L200" s="1">
        <f t="shared" si="64"/>
        <v>-4500</v>
      </c>
      <c r="M200" s="1"/>
      <c r="N200" s="5">
        <f t="shared" si="65"/>
        <v>-0.51428571428571423</v>
      </c>
      <c r="O200" s="14"/>
      <c r="P200" s="1">
        <f>SUM(OSRRefP22_13x_0)</f>
        <v>12650</v>
      </c>
      <c r="Q200" s="1"/>
      <c r="R200" s="5">
        <f t="shared" si="66"/>
        <v>3.0540776991601322E-3</v>
      </c>
      <c r="S200" s="1"/>
      <c r="T200" s="1">
        <f>SUM(OSRRefT22_13x_0)</f>
        <v>26250</v>
      </c>
      <c r="U200" s="1"/>
      <c r="V200" s="5">
        <f t="shared" si="67"/>
        <v>5.767324117228489E-3</v>
      </c>
      <c r="W200" s="1"/>
      <c r="X200" s="1">
        <f t="shared" si="68"/>
        <v>-13600</v>
      </c>
      <c r="Y200" s="1"/>
      <c r="Z200" s="5">
        <f t="shared" si="69"/>
        <v>-0.51809523809523805</v>
      </c>
    </row>
    <row r="201" spans="1:26" s="24" customFormat="1" hidden="1" outlineLevel="2" x14ac:dyDescent="0.25">
      <c r="A201" s="28"/>
      <c r="B201" s="11" t="str">
        <f>CONCATENATE("          ", "6408", " - ", "INVENTORY ADJUSTMENT")</f>
        <v xml:space="preserve">          6408 - INVENTORY ADJUSTMENT</v>
      </c>
      <c r="C201" s="11"/>
      <c r="D201" s="6">
        <v>4250</v>
      </c>
      <c r="E201" s="2"/>
      <c r="F201" s="7">
        <f t="shared" si="62"/>
        <v>3.9096304648561673E-3</v>
      </c>
      <c r="G201" s="2"/>
      <c r="H201" s="6">
        <v>8750</v>
      </c>
      <c r="I201" s="2"/>
      <c r="J201" s="7">
        <f t="shared" si="63"/>
        <v>7.6877874760266224E-3</v>
      </c>
      <c r="K201" s="2"/>
      <c r="L201" s="6">
        <f t="shared" si="64"/>
        <v>-4500</v>
      </c>
      <c r="M201" s="2"/>
      <c r="N201" s="7">
        <f t="shared" si="65"/>
        <v>-0.51428571428571423</v>
      </c>
      <c r="O201" s="11"/>
      <c r="P201" s="6">
        <v>12650</v>
      </c>
      <c r="Q201" s="2"/>
      <c r="R201" s="7">
        <f t="shared" si="66"/>
        <v>3.0540776991601322E-3</v>
      </c>
      <c r="S201" s="2"/>
      <c r="T201" s="6">
        <v>26250</v>
      </c>
      <c r="U201" s="2"/>
      <c r="V201" s="7">
        <f t="shared" si="67"/>
        <v>5.767324117228489E-3</v>
      </c>
      <c r="W201" s="2"/>
      <c r="X201" s="6">
        <f t="shared" si="68"/>
        <v>-13600</v>
      </c>
      <c r="Y201" s="2"/>
      <c r="Z201" s="7">
        <f t="shared" si="69"/>
        <v>-0.51809523809523805</v>
      </c>
    </row>
    <row r="202" spans="1:26" s="29" customFormat="1" outlineLevel="1" collapsed="1" x14ac:dyDescent="0.25">
      <c r="A202" s="27"/>
      <c r="B202" s="14" t="str">
        <f>CONCATENATE("     ","Professional Services                             ")</f>
        <v xml:space="preserve">     Professional Services                             </v>
      </c>
      <c r="C202" s="14"/>
      <c r="D202" s="1">
        <f>SUM(OSRRefD22_14x_0)</f>
        <v>0</v>
      </c>
      <c r="E202" s="1"/>
      <c r="F202" s="5">
        <f t="shared" si="62"/>
        <v>0</v>
      </c>
      <c r="G202" s="1"/>
      <c r="H202" s="1">
        <f>SUM(OSRRefH22_14x_0)</f>
        <v>0</v>
      </c>
      <c r="I202" s="1"/>
      <c r="J202" s="5">
        <f t="shared" si="63"/>
        <v>0</v>
      </c>
      <c r="K202" s="1"/>
      <c r="L202" s="1">
        <f t="shared" si="64"/>
        <v>0</v>
      </c>
      <c r="M202" s="1"/>
      <c r="N202" s="5">
        <f t="shared" si="65"/>
        <v>0</v>
      </c>
      <c r="O202" s="14"/>
      <c r="P202" s="1">
        <f>SUM(OSRRefP22_14x_0)</f>
        <v>6158.41</v>
      </c>
      <c r="Q202" s="1"/>
      <c r="R202" s="5">
        <f t="shared" si="66"/>
        <v>1.4868191812873318E-3</v>
      </c>
      <c r="S202" s="1"/>
      <c r="T202" s="1">
        <f>SUM(OSRRefT22_14x_0)</f>
        <v>8276.43</v>
      </c>
      <c r="U202" s="1"/>
      <c r="V202" s="5">
        <f t="shared" si="67"/>
        <v>1.818394451182986E-3</v>
      </c>
      <c r="W202" s="1"/>
      <c r="X202" s="1">
        <f t="shared" si="68"/>
        <v>-2118.0200000000004</v>
      </c>
      <c r="Y202" s="1"/>
      <c r="Z202" s="5">
        <f t="shared" si="69"/>
        <v>-0.25590985485287743</v>
      </c>
    </row>
    <row r="203" spans="1:26" s="24" customFormat="1" hidden="1" outlineLevel="2" x14ac:dyDescent="0.25">
      <c r="A203" s="28"/>
      <c r="B203" s="11" t="str">
        <f>CONCATENATE("          ", "6336", " - ", "PROFESSIONAL SERVICES")</f>
        <v xml:space="preserve">          6336 - PROFESSIONAL SERVICES</v>
      </c>
      <c r="C203" s="11"/>
      <c r="D203" s="6"/>
      <c r="E203" s="2"/>
      <c r="F203" s="7">
        <f t="shared" si="62"/>
        <v>0</v>
      </c>
      <c r="G203" s="2"/>
      <c r="H203" s="6"/>
      <c r="I203" s="2"/>
      <c r="J203" s="7">
        <f t="shared" si="63"/>
        <v>0</v>
      </c>
      <c r="K203" s="2"/>
      <c r="L203" s="6">
        <f t="shared" si="64"/>
        <v>0</v>
      </c>
      <c r="M203" s="2"/>
      <c r="N203" s="7">
        <f t="shared" si="65"/>
        <v>0</v>
      </c>
      <c r="O203" s="11"/>
      <c r="P203" s="6">
        <v>6158.41</v>
      </c>
      <c r="Q203" s="2"/>
      <c r="R203" s="7">
        <f t="shared" si="66"/>
        <v>1.4868191812873318E-3</v>
      </c>
      <c r="S203" s="2"/>
      <c r="T203" s="6">
        <v>8276.43</v>
      </c>
      <c r="U203" s="2"/>
      <c r="V203" s="7">
        <f t="shared" si="67"/>
        <v>1.818394451182986E-3</v>
      </c>
      <c r="W203" s="2"/>
      <c r="X203" s="6">
        <f t="shared" si="68"/>
        <v>-2118.0200000000004</v>
      </c>
      <c r="Y203" s="2"/>
      <c r="Z203" s="7">
        <f t="shared" si="69"/>
        <v>-0.25590985485287743</v>
      </c>
    </row>
    <row r="204" spans="1:26" s="29" customFormat="1" outlineLevel="1" collapsed="1" x14ac:dyDescent="0.25">
      <c r="A204" s="27"/>
      <c r="B204" s="14" t="str">
        <f>CONCATENATE("     ","Rent                                              ")</f>
        <v xml:space="preserve">     Rent                                              </v>
      </c>
      <c r="C204" s="14"/>
      <c r="D204" s="1">
        <f>SUM(OSRRefD22_15x_0)</f>
        <v>6100</v>
      </c>
      <c r="E204" s="1"/>
      <c r="F204" s="5">
        <f t="shared" si="62"/>
        <v>5.6114696083817929E-3</v>
      </c>
      <c r="G204" s="1"/>
      <c r="H204" s="1">
        <f>SUM(OSRRefH22_15x_0)</f>
        <v>6100</v>
      </c>
      <c r="I204" s="1"/>
      <c r="J204" s="5">
        <f t="shared" si="63"/>
        <v>5.359486126144274E-3</v>
      </c>
      <c r="K204" s="1"/>
      <c r="L204" s="1">
        <f t="shared" si="64"/>
        <v>0</v>
      </c>
      <c r="M204" s="1"/>
      <c r="N204" s="5">
        <f t="shared" si="65"/>
        <v>0</v>
      </c>
      <c r="O204" s="14"/>
      <c r="P204" s="1">
        <f>SUM(OSRRefP22_15x_0)</f>
        <v>18300</v>
      </c>
      <c r="Q204" s="1"/>
      <c r="R204" s="5">
        <f t="shared" si="66"/>
        <v>4.4181519284292817E-3</v>
      </c>
      <c r="S204" s="1"/>
      <c r="T204" s="1">
        <f>SUM(OSRRefT22_15x_0)</f>
        <v>19201.080000000002</v>
      </c>
      <c r="U204" s="1"/>
      <c r="V204" s="5">
        <f t="shared" si="67"/>
        <v>4.2186229242222326E-3</v>
      </c>
      <c r="W204" s="1"/>
      <c r="X204" s="1">
        <f t="shared" si="68"/>
        <v>-901.08000000000175</v>
      </c>
      <c r="Y204" s="1"/>
      <c r="Z204" s="5">
        <f t="shared" si="69"/>
        <v>-4.6928610265672639E-2</v>
      </c>
    </row>
    <row r="205" spans="1:26" s="24" customFormat="1" hidden="1" outlineLevel="2" x14ac:dyDescent="0.25">
      <c r="A205" s="28"/>
      <c r="B205" s="11" t="str">
        <f>CONCATENATE("          ", "6273", " - ", "RENT")</f>
        <v xml:space="preserve">          6273 - RENT</v>
      </c>
      <c r="C205" s="11"/>
      <c r="D205" s="6">
        <v>6100</v>
      </c>
      <c r="E205" s="2"/>
      <c r="F205" s="7">
        <f t="shared" si="62"/>
        <v>5.6114696083817929E-3</v>
      </c>
      <c r="G205" s="2"/>
      <c r="H205" s="6">
        <v>6100</v>
      </c>
      <c r="I205" s="2"/>
      <c r="J205" s="7">
        <f t="shared" si="63"/>
        <v>5.359486126144274E-3</v>
      </c>
      <c r="K205" s="2"/>
      <c r="L205" s="6">
        <f t="shared" si="64"/>
        <v>0</v>
      </c>
      <c r="M205" s="2"/>
      <c r="N205" s="7">
        <f t="shared" si="65"/>
        <v>0</v>
      </c>
      <c r="O205" s="11"/>
      <c r="P205" s="6">
        <v>18300</v>
      </c>
      <c r="Q205" s="2"/>
      <c r="R205" s="7">
        <f t="shared" si="66"/>
        <v>4.4181519284292817E-3</v>
      </c>
      <c r="S205" s="2"/>
      <c r="T205" s="6">
        <v>19201.080000000002</v>
      </c>
      <c r="U205" s="2"/>
      <c r="V205" s="7">
        <f t="shared" si="67"/>
        <v>4.2186229242222326E-3</v>
      </c>
      <c r="W205" s="2"/>
      <c r="X205" s="6">
        <f t="shared" si="68"/>
        <v>-901.08000000000175</v>
      </c>
      <c r="Y205" s="2"/>
      <c r="Z205" s="7">
        <f t="shared" si="69"/>
        <v>-4.6928610265672639E-2</v>
      </c>
    </row>
    <row r="206" spans="1:26" s="29" customFormat="1" outlineLevel="1" collapsed="1" x14ac:dyDescent="0.25">
      <c r="A206" s="27"/>
      <c r="B206" s="14" t="str">
        <f>CONCATENATE("     ","Repair and Maintenance                            ")</f>
        <v xml:space="preserve">     Repair and Maintenance                            </v>
      </c>
      <c r="C206" s="14"/>
      <c r="D206" s="1">
        <f>SUM(OSRRefD22_16x_0)</f>
        <v>10676.609999999999</v>
      </c>
      <c r="E206" s="1"/>
      <c r="F206" s="5">
        <f t="shared" si="62"/>
        <v>9.8215528746795292E-3</v>
      </c>
      <c r="G206" s="1"/>
      <c r="H206" s="1">
        <f>SUM(OSRRefH22_16x_0)</f>
        <v>6711.74</v>
      </c>
      <c r="I206" s="1"/>
      <c r="J206" s="5">
        <f t="shared" si="63"/>
        <v>5.8969635102110772E-3</v>
      </c>
      <c r="K206" s="1"/>
      <c r="L206" s="1">
        <f t="shared" si="64"/>
        <v>3964.869999999999</v>
      </c>
      <c r="M206" s="1"/>
      <c r="N206" s="5">
        <f t="shared" si="65"/>
        <v>0.59073653031851636</v>
      </c>
      <c r="O206" s="14"/>
      <c r="P206" s="1">
        <f>SUM(OSRRefP22_16x_0)</f>
        <v>48354.41</v>
      </c>
      <c r="Q206" s="1"/>
      <c r="R206" s="5">
        <f t="shared" si="66"/>
        <v>1.1674160097790173E-2</v>
      </c>
      <c r="S206" s="1"/>
      <c r="T206" s="1">
        <f>SUM(OSRRefT22_16x_0)</f>
        <v>82047.69</v>
      </c>
      <c r="U206" s="1"/>
      <c r="V206" s="5">
        <f t="shared" si="67"/>
        <v>1.8026499859043303E-2</v>
      </c>
      <c r="W206" s="1"/>
      <c r="X206" s="1">
        <f t="shared" si="68"/>
        <v>-33693.279999999999</v>
      </c>
      <c r="Y206" s="1"/>
      <c r="Z206" s="5">
        <f t="shared" si="69"/>
        <v>-0.4106548276983788</v>
      </c>
    </row>
    <row r="207" spans="1:26" s="24" customFormat="1" hidden="1" outlineLevel="2" x14ac:dyDescent="0.25">
      <c r="A207" s="28"/>
      <c r="B207" s="11" t="str">
        <f>CONCATENATE("          ", "6371", " - ", "COMPUTER SOFTWARE MAINTENANCE")</f>
        <v xml:space="preserve">          6371 - COMPUTER SOFTWARE MAINTENANCE</v>
      </c>
      <c r="C207" s="11"/>
      <c r="D207" s="6">
        <v>3662.15</v>
      </c>
      <c r="E207" s="2"/>
      <c r="F207" s="7">
        <f t="shared" si="62"/>
        <v>3.3688595780877674E-3</v>
      </c>
      <c r="G207" s="2"/>
      <c r="H207" s="6">
        <v>622.75</v>
      </c>
      <c r="I207" s="2"/>
      <c r="J207" s="7">
        <f t="shared" si="63"/>
        <v>5.471508172223519E-4</v>
      </c>
      <c r="K207" s="2"/>
      <c r="L207" s="6">
        <f t="shared" si="64"/>
        <v>3039.4</v>
      </c>
      <c r="M207" s="2"/>
      <c r="N207" s="7">
        <f t="shared" si="65"/>
        <v>4.8806101967081492</v>
      </c>
      <c r="O207" s="11"/>
      <c r="P207" s="6">
        <v>12150.4</v>
      </c>
      <c r="Q207" s="2"/>
      <c r="R207" s="7">
        <f t="shared" si="66"/>
        <v>2.9334597372233412E-3</v>
      </c>
      <c r="S207" s="2"/>
      <c r="T207" s="6">
        <v>44786.13</v>
      </c>
      <c r="U207" s="2"/>
      <c r="V207" s="7">
        <f t="shared" si="67"/>
        <v>9.8398524825268688E-3</v>
      </c>
      <c r="W207" s="2"/>
      <c r="X207" s="6">
        <f t="shared" si="68"/>
        <v>-32635.729999999996</v>
      </c>
      <c r="Y207" s="2"/>
      <c r="Z207" s="7">
        <f t="shared" si="69"/>
        <v>-0.72870172082294227</v>
      </c>
    </row>
    <row r="208" spans="1:26" s="24" customFormat="1" hidden="1" outlineLevel="2" x14ac:dyDescent="0.25">
      <c r="A208" s="28"/>
      <c r="B208" s="11" t="str">
        <f>CONCATENATE("          ", "6373", " - ", "MAINTENANCE CONTRACTS")</f>
        <v xml:space="preserve">          6373 - MAINTENANCE CONTRACTS</v>
      </c>
      <c r="C208" s="11"/>
      <c r="D208" s="6">
        <v>6672.75</v>
      </c>
      <c r="E208" s="2"/>
      <c r="F208" s="7">
        <f t="shared" si="62"/>
        <v>6.138349808086821E-3</v>
      </c>
      <c r="G208" s="2"/>
      <c r="H208" s="6">
        <v>4519.28</v>
      </c>
      <c r="I208" s="2"/>
      <c r="J208" s="7">
        <f t="shared" si="63"/>
        <v>3.9706587639608678E-3</v>
      </c>
      <c r="K208" s="2"/>
      <c r="L208" s="6">
        <f t="shared" si="64"/>
        <v>2153.4700000000003</v>
      </c>
      <c r="M208" s="2"/>
      <c r="N208" s="7">
        <f t="shared" si="65"/>
        <v>0.47650731975004879</v>
      </c>
      <c r="O208" s="11"/>
      <c r="P208" s="6">
        <v>19048.190000000002</v>
      </c>
      <c r="Q208" s="2"/>
      <c r="R208" s="7">
        <f t="shared" si="66"/>
        <v>4.5987867421632446E-3</v>
      </c>
      <c r="S208" s="2"/>
      <c r="T208" s="6">
        <v>25610.01</v>
      </c>
      <c r="U208" s="2"/>
      <c r="V208" s="7">
        <f t="shared" si="67"/>
        <v>5.626713459636677E-3</v>
      </c>
      <c r="W208" s="2"/>
      <c r="X208" s="6">
        <f t="shared" si="68"/>
        <v>-6561.8199999999961</v>
      </c>
      <c r="Y208" s="2"/>
      <c r="Z208" s="7">
        <f t="shared" si="69"/>
        <v>-0.25622090737176584</v>
      </c>
    </row>
    <row r="209" spans="1:26" s="24" customFormat="1" hidden="1" outlineLevel="2" x14ac:dyDescent="0.25">
      <c r="A209" s="28"/>
      <c r="B209" s="11" t="str">
        <f>CONCATENATE("          ", "6375", " - ", "OUTSIDE REPAIRS &amp; MAINTENANCE")</f>
        <v xml:space="preserve">          6375 - OUTSIDE REPAIRS &amp; MAINTENANCE</v>
      </c>
      <c r="C209" s="11"/>
      <c r="D209" s="6">
        <v>341.71</v>
      </c>
      <c r="E209" s="2"/>
      <c r="F209" s="7">
        <f t="shared" si="62"/>
        <v>3.1434348850494133E-4</v>
      </c>
      <c r="G209" s="2"/>
      <c r="H209" s="6">
        <v>1569.71</v>
      </c>
      <c r="I209" s="2"/>
      <c r="J209" s="7">
        <f t="shared" si="63"/>
        <v>1.3791539290278572E-3</v>
      </c>
      <c r="K209" s="2"/>
      <c r="L209" s="6">
        <f t="shared" si="64"/>
        <v>-1228</v>
      </c>
      <c r="M209" s="2"/>
      <c r="N209" s="7">
        <f t="shared" si="65"/>
        <v>-0.78231010823655323</v>
      </c>
      <c r="O209" s="11"/>
      <c r="P209" s="6">
        <v>17155.82</v>
      </c>
      <c r="Q209" s="2"/>
      <c r="R209" s="7">
        <f t="shared" si="66"/>
        <v>4.1419136184035867E-3</v>
      </c>
      <c r="S209" s="2"/>
      <c r="T209" s="6">
        <v>11651.55</v>
      </c>
      <c r="U209" s="2"/>
      <c r="V209" s="7">
        <f t="shared" si="67"/>
        <v>2.5599339168797561E-3</v>
      </c>
      <c r="W209" s="2"/>
      <c r="X209" s="6">
        <f t="shared" si="68"/>
        <v>5504.27</v>
      </c>
      <c r="Y209" s="2"/>
      <c r="Z209" s="7">
        <f t="shared" si="69"/>
        <v>0.4724066755066923</v>
      </c>
    </row>
    <row r="210" spans="1:26" s="29" customFormat="1" outlineLevel="1" collapsed="1" x14ac:dyDescent="0.25">
      <c r="A210" s="27"/>
      <c r="B210" s="14" t="str">
        <f>CONCATENATE("     ","Royalty &amp; Commissions                             ")</f>
        <v xml:space="preserve">     Royalty &amp; Commissions                             </v>
      </c>
      <c r="C210" s="14"/>
      <c r="D210" s="1">
        <f>SUM(OSRRefD22_17x_0)</f>
        <v>10580.82</v>
      </c>
      <c r="E210" s="1"/>
      <c r="F210" s="5">
        <f t="shared" ref="F210:F213" si="70">IF(D$12=0,0,D210/D$12)</f>
        <v>9.7334344035669238E-3</v>
      </c>
      <c r="G210" s="1"/>
      <c r="H210" s="1">
        <f>SUM(OSRRefH22_17x_0)</f>
        <v>10266.210000000001</v>
      </c>
      <c r="I210" s="1"/>
      <c r="J210" s="5">
        <f t="shared" ref="J210:J213" si="71">IF(H$12=0,0,H210/H$12)</f>
        <v>9.0199360759153462E-3</v>
      </c>
      <c r="K210" s="1"/>
      <c r="L210" s="1">
        <f t="shared" ref="L210:L213" si="72">+D210-H210</f>
        <v>314.60999999999876</v>
      </c>
      <c r="M210" s="1"/>
      <c r="N210" s="5">
        <f t="shared" ref="N210:N213" si="73">IF(H210=0,0,L210/H210)</f>
        <v>3.0645194282992335E-2</v>
      </c>
      <c r="O210" s="14"/>
      <c r="P210" s="1">
        <f>SUM(OSRRefP22_17x_0)</f>
        <v>19452.440000000002</v>
      </c>
      <c r="Q210" s="1"/>
      <c r="R210" s="5">
        <f t="shared" ref="R210:R213" si="74">IF(P$12=0,0,P210/P$12)</f>
        <v>4.696384442549449E-3</v>
      </c>
      <c r="S210" s="1"/>
      <c r="T210" s="1">
        <f>SUM(OSRRefT22_17x_0)</f>
        <v>21577.82</v>
      </c>
      <c r="U210" s="1"/>
      <c r="V210" s="5">
        <f t="shared" ref="V210:V213" si="75">IF(T$12=0,0,T210/T$12)</f>
        <v>4.7408107307891512E-3</v>
      </c>
      <c r="W210" s="1"/>
      <c r="X210" s="1">
        <f t="shared" ref="X210:X213" si="76">+P210-T210</f>
        <v>-2125.3799999999974</v>
      </c>
      <c r="Y210" s="1"/>
      <c r="Z210" s="5">
        <f t="shared" ref="Z210:Z213" si="77">IF(T210=0,0,X210/T210)</f>
        <v>-9.8498365451190034E-2</v>
      </c>
    </row>
    <row r="211" spans="1:26" s="24" customFormat="1" hidden="1" outlineLevel="2" x14ac:dyDescent="0.25">
      <c r="A211" s="28"/>
      <c r="B211" s="11" t="str">
        <f>CONCATENATE("          ", "6253", " - ", "ROYALTY DUE ATHLETICS-LRG")</f>
        <v xml:space="preserve">          6253 - ROYALTY DUE ATHLETICS-LRG</v>
      </c>
      <c r="C211" s="11"/>
      <c r="D211" s="6"/>
      <c r="E211" s="2"/>
      <c r="F211" s="7">
        <f t="shared" si="70"/>
        <v>0</v>
      </c>
      <c r="G211" s="2"/>
      <c r="H211" s="6"/>
      <c r="I211" s="2"/>
      <c r="J211" s="7">
        <f t="shared" si="71"/>
        <v>0</v>
      </c>
      <c r="K211" s="2"/>
      <c r="L211" s="6">
        <f t="shared" si="72"/>
        <v>0</v>
      </c>
      <c r="M211" s="2"/>
      <c r="N211" s="7">
        <f t="shared" si="73"/>
        <v>0</v>
      </c>
      <c r="O211" s="11"/>
      <c r="P211" s="6">
        <v>4366.95</v>
      </c>
      <c r="Q211" s="2"/>
      <c r="R211" s="7">
        <f t="shared" si="74"/>
        <v>1.0543086646914892E-3</v>
      </c>
      <c r="S211" s="2"/>
      <c r="T211" s="6">
        <v>6645.39</v>
      </c>
      <c r="U211" s="2"/>
      <c r="V211" s="7">
        <f t="shared" si="75"/>
        <v>1.4600425910624392E-3</v>
      </c>
      <c r="W211" s="2"/>
      <c r="X211" s="6">
        <f t="shared" si="76"/>
        <v>-2278.4400000000005</v>
      </c>
      <c r="Y211" s="2"/>
      <c r="Z211" s="7">
        <f t="shared" si="77"/>
        <v>-0.34286023845101649</v>
      </c>
    </row>
    <row r="212" spans="1:26" s="24" customFormat="1" hidden="1" outlineLevel="2" x14ac:dyDescent="0.25">
      <c r="A212" s="28"/>
      <c r="B212" s="11" t="str">
        <f>CONCATENATE("          ", "6254", " - ", "ROYALTY &amp; COMMISSIONS")</f>
        <v xml:space="preserve">          6254 - ROYALTY &amp; COMMISSIONS</v>
      </c>
      <c r="C212" s="11"/>
      <c r="D212" s="6">
        <v>365.38</v>
      </c>
      <c r="E212" s="2"/>
      <c r="F212" s="7">
        <f t="shared" si="70"/>
        <v>3.3611783041156382E-4</v>
      </c>
      <c r="G212" s="2"/>
      <c r="H212" s="6">
        <v>291.94</v>
      </c>
      <c r="I212" s="2"/>
      <c r="J212" s="7">
        <f t="shared" si="71"/>
        <v>2.5649973437156712E-4</v>
      </c>
      <c r="K212" s="2"/>
      <c r="L212" s="6">
        <f t="shared" si="72"/>
        <v>73.44</v>
      </c>
      <c r="M212" s="2"/>
      <c r="N212" s="7">
        <f t="shared" si="73"/>
        <v>0.25155853942590944</v>
      </c>
      <c r="O212" s="11"/>
      <c r="P212" s="6">
        <v>615.87</v>
      </c>
      <c r="Q212" s="2"/>
      <c r="R212" s="7">
        <f t="shared" si="74"/>
        <v>1.4868891957167988E-4</v>
      </c>
      <c r="S212" s="2"/>
      <c r="T212" s="6">
        <v>561.08000000000004</v>
      </c>
      <c r="U212" s="2"/>
      <c r="V212" s="7">
        <f t="shared" si="75"/>
        <v>1.2327353202645945E-4</v>
      </c>
      <c r="W212" s="2"/>
      <c r="X212" s="6">
        <f t="shared" si="76"/>
        <v>54.789999999999964</v>
      </c>
      <c r="Y212" s="2"/>
      <c r="Z212" s="7">
        <f t="shared" si="77"/>
        <v>9.7650958865045906E-2</v>
      </c>
    </row>
    <row r="213" spans="1:26" s="24" customFormat="1" hidden="1" outlineLevel="2" x14ac:dyDescent="0.25">
      <c r="A213" s="28"/>
      <c r="B213" s="11" t="str">
        <f>CONCATENATE("          ", "6259", " - ", "ROYALTY &amp; COMMISSIONS")</f>
        <v xml:space="preserve">          6259 - ROYALTY &amp; COMMISSIONS</v>
      </c>
      <c r="C213" s="11"/>
      <c r="D213" s="6">
        <v>10215.44</v>
      </c>
      <c r="E213" s="2"/>
      <c r="F213" s="7">
        <f t="shared" si="70"/>
        <v>9.397316573155361E-3</v>
      </c>
      <c r="G213" s="2"/>
      <c r="H213" s="6">
        <v>9974.27</v>
      </c>
      <c r="I213" s="2"/>
      <c r="J213" s="7">
        <f t="shared" si="71"/>
        <v>8.7634363415437788E-3</v>
      </c>
      <c r="K213" s="2"/>
      <c r="L213" s="6">
        <f t="shared" si="72"/>
        <v>241.17000000000007</v>
      </c>
      <c r="M213" s="2"/>
      <c r="N213" s="7">
        <f t="shared" si="73"/>
        <v>2.417921311534579E-2</v>
      </c>
      <c r="O213" s="11"/>
      <c r="P213" s="6">
        <v>14469.62</v>
      </c>
      <c r="Q213" s="2"/>
      <c r="R213" s="7">
        <f t="shared" si="74"/>
        <v>3.4933868582862795E-3</v>
      </c>
      <c r="S213" s="2"/>
      <c r="T213" s="6">
        <v>14371.35</v>
      </c>
      <c r="U213" s="2"/>
      <c r="V213" s="7">
        <f t="shared" si="75"/>
        <v>3.1574946077002532E-3</v>
      </c>
      <c r="W213" s="2"/>
      <c r="X213" s="6">
        <f t="shared" si="76"/>
        <v>98.270000000000437</v>
      </c>
      <c r="Y213" s="2"/>
      <c r="Z213" s="7">
        <f t="shared" si="77"/>
        <v>6.8379101476201219E-3</v>
      </c>
    </row>
    <row r="214" spans="1:26" s="29" customFormat="1" outlineLevel="1" collapsed="1" x14ac:dyDescent="0.25">
      <c r="A214" s="27"/>
      <c r="B214" s="14" t="str">
        <f>CONCATENATE("     ","Services                                          ")</f>
        <v xml:space="preserve">     Services                                          </v>
      </c>
      <c r="C214" s="14"/>
      <c r="D214" s="1">
        <f>SUM(OSRRefD22_18x_0)</f>
        <v>3921.52</v>
      </c>
      <c r="E214" s="1"/>
      <c r="F214" s="5">
        <f t="shared" ref="F214:F218" si="78">IF(D$12=0,0,D214/D$12)</f>
        <v>3.6074574260100602E-3</v>
      </c>
      <c r="G214" s="1"/>
      <c r="H214" s="1">
        <f>SUM(OSRRefH22_18x_0)</f>
        <v>4358.09</v>
      </c>
      <c r="I214" s="1"/>
      <c r="J214" s="5">
        <f t="shared" ref="J214:J218" si="79">IF(H$12=0,0,H214/H$12)</f>
        <v>3.8290365395882132E-3</v>
      </c>
      <c r="K214" s="1"/>
      <c r="L214" s="1">
        <f t="shared" ref="L214:L218" si="80">+D214-H214</f>
        <v>-436.57000000000016</v>
      </c>
      <c r="M214" s="1"/>
      <c r="N214" s="5">
        <f t="shared" ref="N214:N218" si="81">IF(H214=0,0,L214/H214)</f>
        <v>-0.10017461777980724</v>
      </c>
      <c r="O214" s="14"/>
      <c r="P214" s="1">
        <f>SUM(OSRRefP22_18x_0)</f>
        <v>13227.19</v>
      </c>
      <c r="Q214" s="1"/>
      <c r="R214" s="5">
        <f t="shared" ref="R214:R218" si="82">IF(P$12=0,0,P214/P$12)</f>
        <v>3.193428142415329E-3</v>
      </c>
      <c r="S214" s="1"/>
      <c r="T214" s="1">
        <f>SUM(OSRRefT22_18x_0)</f>
        <v>13056.04</v>
      </c>
      <c r="U214" s="1"/>
      <c r="V214" s="5">
        <f t="shared" ref="V214:V218" si="83">IF(T$12=0,0,T214/T$12)</f>
        <v>2.8685110235238034E-3</v>
      </c>
      <c r="W214" s="1"/>
      <c r="X214" s="1">
        <f t="shared" ref="X214:X218" si="84">+P214-T214</f>
        <v>171.14999999999964</v>
      </c>
      <c r="Y214" s="1"/>
      <c r="Z214" s="5">
        <f t="shared" ref="Z214:Z218" si="85">IF(T214=0,0,X214/T214)</f>
        <v>1.3108875279181101E-2</v>
      </c>
    </row>
    <row r="215" spans="1:26" s="24" customFormat="1" hidden="1" outlineLevel="2" x14ac:dyDescent="0.25">
      <c r="A215" s="28"/>
      <c r="B215" s="11" t="str">
        <f>CONCATENATE("          ", "6282", " - ", "JANITORIAL/EXTERMINATOR EXPENS")</f>
        <v xml:space="preserve">          6282 - JANITORIAL/EXTERMINATOR EXPENS</v>
      </c>
      <c r="C215" s="11"/>
      <c r="D215" s="6">
        <v>266.5</v>
      </c>
      <c r="E215" s="2"/>
      <c r="F215" s="7">
        <f t="shared" si="78"/>
        <v>2.4515682797274555E-4</v>
      </c>
      <c r="G215" s="2"/>
      <c r="H215" s="6">
        <v>236</v>
      </c>
      <c r="I215" s="2"/>
      <c r="J215" s="7">
        <f t="shared" si="79"/>
        <v>2.0735061078197521E-4</v>
      </c>
      <c r="K215" s="2"/>
      <c r="L215" s="6">
        <f t="shared" si="80"/>
        <v>30.5</v>
      </c>
      <c r="M215" s="2"/>
      <c r="N215" s="7">
        <f t="shared" si="81"/>
        <v>0.12923728813559321</v>
      </c>
      <c r="O215" s="11"/>
      <c r="P215" s="6">
        <v>799.5</v>
      </c>
      <c r="Q215" s="2"/>
      <c r="R215" s="7">
        <f t="shared" si="82"/>
        <v>1.930225391682629E-4</v>
      </c>
      <c r="S215" s="2"/>
      <c r="T215" s="6">
        <v>666.5</v>
      </c>
      <c r="U215" s="2"/>
      <c r="V215" s="7">
        <f t="shared" si="83"/>
        <v>1.4643510568124906E-4</v>
      </c>
      <c r="W215" s="2"/>
      <c r="X215" s="6">
        <f t="shared" si="84"/>
        <v>133</v>
      </c>
      <c r="Y215" s="2"/>
      <c r="Z215" s="7">
        <f t="shared" si="85"/>
        <v>0.19954988747186797</v>
      </c>
    </row>
    <row r="216" spans="1:26" s="24" customFormat="1" hidden="1" outlineLevel="2" x14ac:dyDescent="0.25">
      <c r="A216" s="28"/>
      <c r="B216" s="11" t="str">
        <f>CONCATENATE("          ", "6283", " - ", "PLANT SERVICE")</f>
        <v xml:space="preserve">          6283 - PLANT SERVICE</v>
      </c>
      <c r="C216" s="11"/>
      <c r="D216" s="6">
        <v>180.66</v>
      </c>
      <c r="E216" s="2"/>
      <c r="F216" s="7">
        <f t="shared" si="78"/>
        <v>1.6619149171315649E-4</v>
      </c>
      <c r="G216" s="2"/>
      <c r="H216" s="6">
        <v>173</v>
      </c>
      <c r="I216" s="2"/>
      <c r="J216" s="7">
        <f t="shared" si="79"/>
        <v>1.5199854095458351E-4</v>
      </c>
      <c r="K216" s="2"/>
      <c r="L216" s="6">
        <f t="shared" si="80"/>
        <v>7.6599999999999966</v>
      </c>
      <c r="M216" s="2"/>
      <c r="N216" s="7">
        <f t="shared" si="81"/>
        <v>4.4277456647398822E-2</v>
      </c>
      <c r="O216" s="11"/>
      <c r="P216" s="6">
        <v>541.98</v>
      </c>
      <c r="Q216" s="2"/>
      <c r="R216" s="7">
        <f t="shared" si="82"/>
        <v>1.3084972580164493E-4</v>
      </c>
      <c r="S216" s="2"/>
      <c r="T216" s="6">
        <v>519</v>
      </c>
      <c r="U216" s="2"/>
      <c r="V216" s="7">
        <f t="shared" si="83"/>
        <v>1.1402823683206041E-4</v>
      </c>
      <c r="W216" s="2"/>
      <c r="X216" s="6">
        <f t="shared" si="84"/>
        <v>22.980000000000018</v>
      </c>
      <c r="Y216" s="2"/>
      <c r="Z216" s="7">
        <f t="shared" si="85"/>
        <v>4.4277456647398877E-2</v>
      </c>
    </row>
    <row r="217" spans="1:26" s="24" customFormat="1" hidden="1" outlineLevel="2" x14ac:dyDescent="0.25">
      <c r="A217" s="28"/>
      <c r="B217" s="11" t="str">
        <f>CONCATENATE("          ", "6284", " - ", "TRASH REMOVAL EXPENSE")</f>
        <v xml:space="preserve">          6284 - TRASH REMOVAL EXPENSE</v>
      </c>
      <c r="C217" s="11"/>
      <c r="D217" s="6">
        <v>134.82</v>
      </c>
      <c r="E217" s="2"/>
      <c r="F217" s="7">
        <f t="shared" si="78"/>
        <v>1.2402267747574315E-4</v>
      </c>
      <c r="G217" s="2"/>
      <c r="H217" s="6">
        <v>121.46</v>
      </c>
      <c r="I217" s="2"/>
      <c r="J217" s="7">
        <f t="shared" si="79"/>
        <v>1.0671527621007926E-4</v>
      </c>
      <c r="K217" s="2"/>
      <c r="L217" s="6">
        <f t="shared" si="80"/>
        <v>13.36</v>
      </c>
      <c r="M217" s="2"/>
      <c r="N217" s="7">
        <f t="shared" si="81"/>
        <v>0.10999506010209123</v>
      </c>
      <c r="O217" s="11"/>
      <c r="P217" s="6">
        <v>404.46</v>
      </c>
      <c r="Q217" s="2"/>
      <c r="R217" s="7">
        <f t="shared" si="82"/>
        <v>9.7648400490300941E-5</v>
      </c>
      <c r="S217" s="2"/>
      <c r="T217" s="6">
        <v>364.38</v>
      </c>
      <c r="U217" s="2"/>
      <c r="V217" s="7">
        <f t="shared" si="83"/>
        <v>8.0057049974693975E-5</v>
      </c>
      <c r="W217" s="2"/>
      <c r="X217" s="6">
        <f t="shared" si="84"/>
        <v>40.079999999999984</v>
      </c>
      <c r="Y217" s="2"/>
      <c r="Z217" s="7">
        <f t="shared" si="85"/>
        <v>0.10999506010209117</v>
      </c>
    </row>
    <row r="218" spans="1:26" s="24" customFormat="1" hidden="1" outlineLevel="2" x14ac:dyDescent="0.25">
      <c r="A218" s="28"/>
      <c r="B218" s="11" t="str">
        <f>CONCATENATE("          ", "6285", " - ", "JANITORIAL SERVICES")</f>
        <v xml:space="preserve">          6285 - JANITORIAL SERVICES</v>
      </c>
      <c r="C218" s="11"/>
      <c r="D218" s="6">
        <v>3339.54</v>
      </c>
      <c r="E218" s="2"/>
      <c r="F218" s="7">
        <f t="shared" si="78"/>
        <v>3.072086428848415E-3</v>
      </c>
      <c r="G218" s="2"/>
      <c r="H218" s="6">
        <v>3827.63</v>
      </c>
      <c r="I218" s="2"/>
      <c r="J218" s="7">
        <f t="shared" si="79"/>
        <v>3.362972111641575E-3</v>
      </c>
      <c r="K218" s="2"/>
      <c r="L218" s="6">
        <f t="shared" si="80"/>
        <v>-488.09000000000015</v>
      </c>
      <c r="M218" s="2"/>
      <c r="N218" s="7">
        <f t="shared" si="81"/>
        <v>-0.12751755002442769</v>
      </c>
      <c r="O218" s="11"/>
      <c r="P218" s="6">
        <v>11481.25</v>
      </c>
      <c r="Q218" s="2"/>
      <c r="R218" s="7">
        <f t="shared" si="82"/>
        <v>2.77190747695512E-3</v>
      </c>
      <c r="S218" s="2"/>
      <c r="T218" s="6">
        <v>11506.16</v>
      </c>
      <c r="U218" s="2"/>
      <c r="V218" s="7">
        <f t="shared" si="83"/>
        <v>2.5279906310357999E-3</v>
      </c>
      <c r="W218" s="2"/>
      <c r="X218" s="6">
        <f t="shared" si="84"/>
        <v>-24.909999999999854</v>
      </c>
      <c r="Y218" s="2"/>
      <c r="Z218" s="7">
        <f t="shared" si="85"/>
        <v>-2.1649273085025634E-3</v>
      </c>
    </row>
    <row r="219" spans="1:26" s="29" customFormat="1" outlineLevel="1" collapsed="1" x14ac:dyDescent="0.25">
      <c r="A219" s="27"/>
      <c r="B219" s="14" t="str">
        <f>CONCATENATE("     ","Subscriptions &amp; Dues                              ")</f>
        <v xml:space="preserve">     Subscriptions &amp; Dues                              </v>
      </c>
      <c r="C219" s="14"/>
      <c r="D219" s="1">
        <f>SUM(OSRRefD22_19x_0)</f>
        <v>706.62</v>
      </c>
      <c r="E219" s="1"/>
      <c r="F219" s="5">
        <f t="shared" ref="F219:F221" si="86">IF(D$12=0,0,D219/D$12)</f>
        <v>6.5002895978274469E-4</v>
      </c>
      <c r="G219" s="1"/>
      <c r="H219" s="1">
        <f>SUM(OSRRefH22_19x_0)</f>
        <v>644.96</v>
      </c>
      <c r="I219" s="1"/>
      <c r="J219" s="5">
        <f t="shared" ref="J219:J221" si="87">IF(H$12=0,0,H219/H$12)</f>
        <v>5.6666461834721494E-4</v>
      </c>
      <c r="K219" s="1"/>
      <c r="L219" s="1">
        <f t="shared" ref="L219:L221" si="88">+D219-H219</f>
        <v>61.659999999999968</v>
      </c>
      <c r="M219" s="1"/>
      <c r="N219" s="5">
        <f t="shared" ref="N219:N221" si="89">IF(H219=0,0,L219/H219)</f>
        <v>9.5602828082361646E-2</v>
      </c>
      <c r="O219" s="14"/>
      <c r="P219" s="1">
        <f>SUM(OSRRefP22_19x_0)</f>
        <v>1698.85</v>
      </c>
      <c r="Q219" s="1"/>
      <c r="R219" s="5">
        <f t="shared" ref="R219:R221" si="90">IF(P$12=0,0,P219/P$12)</f>
        <v>4.1015177068918498E-4</v>
      </c>
      <c r="S219" s="1"/>
      <c r="T219" s="1">
        <f>SUM(OSRRefT22_19x_0)</f>
        <v>2079.73</v>
      </c>
      <c r="U219" s="1"/>
      <c r="V219" s="5">
        <f t="shared" ref="V219:V221" si="91">IF(T$12=0,0,T219/T$12)</f>
        <v>4.5693245662185161E-4</v>
      </c>
      <c r="W219" s="1"/>
      <c r="X219" s="1">
        <f t="shared" ref="X219:X221" si="92">+P219-T219</f>
        <v>-380.88000000000011</v>
      </c>
      <c r="Y219" s="1"/>
      <c r="Z219" s="5">
        <f t="shared" ref="Z219:Z221" si="93">IF(T219=0,0,X219/T219)</f>
        <v>-0.18313915748678919</v>
      </c>
    </row>
    <row r="220" spans="1:26" s="24" customFormat="1" hidden="1" outlineLevel="2" x14ac:dyDescent="0.25">
      <c r="A220" s="28"/>
      <c r="B220" s="11" t="str">
        <f>CONCATENATE("          ", "6258", " - ", "MEMBERSHIP DUES")</f>
        <v xml:space="preserve">          6258 - MEMBERSHIP DUES</v>
      </c>
      <c r="C220" s="11"/>
      <c r="D220" s="6">
        <v>250</v>
      </c>
      <c r="E220" s="2"/>
      <c r="F220" s="7">
        <f t="shared" si="86"/>
        <v>2.2997826263859806E-4</v>
      </c>
      <c r="G220" s="2"/>
      <c r="H220" s="6">
        <v>370</v>
      </c>
      <c r="I220" s="2"/>
      <c r="J220" s="7">
        <f t="shared" si="87"/>
        <v>3.2508358470055435E-4</v>
      </c>
      <c r="K220" s="2"/>
      <c r="L220" s="6">
        <f t="shared" si="88"/>
        <v>-120</v>
      </c>
      <c r="M220" s="2"/>
      <c r="N220" s="7">
        <f t="shared" si="89"/>
        <v>-0.32432432432432434</v>
      </c>
      <c r="O220" s="11"/>
      <c r="P220" s="6">
        <v>908.85</v>
      </c>
      <c r="Q220" s="2"/>
      <c r="R220" s="7">
        <f t="shared" si="90"/>
        <v>2.1942280765863131E-4</v>
      </c>
      <c r="S220" s="2"/>
      <c r="T220" s="6">
        <v>892.1</v>
      </c>
      <c r="U220" s="2"/>
      <c r="V220" s="7">
        <f t="shared" si="91"/>
        <v>1.9600113695160133E-4</v>
      </c>
      <c r="W220" s="2"/>
      <c r="X220" s="6">
        <f t="shared" si="92"/>
        <v>16.75</v>
      </c>
      <c r="Y220" s="2"/>
      <c r="Z220" s="7">
        <f t="shared" si="93"/>
        <v>1.8775921981840599E-2</v>
      </c>
    </row>
    <row r="221" spans="1:26" s="24" customFormat="1" hidden="1" outlineLevel="2" x14ac:dyDescent="0.25">
      <c r="A221" s="28"/>
      <c r="B221" s="11" t="str">
        <f>CONCATENATE("          ", "6275", " - ", "SUBSCRIPTIONS")</f>
        <v xml:space="preserve">          6275 - SUBSCRIPTIONS</v>
      </c>
      <c r="C221" s="11"/>
      <c r="D221" s="6">
        <v>456.62</v>
      </c>
      <c r="E221" s="2"/>
      <c r="F221" s="7">
        <f t="shared" si="86"/>
        <v>4.200506971441466E-4</v>
      </c>
      <c r="G221" s="2"/>
      <c r="H221" s="6">
        <v>274.95999999999998</v>
      </c>
      <c r="I221" s="2"/>
      <c r="J221" s="7">
        <f t="shared" si="87"/>
        <v>2.4158103364666059E-4</v>
      </c>
      <c r="K221" s="2"/>
      <c r="L221" s="6">
        <f t="shared" si="88"/>
        <v>181.66000000000003</v>
      </c>
      <c r="M221" s="2"/>
      <c r="N221" s="7">
        <f t="shared" si="89"/>
        <v>0.66067791678789656</v>
      </c>
      <c r="O221" s="11"/>
      <c r="P221" s="6">
        <v>790</v>
      </c>
      <c r="Q221" s="2"/>
      <c r="R221" s="7">
        <f t="shared" si="90"/>
        <v>1.9072896303055369E-4</v>
      </c>
      <c r="S221" s="2"/>
      <c r="T221" s="6">
        <v>1187.6300000000001</v>
      </c>
      <c r="U221" s="2"/>
      <c r="V221" s="7">
        <f t="shared" si="91"/>
        <v>2.6093131967025034E-4</v>
      </c>
      <c r="W221" s="2"/>
      <c r="X221" s="6">
        <f t="shared" si="92"/>
        <v>-397.63000000000011</v>
      </c>
      <c r="Y221" s="2"/>
      <c r="Z221" s="7">
        <f t="shared" si="93"/>
        <v>-0.33480966294216219</v>
      </c>
    </row>
    <row r="222" spans="1:26" s="29" customFormat="1" outlineLevel="1" collapsed="1" x14ac:dyDescent="0.25">
      <c r="A222" s="27"/>
      <c r="B222" s="14" t="str">
        <f>CONCATENATE("     ","Supplies                                          ")</f>
        <v xml:space="preserve">     Supplies                                          </v>
      </c>
      <c r="C222" s="14"/>
      <c r="D222" s="1">
        <f>SUM(OSRRefD22_20x_0)</f>
        <v>19613.150000000001</v>
      </c>
      <c r="E222" s="1"/>
      <c r="F222" s="5">
        <f t="shared" ref="F222:F228" si="94">IF(D$12=0,0,D222/D$12)</f>
        <v>1.8042392647480879E-2</v>
      </c>
      <c r="G222" s="1"/>
      <c r="H222" s="1">
        <f>SUM(OSRRefH22_20x_0)</f>
        <v>17145.580000000002</v>
      </c>
      <c r="I222" s="1"/>
      <c r="J222" s="5">
        <f t="shared" ref="J222:J228" si="95">IF(H$12=0,0,H222/H$12)</f>
        <v>1.5064180022081436E-2</v>
      </c>
      <c r="K222" s="1"/>
      <c r="L222" s="1">
        <f t="shared" ref="L222:L228" si="96">+D222-H222</f>
        <v>2467.5699999999997</v>
      </c>
      <c r="M222" s="1"/>
      <c r="N222" s="5">
        <f t="shared" ref="N222:N228" si="97">IF(H222=0,0,L222/H222)</f>
        <v>0.14391872424263277</v>
      </c>
      <c r="O222" s="14"/>
      <c r="P222" s="1">
        <f>SUM(OSRRefP22_20x_0)</f>
        <v>32061.97</v>
      </c>
      <c r="Q222" s="1"/>
      <c r="R222" s="5">
        <f t="shared" ref="R222:R228" si="98">IF(P$12=0,0,P222/P$12)</f>
        <v>7.7406915073629399E-3</v>
      </c>
      <c r="S222" s="1"/>
      <c r="T222" s="1">
        <f>SUM(OSRRefT22_20x_0)</f>
        <v>48680.179999999993</v>
      </c>
      <c r="U222" s="1"/>
      <c r="V222" s="5">
        <f t="shared" ref="V222:V228" si="99">IF(T$12=0,0,T222/T$12)</f>
        <v>1.069540480552472E-2</v>
      </c>
      <c r="W222" s="1"/>
      <c r="X222" s="1">
        <f t="shared" ref="X222:X228" si="100">+P222-T222</f>
        <v>-16618.209999999992</v>
      </c>
      <c r="Y222" s="1"/>
      <c r="Z222" s="5">
        <f t="shared" ref="Z222:Z228" si="101">IF(T222=0,0,X222/T222)</f>
        <v>-0.34137527839872395</v>
      </c>
    </row>
    <row r="223" spans="1:26" s="24" customFormat="1" hidden="1" outlineLevel="2" x14ac:dyDescent="0.25">
      <c r="A223" s="28"/>
      <c r="B223" s="11" t="str">
        <f>CONCATENATE("          ", "6234", " - ", "EXPENDABLE SUPPLIES &amp; EQUIPMEN")</f>
        <v xml:space="preserve">          6234 - EXPENDABLE SUPPLIES &amp; EQUIPMEN</v>
      </c>
      <c r="C223" s="11"/>
      <c r="D223" s="6"/>
      <c r="E223" s="2"/>
      <c r="F223" s="7">
        <f t="shared" si="94"/>
        <v>0</v>
      </c>
      <c r="G223" s="2"/>
      <c r="H223" s="6"/>
      <c r="I223" s="2"/>
      <c r="J223" s="7">
        <f t="shared" si="95"/>
        <v>0</v>
      </c>
      <c r="K223" s="2"/>
      <c r="L223" s="6">
        <f t="shared" si="96"/>
        <v>0</v>
      </c>
      <c r="M223" s="2"/>
      <c r="N223" s="7">
        <f t="shared" si="97"/>
        <v>0</v>
      </c>
      <c r="O223" s="11"/>
      <c r="P223" s="6">
        <v>1716.1</v>
      </c>
      <c r="Q223" s="2"/>
      <c r="R223" s="7">
        <f t="shared" si="98"/>
        <v>4.1431642209713065E-4</v>
      </c>
      <c r="S223" s="2"/>
      <c r="T223" s="6">
        <v>1213.8900000000001</v>
      </c>
      <c r="U223" s="2"/>
      <c r="V223" s="7">
        <f t="shared" si="99"/>
        <v>2.6670084086333299E-4</v>
      </c>
      <c r="W223" s="2"/>
      <c r="X223" s="6">
        <f t="shared" si="100"/>
        <v>502.20999999999981</v>
      </c>
      <c r="Y223" s="2"/>
      <c r="Z223" s="7">
        <f t="shared" si="101"/>
        <v>0.41371952977617393</v>
      </c>
    </row>
    <row r="224" spans="1:26" s="24" customFormat="1" hidden="1" outlineLevel="2" x14ac:dyDescent="0.25">
      <c r="A224" s="28"/>
      <c r="B224" s="11" t="str">
        <f>CONCATENATE("          ", "6237", " - ", "JANITORIAL SUPPLIES")</f>
        <v xml:space="preserve">          6237 - JANITORIAL SUPPLIES</v>
      </c>
      <c r="C224" s="11"/>
      <c r="D224" s="6">
        <v>1088.21</v>
      </c>
      <c r="E224" s="2"/>
      <c r="F224" s="7">
        <f t="shared" si="94"/>
        <v>1.0010585807437953E-3</v>
      </c>
      <c r="G224" s="2"/>
      <c r="H224" s="6">
        <v>124.76</v>
      </c>
      <c r="I224" s="2"/>
      <c r="J224" s="7">
        <f t="shared" si="95"/>
        <v>1.0961467034389503E-4</v>
      </c>
      <c r="K224" s="2"/>
      <c r="L224" s="6">
        <f t="shared" si="96"/>
        <v>963.45</v>
      </c>
      <c r="M224" s="2"/>
      <c r="N224" s="7">
        <f t="shared" si="97"/>
        <v>7.7224270599551135</v>
      </c>
      <c r="O224" s="11"/>
      <c r="P224" s="6">
        <v>1863.61</v>
      </c>
      <c r="Q224" s="2"/>
      <c r="R224" s="7">
        <f t="shared" si="98"/>
        <v>4.4992962378907617E-4</v>
      </c>
      <c r="S224" s="2"/>
      <c r="T224" s="6">
        <v>1311.78</v>
      </c>
      <c r="U224" s="2"/>
      <c r="V224" s="7">
        <f t="shared" si="99"/>
        <v>2.8820801639992333E-4</v>
      </c>
      <c r="W224" s="2"/>
      <c r="X224" s="6">
        <f t="shared" si="100"/>
        <v>551.82999999999993</v>
      </c>
      <c r="Y224" s="2"/>
      <c r="Z224" s="7">
        <f t="shared" si="101"/>
        <v>0.42067267377151651</v>
      </c>
    </row>
    <row r="225" spans="1:26" s="24" customFormat="1" hidden="1" outlineLevel="2" x14ac:dyDescent="0.25">
      <c r="A225" s="28"/>
      <c r="B225" s="11" t="str">
        <f>CONCATENATE("          ", "6241", " - ", "OFFICE EXPENSE")</f>
        <v xml:space="preserve">          6241 - OFFICE EXPENSE</v>
      </c>
      <c r="C225" s="11"/>
      <c r="D225" s="6">
        <v>2754.87</v>
      </c>
      <c r="E225" s="2"/>
      <c r="F225" s="7">
        <f t="shared" si="94"/>
        <v>2.5342408655807786E-3</v>
      </c>
      <c r="G225" s="2"/>
      <c r="H225" s="6">
        <v>575.03</v>
      </c>
      <c r="I225" s="2"/>
      <c r="J225" s="7">
        <f t="shared" si="95"/>
        <v>5.0522382083881018E-4</v>
      </c>
      <c r="K225" s="2"/>
      <c r="L225" s="6">
        <f t="shared" si="96"/>
        <v>2179.84</v>
      </c>
      <c r="M225" s="2"/>
      <c r="N225" s="7">
        <f t="shared" si="97"/>
        <v>3.7908283046101947</v>
      </c>
      <c r="O225" s="11"/>
      <c r="P225" s="6">
        <v>9772.3799999999992</v>
      </c>
      <c r="Q225" s="2"/>
      <c r="R225" s="7">
        <f t="shared" si="98"/>
        <v>2.3593365870133195E-3</v>
      </c>
      <c r="S225" s="2"/>
      <c r="T225" s="6">
        <v>7212.22</v>
      </c>
      <c r="U225" s="2"/>
      <c r="V225" s="7">
        <f t="shared" si="99"/>
        <v>1.5845794417050534E-3</v>
      </c>
      <c r="W225" s="2"/>
      <c r="X225" s="6">
        <f t="shared" si="100"/>
        <v>2560.1599999999989</v>
      </c>
      <c r="Y225" s="2"/>
      <c r="Z225" s="7">
        <f t="shared" si="101"/>
        <v>0.35497530580043302</v>
      </c>
    </row>
    <row r="226" spans="1:26" s="24" customFormat="1" hidden="1" outlineLevel="2" x14ac:dyDescent="0.25">
      <c r="A226" s="28"/>
      <c r="B226" s="11" t="str">
        <f>CONCATENATE("          ", "6243", " - ", "PAPER SUPPLIES")</f>
        <v xml:space="preserve">          6243 - PAPER SUPPLIES</v>
      </c>
      <c r="C226" s="11"/>
      <c r="D226" s="6">
        <v>318.66000000000003</v>
      </c>
      <c r="E226" s="2"/>
      <c r="F226" s="7">
        <f t="shared" si="94"/>
        <v>2.9313949268966265E-4</v>
      </c>
      <c r="G226" s="2"/>
      <c r="H226" s="6">
        <v>6071.85</v>
      </c>
      <c r="I226" s="2"/>
      <c r="J226" s="7">
        <f t="shared" si="95"/>
        <v>5.3347534155785432E-3</v>
      </c>
      <c r="K226" s="2"/>
      <c r="L226" s="6">
        <f t="shared" si="96"/>
        <v>-5753.1900000000005</v>
      </c>
      <c r="M226" s="2"/>
      <c r="N226" s="7">
        <f t="shared" si="97"/>
        <v>-0.94751846636527581</v>
      </c>
      <c r="O226" s="11"/>
      <c r="P226" s="6">
        <v>2976.95</v>
      </c>
      <c r="Q226" s="2"/>
      <c r="R226" s="7">
        <f t="shared" si="98"/>
        <v>7.1872226138456556E-4</v>
      </c>
      <c r="S226" s="2"/>
      <c r="T226" s="6">
        <v>8354.14</v>
      </c>
      <c r="U226" s="2"/>
      <c r="V226" s="7">
        <f t="shared" si="99"/>
        <v>1.8354679276458364E-3</v>
      </c>
      <c r="W226" s="2"/>
      <c r="X226" s="6">
        <f t="shared" si="100"/>
        <v>-5377.19</v>
      </c>
      <c r="Y226" s="2"/>
      <c r="Z226" s="7">
        <f t="shared" si="101"/>
        <v>-0.643655720397312</v>
      </c>
    </row>
    <row r="227" spans="1:26" s="24" customFormat="1" hidden="1" outlineLevel="2" x14ac:dyDescent="0.25">
      <c r="A227" s="28"/>
      <c r="B227" s="11" t="str">
        <f>CONCATENATE("          ", "6245", " - ", "PRINTING")</f>
        <v xml:space="preserve">          6245 - PRINTING</v>
      </c>
      <c r="C227" s="11"/>
      <c r="D227" s="6">
        <v>254.9</v>
      </c>
      <c r="E227" s="2"/>
      <c r="F227" s="7">
        <f t="shared" si="94"/>
        <v>2.3448583658631459E-4</v>
      </c>
      <c r="G227" s="2"/>
      <c r="H227" s="6">
        <v>3902.94</v>
      </c>
      <c r="I227" s="2"/>
      <c r="J227" s="7">
        <f t="shared" si="95"/>
        <v>3.4291398001923827E-3</v>
      </c>
      <c r="K227" s="2"/>
      <c r="L227" s="6">
        <f t="shared" si="96"/>
        <v>-3648.04</v>
      </c>
      <c r="M227" s="2"/>
      <c r="N227" s="7">
        <f t="shared" si="97"/>
        <v>-0.93469025913798309</v>
      </c>
      <c r="O227" s="11"/>
      <c r="P227" s="6">
        <v>5240.01</v>
      </c>
      <c r="Q227" s="2"/>
      <c r="R227" s="7">
        <f t="shared" si="98"/>
        <v>1.2650907260376351E-3</v>
      </c>
      <c r="S227" s="2"/>
      <c r="T227" s="6">
        <v>5678.39</v>
      </c>
      <c r="U227" s="2"/>
      <c r="V227" s="7">
        <f t="shared" si="99"/>
        <v>1.2475853559630126E-3</v>
      </c>
      <c r="W227" s="2"/>
      <c r="X227" s="6">
        <f t="shared" si="100"/>
        <v>-438.38000000000011</v>
      </c>
      <c r="Y227" s="2"/>
      <c r="Z227" s="7">
        <f t="shared" si="101"/>
        <v>-7.7201460273070371E-2</v>
      </c>
    </row>
    <row r="228" spans="1:26" s="24" customFormat="1" hidden="1" outlineLevel="2" x14ac:dyDescent="0.25">
      <c r="A228" s="28"/>
      <c r="B228" s="11" t="str">
        <f>CONCATENATE("          ", "6247", " - ", "STORE SUPPLIES")</f>
        <v xml:space="preserve">          6247 - STORE SUPPLIES</v>
      </c>
      <c r="C228" s="11"/>
      <c r="D228" s="6">
        <v>15196.510000000002</v>
      </c>
      <c r="E228" s="2"/>
      <c r="F228" s="7">
        <f t="shared" si="94"/>
        <v>1.3979467871880329E-2</v>
      </c>
      <c r="G228" s="2"/>
      <c r="H228" s="6">
        <v>6471</v>
      </c>
      <c r="I228" s="2"/>
      <c r="J228" s="7">
        <f t="shared" si="95"/>
        <v>5.6854483151278033E-3</v>
      </c>
      <c r="K228" s="2"/>
      <c r="L228" s="6">
        <f t="shared" si="96"/>
        <v>8725.510000000002</v>
      </c>
      <c r="M228" s="2"/>
      <c r="N228" s="7">
        <f t="shared" si="97"/>
        <v>1.3484021016844385</v>
      </c>
      <c r="O228" s="11"/>
      <c r="P228" s="6">
        <v>10492.92</v>
      </c>
      <c r="Q228" s="2"/>
      <c r="R228" s="7">
        <f t="shared" si="98"/>
        <v>2.5332958870412123E-3</v>
      </c>
      <c r="S228" s="2"/>
      <c r="T228" s="6">
        <v>24909.759999999998</v>
      </c>
      <c r="U228" s="2"/>
      <c r="V228" s="7">
        <f t="shared" si="99"/>
        <v>5.472863222947562E-3</v>
      </c>
      <c r="W228" s="2"/>
      <c r="X228" s="6">
        <f t="shared" si="100"/>
        <v>-14416.839999999998</v>
      </c>
      <c r="Y228" s="2"/>
      <c r="Z228" s="7">
        <f t="shared" si="101"/>
        <v>-0.57876270184859269</v>
      </c>
    </row>
    <row r="229" spans="1:26" s="29" customFormat="1" outlineLevel="1" collapsed="1" x14ac:dyDescent="0.25">
      <c r="A229" s="27"/>
      <c r="B229" s="14" t="str">
        <f>CONCATENATE("     ","Telephone/Data Lines                              ")</f>
        <v xml:space="preserve">     Telephone/Data Lines                              </v>
      </c>
      <c r="C229" s="14"/>
      <c r="D229" s="1">
        <f>SUM(OSRRefD22_21x_0)</f>
        <v>5999.03</v>
      </c>
      <c r="E229" s="1"/>
      <c r="F229" s="5">
        <f t="shared" ref="F229:F231" si="102">IF(D$12=0,0,D229/D$12)</f>
        <v>5.5185859876673155E-3</v>
      </c>
      <c r="G229" s="1"/>
      <c r="H229" s="1">
        <f>SUM(OSRRefH22_21x_0)</f>
        <v>4354.8500000000004</v>
      </c>
      <c r="I229" s="1"/>
      <c r="J229" s="5">
        <f t="shared" ref="J229:J231" si="103">IF(H$12=0,0,H229/H$12)</f>
        <v>3.8261898617113761E-3</v>
      </c>
      <c r="K229" s="1"/>
      <c r="L229" s="1">
        <f t="shared" ref="L229:L231" si="104">+D229-H229</f>
        <v>1644.1799999999994</v>
      </c>
      <c r="M229" s="1"/>
      <c r="N229" s="5">
        <f t="shared" ref="N229:N231" si="105">IF(H229=0,0,L229/H229)</f>
        <v>0.37755146560731123</v>
      </c>
      <c r="O229" s="14"/>
      <c r="P229" s="1">
        <f>SUM(OSRRefP22_21x_0)</f>
        <v>10416.4</v>
      </c>
      <c r="Q229" s="1"/>
      <c r="R229" s="5">
        <f t="shared" ref="R229:R231" si="106">IF(P$12=0,0,P229/P$12)</f>
        <v>2.5148217348246325E-3</v>
      </c>
      <c r="S229" s="1"/>
      <c r="T229" s="1">
        <f>SUM(OSRRefT22_21x_0)</f>
        <v>9379.2999999999993</v>
      </c>
      <c r="U229" s="1"/>
      <c r="V229" s="5">
        <f t="shared" ref="V229:V231" si="107">IF(T$12=0,0,T229/T$12)</f>
        <v>2.060703355913187E-3</v>
      </c>
      <c r="W229" s="1"/>
      <c r="X229" s="1">
        <f t="shared" ref="X229:X231" si="108">+P229-T229</f>
        <v>1037.1000000000004</v>
      </c>
      <c r="Y229" s="1"/>
      <c r="Z229" s="5">
        <f t="shared" ref="Z229:Z231" si="109">IF(T229=0,0,X229/T229)</f>
        <v>0.11057328372053356</v>
      </c>
    </row>
    <row r="230" spans="1:26" s="24" customFormat="1" hidden="1" outlineLevel="2" x14ac:dyDescent="0.25">
      <c r="A230" s="28"/>
      <c r="B230" s="11" t="str">
        <f>CONCATENATE("          ", "6303", " - ", "DATA PHONE LINES")</f>
        <v xml:space="preserve">          6303 - DATA PHONE LINES</v>
      </c>
      <c r="C230" s="11"/>
      <c r="D230" s="6">
        <v>295</v>
      </c>
      <c r="E230" s="2"/>
      <c r="F230" s="7">
        <f t="shared" si="102"/>
        <v>2.7137434991354568E-4</v>
      </c>
      <c r="G230" s="2"/>
      <c r="H230" s="6"/>
      <c r="I230" s="2"/>
      <c r="J230" s="7">
        <f t="shared" si="103"/>
        <v>0</v>
      </c>
      <c r="K230" s="2"/>
      <c r="L230" s="6">
        <f t="shared" si="104"/>
        <v>295</v>
      </c>
      <c r="M230" s="2"/>
      <c r="N230" s="7">
        <f t="shared" si="105"/>
        <v>0</v>
      </c>
      <c r="O230" s="11"/>
      <c r="P230" s="6">
        <v>885</v>
      </c>
      <c r="Q230" s="2"/>
      <c r="R230" s="7">
        <f t="shared" si="106"/>
        <v>2.136647244076456E-4</v>
      </c>
      <c r="S230" s="2"/>
      <c r="T230" s="6">
        <v>590</v>
      </c>
      <c r="U230" s="2"/>
      <c r="V230" s="7">
        <f t="shared" si="107"/>
        <v>1.2962747539675459E-4</v>
      </c>
      <c r="W230" s="2"/>
      <c r="X230" s="6">
        <f t="shared" si="108"/>
        <v>295</v>
      </c>
      <c r="Y230" s="2"/>
      <c r="Z230" s="7">
        <f t="shared" si="109"/>
        <v>0.5</v>
      </c>
    </row>
    <row r="231" spans="1:26" s="24" customFormat="1" hidden="1" outlineLevel="2" x14ac:dyDescent="0.25">
      <c r="A231" s="28"/>
      <c r="B231" s="11" t="str">
        <f>CONCATENATE("          ", "6309", " - ", "TELEPHONE")</f>
        <v xml:space="preserve">          6309 - TELEPHONE</v>
      </c>
      <c r="C231" s="11"/>
      <c r="D231" s="6">
        <v>5704.03</v>
      </c>
      <c r="E231" s="2"/>
      <c r="F231" s="7">
        <f t="shared" si="102"/>
        <v>5.2472116377537698E-3</v>
      </c>
      <c r="G231" s="2"/>
      <c r="H231" s="6">
        <v>4354.8500000000004</v>
      </c>
      <c r="I231" s="2"/>
      <c r="J231" s="7">
        <f t="shared" si="103"/>
        <v>3.8261898617113761E-3</v>
      </c>
      <c r="K231" s="2"/>
      <c r="L231" s="6">
        <f t="shared" si="104"/>
        <v>1349.1799999999994</v>
      </c>
      <c r="M231" s="2"/>
      <c r="N231" s="7">
        <f t="shared" si="105"/>
        <v>0.30981090049025783</v>
      </c>
      <c r="O231" s="11"/>
      <c r="P231" s="6">
        <v>9531.4</v>
      </c>
      <c r="Q231" s="2"/>
      <c r="R231" s="7">
        <f t="shared" si="106"/>
        <v>2.3011570104169866E-3</v>
      </c>
      <c r="S231" s="2"/>
      <c r="T231" s="6">
        <v>8789.2999999999993</v>
      </c>
      <c r="U231" s="2"/>
      <c r="V231" s="7">
        <f t="shared" si="107"/>
        <v>1.9310758805164325E-3</v>
      </c>
      <c r="W231" s="2"/>
      <c r="X231" s="6">
        <f t="shared" si="108"/>
        <v>742.10000000000036</v>
      </c>
      <c r="Y231" s="2"/>
      <c r="Z231" s="7">
        <f t="shared" si="109"/>
        <v>8.44322073430194E-2</v>
      </c>
    </row>
    <row r="232" spans="1:26" s="29" customFormat="1" outlineLevel="1" collapsed="1" x14ac:dyDescent="0.25">
      <c r="A232" s="27"/>
      <c r="B232" s="14" t="str">
        <f>CONCATENATE("     ","Training                                          ")</f>
        <v xml:space="preserve">     Training                                          </v>
      </c>
      <c r="C232" s="14"/>
      <c r="D232" s="1">
        <f>SUM(OSRRefD22_22x_0)</f>
        <v>-4902.29</v>
      </c>
      <c r="E232" s="1"/>
      <c r="F232" s="5">
        <f t="shared" ref="F232:F237" si="110">IF(D$12=0,0,D232/D$12)</f>
        <v>-4.5096805486022915E-3</v>
      </c>
      <c r="G232" s="1"/>
      <c r="H232" s="1">
        <f>SUM(OSRRefH22_22x_0)</f>
        <v>1679.65</v>
      </c>
      <c r="I232" s="1"/>
      <c r="J232" s="5">
        <f t="shared" ref="J232:J237" si="111">IF(H$12=0,0,H232/H$12)</f>
        <v>1.4757476838980707E-3</v>
      </c>
      <c r="K232" s="1"/>
      <c r="L232" s="1">
        <f t="shared" ref="L232:L237" si="112">+D232-H232</f>
        <v>-6581.9400000000005</v>
      </c>
      <c r="M232" s="1"/>
      <c r="N232" s="5">
        <f t="shared" ref="N232:N237" si="113">IF(H232=0,0,L232/H232)</f>
        <v>-3.9186378114488138</v>
      </c>
      <c r="O232" s="14"/>
      <c r="P232" s="1">
        <f>SUM(OSRRefP22_22x_0)</f>
        <v>2420.2399999999998</v>
      </c>
      <c r="Q232" s="1"/>
      <c r="R232" s="5">
        <f t="shared" ref="R232:R237" si="114">IF(P$12=0,0,P232/P$12)</f>
        <v>5.843162854241358E-4</v>
      </c>
      <c r="S232" s="1"/>
      <c r="T232" s="1">
        <f>SUM(OSRRefT22_22x_0)</f>
        <v>-175.26</v>
      </c>
      <c r="U232" s="1"/>
      <c r="V232" s="5">
        <f t="shared" ref="V232:V237" si="115">IF(T$12=0,0,T232/T$12)</f>
        <v>-3.850595142039866E-5</v>
      </c>
      <c r="W232" s="1"/>
      <c r="X232" s="1">
        <f t="shared" ref="X232:X237" si="116">+P232-T232</f>
        <v>2595.5</v>
      </c>
      <c r="Y232" s="1"/>
      <c r="Z232" s="5">
        <f t="shared" ref="Z232:Z237" si="117">IF(T232=0,0,X232/T232)</f>
        <v>-14.809425995663586</v>
      </c>
    </row>
    <row r="233" spans="1:26" s="24" customFormat="1" hidden="1" outlineLevel="2" x14ac:dyDescent="0.25">
      <c r="A233" s="28"/>
      <c r="B233" s="11" t="str">
        <f>CONCATENATE("          ", "6376", " - ", "TRAINING")</f>
        <v xml:space="preserve">          6376 - TRAINING</v>
      </c>
      <c r="C233" s="11"/>
      <c r="D233" s="6">
        <v>-4902.29</v>
      </c>
      <c r="E233" s="2"/>
      <c r="F233" s="7">
        <f t="shared" si="110"/>
        <v>-4.5096805486022915E-3</v>
      </c>
      <c r="G233" s="2"/>
      <c r="H233" s="6">
        <v>1679.65</v>
      </c>
      <c r="I233" s="2"/>
      <c r="J233" s="7">
        <f t="shared" si="111"/>
        <v>1.4757476838980707E-3</v>
      </c>
      <c r="K233" s="2"/>
      <c r="L233" s="6">
        <f t="shared" si="112"/>
        <v>-6581.9400000000005</v>
      </c>
      <c r="M233" s="2"/>
      <c r="N233" s="7">
        <f t="shared" si="113"/>
        <v>-3.9186378114488138</v>
      </c>
      <c r="O233" s="11"/>
      <c r="P233" s="6">
        <v>2420.2399999999998</v>
      </c>
      <c r="Q233" s="2"/>
      <c r="R233" s="7">
        <f t="shared" si="114"/>
        <v>5.843162854241358E-4</v>
      </c>
      <c r="S233" s="2"/>
      <c r="T233" s="6">
        <v>-175.26</v>
      </c>
      <c r="U233" s="2"/>
      <c r="V233" s="7">
        <f t="shared" si="115"/>
        <v>-3.850595142039866E-5</v>
      </c>
      <c r="W233" s="2"/>
      <c r="X233" s="6">
        <f t="shared" si="116"/>
        <v>2595.5</v>
      </c>
      <c r="Y233" s="2"/>
      <c r="Z233" s="7">
        <f t="shared" si="117"/>
        <v>-14.809425995663586</v>
      </c>
    </row>
    <row r="234" spans="1:26" s="29" customFormat="1" outlineLevel="1" collapsed="1" x14ac:dyDescent="0.25">
      <c r="A234" s="27"/>
      <c r="B234" s="14" t="str">
        <f>CONCATENATE("     ","Travel                                            ")</f>
        <v xml:space="preserve">     Travel                                            </v>
      </c>
      <c r="C234" s="14"/>
      <c r="D234" s="1">
        <f>SUM(OSRRefD22_23x_0)</f>
        <v>207.82999999999998</v>
      </c>
      <c r="E234" s="1"/>
      <c r="F234" s="5">
        <f t="shared" si="110"/>
        <v>1.9118552929671932E-4</v>
      </c>
      <c r="G234" s="1"/>
      <c r="H234" s="1">
        <f>SUM(OSRRefH22_23x_0)</f>
        <v>193.42</v>
      </c>
      <c r="I234" s="1"/>
      <c r="J234" s="5">
        <f t="shared" si="111"/>
        <v>1.6993964041292221E-4</v>
      </c>
      <c r="K234" s="1"/>
      <c r="L234" s="1">
        <f t="shared" si="112"/>
        <v>14.409999999999997</v>
      </c>
      <c r="M234" s="1"/>
      <c r="N234" s="5">
        <f t="shared" si="113"/>
        <v>7.4501085720194385E-2</v>
      </c>
      <c r="O234" s="14"/>
      <c r="P234" s="1">
        <f>SUM(OSRRefP22_23x_0)</f>
        <v>613.86</v>
      </c>
      <c r="Q234" s="1"/>
      <c r="R234" s="5">
        <f t="shared" si="114"/>
        <v>1.4820364714675406E-4</v>
      </c>
      <c r="S234" s="1"/>
      <c r="T234" s="1">
        <f>SUM(OSRRefT22_23x_0)</f>
        <v>797.64</v>
      </c>
      <c r="U234" s="1"/>
      <c r="V234" s="5">
        <f t="shared" si="115"/>
        <v>1.7524755843299549E-4</v>
      </c>
      <c r="W234" s="1"/>
      <c r="X234" s="1">
        <f t="shared" si="116"/>
        <v>-183.77999999999997</v>
      </c>
      <c r="Y234" s="1"/>
      <c r="Z234" s="5">
        <f t="shared" si="117"/>
        <v>-0.23040469384684817</v>
      </c>
    </row>
    <row r="235" spans="1:26" s="24" customFormat="1" hidden="1" outlineLevel="2" x14ac:dyDescent="0.25">
      <c r="A235" s="28"/>
      <c r="B235" s="11" t="str">
        <f>CONCATENATE("          ", "6292", " - ", "TRAVEL/CONFERENCE")</f>
        <v xml:space="preserve">          6292 - TRAVEL/CONFERENCE</v>
      </c>
      <c r="C235" s="11"/>
      <c r="D235" s="6">
        <v>91.13</v>
      </c>
      <c r="E235" s="2"/>
      <c r="F235" s="7">
        <f t="shared" si="110"/>
        <v>8.3831676297021766E-5</v>
      </c>
      <c r="G235" s="2"/>
      <c r="H235" s="6">
        <v>115.39</v>
      </c>
      <c r="I235" s="2"/>
      <c r="J235" s="7">
        <f t="shared" si="111"/>
        <v>1.0138214821242423E-4</v>
      </c>
      <c r="K235" s="2"/>
      <c r="L235" s="6">
        <f t="shared" si="112"/>
        <v>-24.260000000000005</v>
      </c>
      <c r="M235" s="2"/>
      <c r="N235" s="7">
        <f t="shared" si="113"/>
        <v>-0.21024352196897483</v>
      </c>
      <c r="O235" s="11"/>
      <c r="P235" s="6">
        <v>341.77</v>
      </c>
      <c r="Q235" s="2"/>
      <c r="R235" s="7">
        <f t="shared" si="114"/>
        <v>8.2513212272091561E-5</v>
      </c>
      <c r="S235" s="2"/>
      <c r="T235" s="6">
        <v>468.87</v>
      </c>
      <c r="U235" s="2"/>
      <c r="V235" s="7">
        <f t="shared" si="115"/>
        <v>1.0301429557504464E-4</v>
      </c>
      <c r="W235" s="2"/>
      <c r="X235" s="6">
        <f t="shared" si="116"/>
        <v>-127.10000000000002</v>
      </c>
      <c r="Y235" s="2"/>
      <c r="Z235" s="7">
        <f t="shared" si="117"/>
        <v>-0.27107727088532008</v>
      </c>
    </row>
    <row r="236" spans="1:26" s="24" customFormat="1" hidden="1" outlineLevel="2" x14ac:dyDescent="0.25">
      <c r="A236" s="28"/>
      <c r="B236" s="11" t="str">
        <f>CONCATENATE("          ", "6294", " - ", "TRAVEL OPERATIONAL")</f>
        <v xml:space="preserve">          6294 - TRAVEL OPERATIONAL</v>
      </c>
      <c r="C236" s="11"/>
      <c r="D236" s="6">
        <v>33.43</v>
      </c>
      <c r="E236" s="2"/>
      <c r="F236" s="7">
        <f t="shared" si="110"/>
        <v>3.075269328003333E-5</v>
      </c>
      <c r="G236" s="2"/>
      <c r="H236" s="6">
        <v>55.81</v>
      </c>
      <c r="I236" s="2"/>
      <c r="J236" s="7">
        <f t="shared" si="111"/>
        <v>4.9034905032805241E-5</v>
      </c>
      <c r="K236" s="2"/>
      <c r="L236" s="6">
        <f t="shared" si="112"/>
        <v>-22.380000000000003</v>
      </c>
      <c r="M236" s="2"/>
      <c r="N236" s="7">
        <f t="shared" si="113"/>
        <v>-0.40100340440781224</v>
      </c>
      <c r="O236" s="11"/>
      <c r="P236" s="6">
        <v>102.1</v>
      </c>
      <c r="Q236" s="2"/>
      <c r="R236" s="7">
        <f t="shared" si="114"/>
        <v>2.464990775369561E-5</v>
      </c>
      <c r="S236" s="2"/>
      <c r="T236" s="6">
        <v>255.77</v>
      </c>
      <c r="U236" s="2"/>
      <c r="V236" s="7">
        <f t="shared" si="115"/>
        <v>5.6194609122420212E-5</v>
      </c>
      <c r="W236" s="2"/>
      <c r="X236" s="6">
        <f t="shared" si="116"/>
        <v>-153.67000000000002</v>
      </c>
      <c r="Y236" s="2"/>
      <c r="Z236" s="7">
        <f t="shared" si="117"/>
        <v>-0.6008132306369004</v>
      </c>
    </row>
    <row r="237" spans="1:26" s="24" customFormat="1" hidden="1" outlineLevel="2" x14ac:dyDescent="0.25">
      <c r="A237" s="28"/>
      <c r="B237" s="11" t="str">
        <f>CONCATENATE("          ", "6298", " - ", "VEHICLE MILEAGE")</f>
        <v xml:space="preserve">          6298 - VEHICLE MILEAGE</v>
      </c>
      <c r="C237" s="11"/>
      <c r="D237" s="6">
        <v>83.27</v>
      </c>
      <c r="E237" s="2"/>
      <c r="F237" s="7">
        <f t="shared" si="110"/>
        <v>7.6601159719664233E-5</v>
      </c>
      <c r="G237" s="2"/>
      <c r="H237" s="6">
        <v>22.22</v>
      </c>
      <c r="I237" s="2"/>
      <c r="J237" s="7">
        <f t="shared" si="111"/>
        <v>1.952258716769275E-5</v>
      </c>
      <c r="K237" s="2"/>
      <c r="L237" s="6">
        <f t="shared" si="112"/>
        <v>61.05</v>
      </c>
      <c r="M237" s="2"/>
      <c r="N237" s="7">
        <f t="shared" si="113"/>
        <v>2.7475247524752477</v>
      </c>
      <c r="O237" s="11"/>
      <c r="P237" s="6">
        <v>169.99</v>
      </c>
      <c r="Q237" s="2"/>
      <c r="R237" s="7">
        <f t="shared" si="114"/>
        <v>4.1040527120966871E-5</v>
      </c>
      <c r="S237" s="2"/>
      <c r="T237" s="6">
        <v>73</v>
      </c>
      <c r="U237" s="2"/>
      <c r="V237" s="7">
        <f t="shared" si="115"/>
        <v>1.6038653735530656E-5</v>
      </c>
      <c r="W237" s="2"/>
      <c r="X237" s="6">
        <f t="shared" si="116"/>
        <v>96.990000000000009</v>
      </c>
      <c r="Y237" s="2"/>
      <c r="Z237" s="7">
        <f t="shared" si="117"/>
        <v>1.3286301369863014</v>
      </c>
    </row>
    <row r="238" spans="1:26" s="29" customFormat="1" outlineLevel="1" collapsed="1" x14ac:dyDescent="0.25">
      <c r="A238" s="27"/>
      <c r="B238" s="14" t="str">
        <f>CONCATENATE("     ","Utilities                                         ")</f>
        <v xml:space="preserve">     Utilities                                         </v>
      </c>
      <c r="C238" s="14"/>
      <c r="D238" s="1">
        <f>SUM(OSRRefD22_24x_0)</f>
        <v>5648.02</v>
      </c>
      <c r="E238" s="1"/>
      <c r="F238" s="5">
        <f t="shared" ref="F238:F239" si="118">IF(D$12=0,0,D238/D$12)</f>
        <v>5.1956873077922188E-3</v>
      </c>
      <c r="G238" s="1"/>
      <c r="H238" s="1">
        <f>SUM(OSRRefH22_24x_0)</f>
        <v>4941.1899999999996</v>
      </c>
      <c r="I238" s="1"/>
      <c r="J238" s="5">
        <f t="shared" ref="J238:J239" si="119">IF(H$12=0,0,H238/H$12)</f>
        <v>4.3413506969906266E-3</v>
      </c>
      <c r="K238" s="1"/>
      <c r="L238" s="1">
        <f t="shared" ref="L238:L239" si="120">+D238-H238</f>
        <v>706.83000000000084</v>
      </c>
      <c r="M238" s="1"/>
      <c r="N238" s="5">
        <f t="shared" ref="N238:N239" si="121">IF(H238=0,0,L238/H238)</f>
        <v>0.14304853689091107</v>
      </c>
      <c r="O238" s="14"/>
      <c r="P238" s="1">
        <f>SUM(OSRRefP22_24x_0)</f>
        <v>11337.8</v>
      </c>
      <c r="Q238" s="1"/>
      <c r="R238" s="5">
        <f t="shared" ref="R238:R239" si="122">IF(P$12=0,0,P238/P$12)</f>
        <v>2.7372744772757112E-3</v>
      </c>
      <c r="S238" s="1"/>
      <c r="T238" s="1">
        <f>SUM(OSRRefT22_24x_0)</f>
        <v>16982.550000000003</v>
      </c>
      <c r="U238" s="1"/>
      <c r="V238" s="5">
        <f t="shared" ref="V238:V239" si="123">IF(T$12=0,0,T238/T$12)</f>
        <v>3.7311950547443311E-3</v>
      </c>
      <c r="W238" s="1"/>
      <c r="X238" s="1">
        <f t="shared" ref="X238:X239" si="124">+P238-T238</f>
        <v>-5644.7500000000036</v>
      </c>
      <c r="Y238" s="1"/>
      <c r="Z238" s="5">
        <f t="shared" ref="Z238:Z239" si="125">IF(T238=0,0,X238/T238)</f>
        <v>-0.33238530138289024</v>
      </c>
    </row>
    <row r="239" spans="1:26" s="24" customFormat="1" hidden="1" outlineLevel="2" x14ac:dyDescent="0.25">
      <c r="A239" s="28"/>
      <c r="B239" s="11" t="str">
        <f>CONCATENATE("          ", "6274", " - ", "UTILITIES")</f>
        <v xml:space="preserve">          6274 - UTILITIES</v>
      </c>
      <c r="C239" s="11"/>
      <c r="D239" s="6">
        <v>5648.02</v>
      </c>
      <c r="E239" s="2"/>
      <c r="F239" s="7">
        <f t="shared" si="118"/>
        <v>5.1956873077922188E-3</v>
      </c>
      <c r="G239" s="2"/>
      <c r="H239" s="6">
        <v>4941.1899999999996</v>
      </c>
      <c r="I239" s="2"/>
      <c r="J239" s="7">
        <f t="shared" si="119"/>
        <v>4.3413506969906266E-3</v>
      </c>
      <c r="K239" s="2"/>
      <c r="L239" s="6">
        <f t="shared" si="120"/>
        <v>706.83000000000084</v>
      </c>
      <c r="M239" s="2"/>
      <c r="N239" s="7">
        <f t="shared" si="121"/>
        <v>0.14304853689091107</v>
      </c>
      <c r="O239" s="11"/>
      <c r="P239" s="6">
        <v>11337.8</v>
      </c>
      <c r="Q239" s="2"/>
      <c r="R239" s="7">
        <f t="shared" si="122"/>
        <v>2.7372744772757112E-3</v>
      </c>
      <c r="S239" s="2"/>
      <c r="T239" s="6">
        <v>16982.550000000003</v>
      </c>
      <c r="U239" s="2"/>
      <c r="V239" s="7">
        <f t="shared" si="123"/>
        <v>3.7311950547443311E-3</v>
      </c>
      <c r="W239" s="2"/>
      <c r="X239" s="6">
        <f t="shared" si="124"/>
        <v>-5644.7500000000036</v>
      </c>
      <c r="Y239" s="2"/>
      <c r="Z239" s="7">
        <f t="shared" si="125"/>
        <v>-0.33238530138289024</v>
      </c>
    </row>
    <row r="240" spans="1:26" s="53" customFormat="1" x14ac:dyDescent="0.25">
      <c r="A240" s="37"/>
      <c r="B240" s="37"/>
      <c r="C240" s="37"/>
      <c r="D240" s="1"/>
      <c r="E240" s="1"/>
      <c r="F240" s="5"/>
      <c r="G240" s="1"/>
      <c r="H240" s="1"/>
      <c r="I240" s="1"/>
      <c r="J240" s="5"/>
      <c r="K240" s="1"/>
      <c r="L240" s="1"/>
      <c r="M240" s="1"/>
      <c r="N240" s="5"/>
      <c r="O240" s="37"/>
      <c r="P240" s="1"/>
      <c r="Q240" s="1"/>
      <c r="R240" s="5"/>
      <c r="S240" s="1"/>
      <c r="T240" s="1"/>
      <c r="U240" s="1"/>
      <c r="V240" s="5"/>
      <c r="W240" s="1"/>
      <c r="X240" s="1"/>
      <c r="Y240" s="1"/>
      <c r="Z240" s="5"/>
    </row>
    <row r="241" spans="1:26" s="23" customFormat="1" collapsed="1" x14ac:dyDescent="0.25">
      <c r="A241" s="10"/>
      <c r="B241" s="25" t="s">
        <v>0</v>
      </c>
      <c r="C241" s="10"/>
      <c r="D241" s="4">
        <f>SUM(OSRRefD25x_0)</f>
        <v>123340.45</v>
      </c>
      <c r="E241" s="4"/>
      <c r="F241" s="12">
        <f t="shared" ref="F241:F248" si="126">IF(D$12=0,0,D241/D$12)</f>
        <v>0.11346248961625148</v>
      </c>
      <c r="G241" s="4"/>
      <c r="H241" s="4">
        <f>SUM(OSRRefH25x_0)</f>
        <v>80495.14</v>
      </c>
      <c r="I241" s="4"/>
      <c r="J241" s="12">
        <f t="shared" ref="J241:J248" si="127">IF(H$12=0,0,H241/H$12)</f>
        <v>7.0723374762629673E-2</v>
      </c>
      <c r="K241" s="4"/>
      <c r="L241" s="4">
        <f t="shared" ref="L241:L248" si="128">+D241-H241</f>
        <v>42845.31</v>
      </c>
      <c r="M241" s="4"/>
      <c r="N241" s="12">
        <f t="shared" ref="N241:N248" si="129">IF(H241=0,0,L241/H241)</f>
        <v>0.53227201045926498</v>
      </c>
      <c r="O241" s="10"/>
      <c r="P241" s="4">
        <f>SUM(OSRRefP25x_0)</f>
        <v>244543.30000000002</v>
      </c>
      <c r="Q241" s="4"/>
      <c r="R241" s="12">
        <f t="shared" ref="R241:R248" si="130">IF(P$12=0,0,P241/P$12)</f>
        <v>5.9039860791227354E-2</v>
      </c>
      <c r="S241" s="4"/>
      <c r="T241" s="4">
        <f>SUM(OSRRefT25x_0)</f>
        <v>232657.56</v>
      </c>
      <c r="U241" s="4"/>
      <c r="V241" s="12">
        <f t="shared" ref="V241:V248" si="131">IF(T$12=0,0,T241/T$12)</f>
        <v>5.111663073689654E-2</v>
      </c>
      <c r="W241" s="4"/>
      <c r="X241" s="4">
        <f t="shared" ref="X241:X248" si="132">+P241-T241</f>
        <v>11885.74000000002</v>
      </c>
      <c r="Y241" s="4"/>
      <c r="Z241" s="12">
        <f t="shared" ref="Z241:Z248" si="133">IF(T241=0,0,X241/T241)</f>
        <v>5.1086841966364732E-2</v>
      </c>
    </row>
    <row r="242" spans="1:26" s="24" customFormat="1" hidden="1" outlineLevel="1" x14ac:dyDescent="0.25">
      <c r="A242" s="44"/>
      <c r="B242" s="11" t="str">
        <f>CONCATENATE("          ", "4098", " - ", "TAXABLE SALES-GRAD RENTALS")</f>
        <v xml:space="preserve">          4098 - TAXABLE SALES-GRAD RENTALS</v>
      </c>
      <c r="C242" s="11"/>
      <c r="D242" s="2">
        <f t="shared" ref="D242:D243" si="134">0</f>
        <v>0</v>
      </c>
      <c r="E242" s="2"/>
      <c r="F242" s="19">
        <f t="shared" si="126"/>
        <v>0</v>
      </c>
      <c r="G242" s="2"/>
      <c r="H242" s="2">
        <f>0</f>
        <v>0</v>
      </c>
      <c r="I242" s="2"/>
      <c r="J242" s="19">
        <f t="shared" si="127"/>
        <v>0</v>
      </c>
      <c r="K242" s="2"/>
      <c r="L242" s="2">
        <f t="shared" si="128"/>
        <v>0</v>
      </c>
      <c r="M242" s="2"/>
      <c r="N242" s="19">
        <f t="shared" si="129"/>
        <v>0</v>
      </c>
      <c r="O242" s="11"/>
      <c r="P242" s="2">
        <f>--1626.85</f>
        <v>1626.85</v>
      </c>
      <c r="Q242" s="2"/>
      <c r="R242" s="19">
        <f t="shared" si="130"/>
        <v>3.9276887785602061E-4</v>
      </c>
      <c r="S242" s="2"/>
      <c r="T242" s="2">
        <f>0</f>
        <v>0</v>
      </c>
      <c r="U242" s="2"/>
      <c r="V242" s="19">
        <f t="shared" si="131"/>
        <v>0</v>
      </c>
      <c r="W242" s="2"/>
      <c r="X242" s="2">
        <f t="shared" si="132"/>
        <v>1626.85</v>
      </c>
      <c r="Y242" s="2"/>
      <c r="Z242" s="19">
        <f t="shared" si="133"/>
        <v>0</v>
      </c>
    </row>
    <row r="243" spans="1:26" s="24" customFormat="1" hidden="1" outlineLevel="1" x14ac:dyDescent="0.25">
      <c r="A243" s="44"/>
      <c r="B243" s="11" t="str">
        <f>CONCATENATE("          ", "4197", " - ", "NON-TAXABLE SALES-RETURNED CHE")</f>
        <v xml:space="preserve">          4197 - NON-TAXABLE SALES-RETURNED CHE</v>
      </c>
      <c r="C243" s="11"/>
      <c r="D243" s="2">
        <f t="shared" si="134"/>
        <v>0</v>
      </c>
      <c r="E243" s="2"/>
      <c r="F243" s="19">
        <f t="shared" si="126"/>
        <v>0</v>
      </c>
      <c r="G243" s="2"/>
      <c r="H243" s="2">
        <f>--130</f>
        <v>130</v>
      </c>
      <c r="I243" s="2"/>
      <c r="J243" s="19">
        <f t="shared" si="127"/>
        <v>1.1421855678668125E-4</v>
      </c>
      <c r="K243" s="2"/>
      <c r="L243" s="2">
        <f t="shared" si="128"/>
        <v>-130</v>
      </c>
      <c r="M243" s="2"/>
      <c r="N243" s="19">
        <f t="shared" si="129"/>
        <v>-1</v>
      </c>
      <c r="O243" s="11"/>
      <c r="P243" s="2">
        <f>--30</f>
        <v>30</v>
      </c>
      <c r="Q243" s="2"/>
      <c r="R243" s="19">
        <f t="shared" si="130"/>
        <v>7.2428720138184953E-6</v>
      </c>
      <c r="S243" s="2"/>
      <c r="T243" s="2">
        <f>--250</f>
        <v>250</v>
      </c>
      <c r="U243" s="2"/>
      <c r="V243" s="19">
        <f t="shared" si="131"/>
        <v>5.4926896354557034E-5</v>
      </c>
      <c r="W243" s="2"/>
      <c r="X243" s="2">
        <f t="shared" si="132"/>
        <v>-220</v>
      </c>
      <c r="Y243" s="2"/>
      <c r="Z243" s="19">
        <f t="shared" si="133"/>
        <v>-0.88</v>
      </c>
    </row>
    <row r="244" spans="1:26" s="24" customFormat="1" hidden="1" outlineLevel="1" x14ac:dyDescent="0.25">
      <c r="A244" s="44"/>
      <c r="B244" s="11" t="str">
        <f>CONCATENATE("          ", "4198", " - ", "NON-TAXABLE SALES-GRAD RENTALS")</f>
        <v xml:space="preserve">          4198 - NON-TAXABLE SALES-GRAD RENTALS</v>
      </c>
      <c r="C244" s="11"/>
      <c r="D244" s="2">
        <f>--30</f>
        <v>30</v>
      </c>
      <c r="E244" s="2"/>
      <c r="F244" s="19">
        <f t="shared" si="126"/>
        <v>2.7597391516631768E-5</v>
      </c>
      <c r="G244" s="2"/>
      <c r="H244" s="2">
        <f>--30</f>
        <v>30</v>
      </c>
      <c r="I244" s="2"/>
      <c r="J244" s="19">
        <f t="shared" si="127"/>
        <v>2.6358128489234136E-5</v>
      </c>
      <c r="K244" s="2"/>
      <c r="L244" s="2">
        <f t="shared" si="128"/>
        <v>0</v>
      </c>
      <c r="M244" s="2"/>
      <c r="N244" s="19">
        <f t="shared" si="129"/>
        <v>0</v>
      </c>
      <c r="O244" s="11"/>
      <c r="P244" s="2">
        <f>--495</f>
        <v>495</v>
      </c>
      <c r="Q244" s="2"/>
      <c r="R244" s="19">
        <f t="shared" si="130"/>
        <v>1.1950738822800517E-4</v>
      </c>
      <c r="S244" s="2"/>
      <c r="T244" s="2">
        <f>--435</f>
        <v>435</v>
      </c>
      <c r="U244" s="2"/>
      <c r="V244" s="19">
        <f t="shared" si="131"/>
        <v>9.5572799656929241E-5</v>
      </c>
      <c r="W244" s="2"/>
      <c r="X244" s="2">
        <f t="shared" si="132"/>
        <v>60</v>
      </c>
      <c r="Y244" s="2"/>
      <c r="Z244" s="19">
        <f t="shared" si="133"/>
        <v>0.13793103448275862</v>
      </c>
    </row>
    <row r="245" spans="1:26" s="24" customFormat="1" hidden="1" outlineLevel="1" x14ac:dyDescent="0.25">
      <c r="A245" s="44"/>
      <c r="B245" s="11" t="str">
        <f>CONCATENATE("          ", "9150", " - ", "MISC. INCOME")</f>
        <v xml:space="preserve">          9150 - MISC. INCOME</v>
      </c>
      <c r="C245" s="11"/>
      <c r="D245" s="2">
        <f>--39218.84</f>
        <v>39218.839999999997</v>
      </c>
      <c r="E245" s="2"/>
      <c r="F245" s="19">
        <f t="shared" si="126"/>
        <v>3.6077922743604614E-2</v>
      </c>
      <c r="G245" s="2"/>
      <c r="H245" s="2">
        <f>--79124.69</f>
        <v>79124.69</v>
      </c>
      <c r="I245" s="2"/>
      <c r="J245" s="19">
        <f t="shared" si="127"/>
        <v>6.9519291523027313E-2</v>
      </c>
      <c r="K245" s="2"/>
      <c r="L245" s="2">
        <f t="shared" si="128"/>
        <v>-39905.850000000006</v>
      </c>
      <c r="M245" s="2"/>
      <c r="N245" s="19">
        <f t="shared" si="129"/>
        <v>-0.50434131242725888</v>
      </c>
      <c r="O245" s="11"/>
      <c r="P245" s="2">
        <f>--137386.92</f>
        <v>137386.92000000001</v>
      </c>
      <c r="Q245" s="2"/>
      <c r="R245" s="19">
        <f t="shared" si="130"/>
        <v>3.3169195931090689E-2</v>
      </c>
      <c r="S245" s="2"/>
      <c r="T245" s="2">
        <f>--229402.44</f>
        <v>229402.44</v>
      </c>
      <c r="U245" s="2"/>
      <c r="V245" s="19">
        <f t="shared" si="131"/>
        <v>5.0401456181449956E-2</v>
      </c>
      <c r="W245" s="2"/>
      <c r="X245" s="2">
        <f t="shared" si="132"/>
        <v>-92015.51999999999</v>
      </c>
      <c r="Y245" s="2"/>
      <c r="Z245" s="19">
        <f t="shared" si="133"/>
        <v>-0.40110959587003514</v>
      </c>
    </row>
    <row r="246" spans="1:26" s="24" customFormat="1" hidden="1" outlineLevel="1" x14ac:dyDescent="0.25">
      <c r="A246" s="44"/>
      <c r="B246" s="11" t="str">
        <f>CONCATENATE("          ", "9151", " - ", "MISC. INCOME")</f>
        <v xml:space="preserve">          9151 - MISC. INCOME</v>
      </c>
      <c r="C246" s="11"/>
      <c r="D246" s="2">
        <f>--83458.02</f>
        <v>83458.02</v>
      </c>
      <c r="E246" s="2"/>
      <c r="F246" s="19">
        <f t="shared" si="126"/>
        <v>7.6774121771429477E-2</v>
      </c>
      <c r="G246" s="2"/>
      <c r="H246" s="2">
        <f>--665.9</f>
        <v>665.9</v>
      </c>
      <c r="I246" s="2"/>
      <c r="J246" s="19">
        <f t="shared" si="127"/>
        <v>5.8506259203270033E-4</v>
      </c>
      <c r="K246" s="2"/>
      <c r="L246" s="2">
        <f t="shared" si="128"/>
        <v>82792.12000000001</v>
      </c>
      <c r="M246" s="2"/>
      <c r="N246" s="19">
        <f t="shared" si="129"/>
        <v>124.33116083496023</v>
      </c>
      <c r="O246" s="11"/>
      <c r="P246" s="2">
        <f>--83193.51</f>
        <v>83193.509999999995</v>
      </c>
      <c r="Q246" s="2"/>
      <c r="R246" s="19">
        <f t="shared" si="130"/>
        <v>2.0085331510344303E-2</v>
      </c>
      <c r="S246" s="2"/>
      <c r="T246" s="2">
        <f>--1060.79</f>
        <v>1060.79</v>
      </c>
      <c r="U246" s="2"/>
      <c r="V246" s="19">
        <f t="shared" si="131"/>
        <v>2.3306360953580222E-4</v>
      </c>
      <c r="W246" s="2"/>
      <c r="X246" s="2">
        <f t="shared" si="132"/>
        <v>82132.72</v>
      </c>
      <c r="Y246" s="2"/>
      <c r="Z246" s="19">
        <f t="shared" si="133"/>
        <v>77.425993834783512</v>
      </c>
    </row>
    <row r="247" spans="1:26" s="24" customFormat="1" hidden="1" outlineLevel="1" x14ac:dyDescent="0.25">
      <c r="A247" s="44"/>
      <c r="B247" s="11" t="str">
        <f>CONCATENATE("          ", "9152", " - ", "MISC. INCOME")</f>
        <v xml:space="preserve">          9152 - MISC. INCOME</v>
      </c>
      <c r="C247" s="11"/>
      <c r="D247" s="2">
        <f>--633.59</f>
        <v>633.59</v>
      </c>
      <c r="E247" s="2"/>
      <c r="F247" s="19">
        <f t="shared" si="126"/>
        <v>5.8284770970075742E-4</v>
      </c>
      <c r="G247" s="2"/>
      <c r="H247" s="2">
        <f>--544.55</f>
        <v>544.54999999999995</v>
      </c>
      <c r="I247" s="2"/>
      <c r="J247" s="19">
        <f t="shared" si="127"/>
        <v>4.7844396229374821E-4</v>
      </c>
      <c r="K247" s="2"/>
      <c r="L247" s="2">
        <f t="shared" si="128"/>
        <v>89.040000000000077</v>
      </c>
      <c r="M247" s="2"/>
      <c r="N247" s="19">
        <f t="shared" si="129"/>
        <v>0.16351115600036742</v>
      </c>
      <c r="O247" s="11"/>
      <c r="P247" s="2">
        <f>--641.02</f>
        <v>641.02</v>
      </c>
      <c r="Q247" s="2"/>
      <c r="R247" s="19">
        <f t="shared" si="130"/>
        <v>1.5476086060993105E-4</v>
      </c>
      <c r="S247" s="2"/>
      <c r="T247" s="2">
        <f>--1509.33</f>
        <v>1509.33</v>
      </c>
      <c r="U247" s="2"/>
      <c r="V247" s="19">
        <f t="shared" si="131"/>
        <v>3.3161124989929429E-4</v>
      </c>
      <c r="W247" s="2"/>
      <c r="X247" s="2">
        <f t="shared" si="132"/>
        <v>-868.31</v>
      </c>
      <c r="Y247" s="2"/>
      <c r="Z247" s="19">
        <f t="shared" si="133"/>
        <v>-0.57529499844301779</v>
      </c>
    </row>
    <row r="248" spans="1:26" s="24" customFormat="1" hidden="1" outlineLevel="1" x14ac:dyDescent="0.25">
      <c r="A248" s="44"/>
      <c r="B248" s="11" t="str">
        <f>CONCATENATE("          ", "9160", " - ", "MISC. INCOME")</f>
        <v xml:space="preserve">          9160 - MISC. INCOME</v>
      </c>
      <c r="C248" s="11"/>
      <c r="D248" s="2">
        <f>0</f>
        <v>0</v>
      </c>
      <c r="E248" s="2"/>
      <c r="F248" s="19">
        <f t="shared" si="126"/>
        <v>0</v>
      </c>
      <c r="G248" s="2"/>
      <c r="H248" s="2">
        <f>0</f>
        <v>0</v>
      </c>
      <c r="I248" s="2"/>
      <c r="J248" s="19">
        <f t="shared" si="127"/>
        <v>0</v>
      </c>
      <c r="K248" s="2"/>
      <c r="L248" s="2">
        <f t="shared" si="128"/>
        <v>0</v>
      </c>
      <c r="M248" s="2"/>
      <c r="N248" s="19">
        <f t="shared" si="129"/>
        <v>0</v>
      </c>
      <c r="O248" s="11"/>
      <c r="P248" s="2">
        <f>--21170</f>
        <v>21170</v>
      </c>
      <c r="Q248" s="2"/>
      <c r="R248" s="19">
        <f t="shared" si="130"/>
        <v>5.111053351084585E-3</v>
      </c>
      <c r="S248" s="2"/>
      <c r="T248" s="2">
        <f>0</f>
        <v>0</v>
      </c>
      <c r="U248" s="2"/>
      <c r="V248" s="19">
        <f t="shared" si="131"/>
        <v>0</v>
      </c>
      <c r="W248" s="2"/>
      <c r="X248" s="2">
        <f t="shared" si="132"/>
        <v>21170</v>
      </c>
      <c r="Y248" s="2"/>
      <c r="Z248" s="19">
        <f t="shared" si="133"/>
        <v>0</v>
      </c>
    </row>
    <row r="249" spans="1:26" x14ac:dyDescent="0.25">
      <c r="A249" s="9"/>
      <c r="B249" s="10"/>
      <c r="C249" s="10"/>
      <c r="D249" s="3"/>
      <c r="E249" s="3"/>
      <c r="F249" s="8"/>
      <c r="G249" s="3"/>
      <c r="H249" s="3"/>
      <c r="I249" s="3"/>
      <c r="J249" s="8"/>
      <c r="K249" s="3"/>
      <c r="L249" s="3"/>
      <c r="M249" s="3"/>
      <c r="N249" s="8"/>
      <c r="O249" s="10"/>
      <c r="P249" s="3"/>
      <c r="Q249" s="3"/>
      <c r="R249" s="8"/>
      <c r="S249" s="3"/>
      <c r="T249" s="3"/>
      <c r="U249" s="3"/>
      <c r="V249" s="8"/>
      <c r="W249" s="3"/>
      <c r="X249" s="3"/>
      <c r="Y249" s="3"/>
      <c r="Z249" s="8"/>
    </row>
    <row r="250" spans="1:26" s="23" customFormat="1" x14ac:dyDescent="0.25">
      <c r="A250" s="10"/>
      <c r="B250" s="26" t="s">
        <v>3</v>
      </c>
      <c r="C250" s="26"/>
      <c r="D250" s="21">
        <f>+D154-D156+D241</f>
        <v>218513.46999999927</v>
      </c>
      <c r="E250" s="13"/>
      <c r="F250" s="20">
        <f>IF(D$12=0,0,D250/D$12)</f>
        <v>0.201013392774925</v>
      </c>
      <c r="G250" s="13"/>
      <c r="H250" s="21">
        <f>+H154-H156+H241</f>
        <v>152385.40000000014</v>
      </c>
      <c r="I250" s="13"/>
      <c r="J250" s="20">
        <f>IF(H$12=0,0,H250/H$12)</f>
        <v>0.1338864651027781</v>
      </c>
      <c r="K250" s="15"/>
      <c r="L250" s="21">
        <f>+D250-H250</f>
        <v>66128.069999999134</v>
      </c>
      <c r="M250" s="15"/>
      <c r="N250" s="20">
        <f>IF(H250=0,0,L250/H250)</f>
        <v>0.43395279337783721</v>
      </c>
      <c r="O250" s="25"/>
      <c r="P250" s="21">
        <f>+P154-P156+P241</f>
        <v>664350.38999999897</v>
      </c>
      <c r="Q250" s="13"/>
      <c r="R250" s="20">
        <f>IF(P$12=0,0,P250/P$12)</f>
        <v>0.16039349490334651</v>
      </c>
      <c r="S250" s="13"/>
      <c r="T250" s="21">
        <f>+T154-T156+T241</f>
        <v>630946.77000000048</v>
      </c>
      <c r="U250" s="13"/>
      <c r="V250" s="20">
        <f>IF(T$12=0,0,T250/T$12)</f>
        <v>0.13862379136413025</v>
      </c>
      <c r="W250" s="15"/>
      <c r="X250" s="21">
        <f>+P250-T250</f>
        <v>33403.619999998482</v>
      </c>
      <c r="Y250" s="15"/>
      <c r="Z250" s="20">
        <f>IF(T250=0,0,X250/T250)</f>
        <v>5.2942057219816589E-2</v>
      </c>
    </row>
    <row r="251" spans="1:26" x14ac:dyDescent="0.25">
      <c r="A251" s="9"/>
      <c r="B251" s="10"/>
      <c r="C251" s="9"/>
      <c r="D251" s="3"/>
      <c r="E251" s="3"/>
      <c r="F251" s="8"/>
      <c r="G251" s="3"/>
      <c r="H251" s="3"/>
      <c r="I251" s="3"/>
      <c r="J251" s="8"/>
      <c r="K251" s="3"/>
      <c r="L251" s="3"/>
      <c r="M251" s="3"/>
      <c r="N251" s="8"/>
      <c r="P251" s="3"/>
      <c r="Q251" s="3"/>
      <c r="R251" s="8"/>
      <c r="S251" s="3"/>
      <c r="T251" s="3"/>
      <c r="U251" s="3"/>
      <c r="V251" s="8"/>
      <c r="W251" s="3"/>
      <c r="X251" s="3"/>
      <c r="Y251" s="3"/>
      <c r="Z251" s="8"/>
    </row>
    <row r="252" spans="1:26" s="23" customFormat="1" x14ac:dyDescent="0.25">
      <c r="A252" s="51"/>
      <c r="B252" s="10" t="s">
        <v>13</v>
      </c>
      <c r="C252" s="10"/>
      <c r="D252" s="4">
        <v>64010.22</v>
      </c>
      <c r="E252" s="4"/>
      <c r="F252" s="12">
        <f>IF(D$12=0,0,D252/D$12)</f>
        <v>5.8883836746857772E-2</v>
      </c>
      <c r="G252" s="4"/>
      <c r="H252" s="4">
        <v>55902.54</v>
      </c>
      <c r="I252" s="4"/>
      <c r="J252" s="12">
        <f>IF(H$12=0,0,H252/H$12)</f>
        <v>4.9116211073151693E-2</v>
      </c>
      <c r="K252" s="4"/>
      <c r="L252" s="4">
        <f>+D252-H252</f>
        <v>8107.68</v>
      </c>
      <c r="M252" s="4"/>
      <c r="N252" s="12">
        <f>IF(H252=0,0,L252/H252)</f>
        <v>0.14503240818753496</v>
      </c>
      <c r="O252" s="10"/>
      <c r="P252" s="4">
        <v>444906.02999999997</v>
      </c>
      <c r="Q252" s="4"/>
      <c r="R252" s="12">
        <f>IF(P$12=0,0,P252/P$12)</f>
        <v>0.10741324778220306</v>
      </c>
      <c r="S252" s="4"/>
      <c r="T252" s="4">
        <v>404387.97000000003</v>
      </c>
      <c r="U252" s="4"/>
      <c r="V252" s="12">
        <f>IF(T$12=0,0,T252/T$12)</f>
        <v>8.8847104460878887E-2</v>
      </c>
      <c r="W252" s="4"/>
      <c r="X252" s="4">
        <f>+P252-T252</f>
        <v>40518.059999999939</v>
      </c>
      <c r="Y252" s="4"/>
      <c r="Z252" s="12">
        <f>IF(T252=0,0,X252/T252)</f>
        <v>0.10019600731446075</v>
      </c>
    </row>
    <row r="253" spans="1:26" x14ac:dyDescent="0.25">
      <c r="A253" s="9"/>
      <c r="B253" s="10"/>
      <c r="C253" s="10"/>
      <c r="D253" s="3"/>
      <c r="E253" s="3"/>
      <c r="F253" s="8"/>
      <c r="G253" s="3"/>
      <c r="H253" s="3"/>
      <c r="I253" s="3"/>
      <c r="J253" s="8"/>
      <c r="K253" s="3"/>
      <c r="L253" s="3"/>
      <c r="M253" s="3"/>
      <c r="N253" s="8"/>
      <c r="O253" s="10"/>
      <c r="P253" s="3"/>
      <c r="Q253" s="3"/>
      <c r="R253" s="8"/>
      <c r="S253" s="3"/>
      <c r="T253" s="3"/>
      <c r="U253" s="3"/>
      <c r="V253" s="8"/>
      <c r="W253" s="3"/>
      <c r="X253" s="3"/>
      <c r="Y253" s="3"/>
      <c r="Z253" s="8"/>
    </row>
    <row r="254" spans="1:26" s="23" customFormat="1" ht="15.75" thickBot="1" x14ac:dyDescent="0.3">
      <c r="A254" s="10"/>
      <c r="B254" s="26" t="s">
        <v>4</v>
      </c>
      <c r="C254" s="26"/>
      <c r="D254" s="35">
        <f>+D250-D252</f>
        <v>154503.24999999927</v>
      </c>
      <c r="E254" s="13"/>
      <c r="F254" s="30">
        <f>IF(D$12=0,0,D254/D$12)</f>
        <v>0.14212955602806723</v>
      </c>
      <c r="G254" s="13"/>
      <c r="H254" s="35">
        <f>+H250-H252</f>
        <v>96482.860000000132</v>
      </c>
      <c r="I254" s="13"/>
      <c r="J254" s="30">
        <f>IF(H$12=0,0,H254/H$12)</f>
        <v>8.4770254029626402E-2</v>
      </c>
      <c r="K254" s="15"/>
      <c r="L254" s="35">
        <f>D254-H254</f>
        <v>58020.389999999141</v>
      </c>
      <c r="M254" s="15"/>
      <c r="N254" s="30">
        <f>IF(H254=0,0,L254/H254)</f>
        <v>0.60135437527452085</v>
      </c>
      <c r="O254" s="25"/>
      <c r="P254" s="35">
        <f>+P250-P252</f>
        <v>219444.359999999</v>
      </c>
      <c r="Q254" s="13"/>
      <c r="R254" s="30">
        <f>IF(P$12=0,0,P254/P$12)</f>
        <v>5.2980247121143451E-2</v>
      </c>
      <c r="S254" s="13"/>
      <c r="T254" s="35">
        <f>+T250-T252</f>
        <v>226558.80000000045</v>
      </c>
      <c r="U254" s="13"/>
      <c r="V254" s="30">
        <f>IF(T$12=0,0,T254/T$12)</f>
        <v>4.9776686903251363E-2</v>
      </c>
      <c r="W254" s="15"/>
      <c r="X254" s="35">
        <f>P254-T254</f>
        <v>-7114.4400000014575</v>
      </c>
      <c r="Y254" s="15"/>
      <c r="Z254" s="30">
        <f>IF(T254=0,0,X254/T254)</f>
        <v>-3.1402179036971609E-2</v>
      </c>
    </row>
    <row r="255" spans="1:26" ht="15.75" thickTop="1" x14ac:dyDescent="0.25">
      <c r="A255" s="9"/>
      <c r="B255" s="9"/>
      <c r="C255" s="9"/>
      <c r="D255" s="3"/>
      <c r="E255" s="3"/>
      <c r="F255" s="8"/>
      <c r="G255" s="3"/>
      <c r="H255" s="3"/>
      <c r="I255" s="3"/>
      <c r="J255" s="8"/>
      <c r="K255" s="3"/>
      <c r="L255" s="3"/>
      <c r="M255" s="3"/>
      <c r="N255" s="8"/>
      <c r="P255" s="3"/>
      <c r="Q255" s="3"/>
      <c r="R255" s="8"/>
      <c r="S255" s="3"/>
      <c r="T255" s="3"/>
      <c r="U255" s="3"/>
      <c r="V255" s="8"/>
      <c r="W255" s="3"/>
      <c r="X255" s="3"/>
      <c r="Y255" s="3"/>
      <c r="Z255" s="8"/>
    </row>
    <row r="256" spans="1:26" x14ac:dyDescent="0.25">
      <c r="A256" s="9"/>
      <c r="B256" s="9"/>
      <c r="C256" s="9"/>
      <c r="D256" s="3"/>
      <c r="E256" s="3"/>
      <c r="F256" s="8"/>
      <c r="G256" s="3"/>
      <c r="H256" s="3"/>
      <c r="I256" s="3"/>
      <c r="J256" s="8"/>
      <c r="K256" s="3"/>
      <c r="L256" s="3"/>
      <c r="M256" s="3"/>
      <c r="N256" s="8"/>
      <c r="P256" s="3"/>
      <c r="Q256" s="3"/>
      <c r="R256" s="8"/>
      <c r="S256" s="3"/>
      <c r="T256" s="3"/>
      <c r="U256" s="3"/>
      <c r="V256" s="8"/>
      <c r="W256" s="3"/>
      <c r="X256" s="3"/>
      <c r="Y256" s="3"/>
      <c r="Z256" s="8"/>
    </row>
    <row r="257" spans="1:26" s="23" customFormat="1" ht="15.75" thickBot="1" x14ac:dyDescent="0.3">
      <c r="A257" s="10"/>
      <c r="B257" s="26" t="s">
        <v>5</v>
      </c>
      <c r="C257" s="26"/>
      <c r="D257" s="36">
        <f>SUM(D254:D256)</f>
        <v>154503.24999999927</v>
      </c>
      <c r="E257" s="13"/>
      <c r="F257" s="31">
        <f>IF(D$12=0,0,D257/D$12)</f>
        <v>0.14212955602806723</v>
      </c>
      <c r="G257" s="13"/>
      <c r="H257" s="36">
        <f>SUM(H254:H256)</f>
        <v>96482.860000000132</v>
      </c>
      <c r="I257" s="13"/>
      <c r="J257" s="31">
        <f>IF(H$12=0,0,H257/H$12)</f>
        <v>8.4770254029626402E-2</v>
      </c>
      <c r="K257" s="15"/>
      <c r="L257" s="36">
        <f>+D257-H257</f>
        <v>58020.389999999141</v>
      </c>
      <c r="M257" s="15"/>
      <c r="N257" s="31">
        <f>IF(H257=0,0,L257/H257)</f>
        <v>0.60135437527452085</v>
      </c>
      <c r="O257" s="25"/>
      <c r="P257" s="36">
        <f>SUM(P254:P256)</f>
        <v>219444.359999999</v>
      </c>
      <c r="Q257" s="13"/>
      <c r="R257" s="31">
        <f>IF(P$12=0,0,P257/P$12)</f>
        <v>5.2980247121143451E-2</v>
      </c>
      <c r="S257" s="13"/>
      <c r="T257" s="36">
        <f>SUM(T254:T256)</f>
        <v>226558.80000000045</v>
      </c>
      <c r="U257" s="13"/>
      <c r="V257" s="31">
        <f>IF(T$12=0,0,T257/T$12)</f>
        <v>4.9776686903251363E-2</v>
      </c>
      <c r="W257" s="15"/>
      <c r="X257" s="36">
        <f>+P257-T257</f>
        <v>-7114.4400000014575</v>
      </c>
      <c r="Y257" s="15"/>
      <c r="Z257" s="31">
        <f>IF(T257=0,0,X257/T257)</f>
        <v>-3.1402179036971609E-2</v>
      </c>
    </row>
    <row r="258" spans="1:26" ht="15.75" thickTop="1" x14ac:dyDescent="0.25">
      <c r="A258" s="9"/>
      <c r="C258" s="9"/>
      <c r="D258" s="18"/>
      <c r="E258" s="18"/>
      <c r="G258" s="18"/>
      <c r="H258" s="18"/>
      <c r="I258" s="18"/>
      <c r="J258" s="42"/>
      <c r="K258" s="18"/>
      <c r="L258" s="18"/>
      <c r="M258" s="18"/>
      <c r="P258" s="18"/>
      <c r="Q258" s="18"/>
      <c r="R258" s="42"/>
      <c r="S258" s="18"/>
      <c r="T258" s="18"/>
      <c r="U258" s="18"/>
      <c r="V258" s="42"/>
      <c r="W258" s="18"/>
      <c r="X258" s="18"/>
    </row>
    <row r="259" spans="1:26" x14ac:dyDescent="0.25">
      <c r="A259" s="9"/>
      <c r="B259" s="55">
        <v>43756.462432175926</v>
      </c>
      <c r="D259" s="18"/>
      <c r="E259" s="18"/>
      <c r="G259" s="18"/>
      <c r="H259" s="18"/>
      <c r="I259" s="18"/>
      <c r="J259" s="42"/>
      <c r="K259" s="18"/>
      <c r="L259" s="18"/>
      <c r="M259" s="18"/>
      <c r="P259" s="18"/>
      <c r="Q259" s="18"/>
      <c r="R259" s="42"/>
      <c r="S259" s="18"/>
      <c r="T259" s="18"/>
      <c r="U259" s="18"/>
      <c r="V259" s="42"/>
      <c r="W259" s="18"/>
      <c r="X259" s="18"/>
    </row>
    <row r="260" spans="1:26" x14ac:dyDescent="0.25">
      <c r="A260" s="9"/>
      <c r="B260" s="56" t="s">
        <v>313</v>
      </c>
      <c r="D260" s="18"/>
      <c r="E260" s="18"/>
      <c r="G260" s="18"/>
      <c r="H260" s="18"/>
      <c r="I260" s="18"/>
      <c r="J260" s="42"/>
      <c r="K260" s="18"/>
      <c r="L260" s="18"/>
      <c r="M260" s="18"/>
      <c r="P260" s="18"/>
      <c r="Q260" s="18"/>
      <c r="R260" s="42"/>
      <c r="S260" s="18"/>
      <c r="T260" s="18"/>
      <c r="U260" s="18"/>
      <c r="V260" s="42"/>
      <c r="W260" s="18"/>
      <c r="X260" s="18"/>
    </row>
    <row r="261" spans="1:26" x14ac:dyDescent="0.25">
      <c r="A261" s="9"/>
      <c r="B261" s="57"/>
      <c r="D261" s="18"/>
      <c r="E261" s="18"/>
      <c r="G261" s="18"/>
      <c r="H261" s="18"/>
      <c r="I261" s="18"/>
      <c r="J261" s="42"/>
      <c r="K261" s="18"/>
      <c r="L261" s="18"/>
      <c r="M261" s="18"/>
      <c r="P261" s="18"/>
      <c r="Q261" s="18"/>
      <c r="R261" s="42"/>
      <c r="S261" s="18"/>
      <c r="T261" s="18"/>
      <c r="U261" s="18"/>
      <c r="V261" s="42"/>
      <c r="W261" s="18"/>
      <c r="X261" s="18"/>
    </row>
    <row r="262" spans="1:26" x14ac:dyDescent="0.25">
      <c r="D262" s="18"/>
      <c r="E262" s="18"/>
      <c r="G262" s="18"/>
      <c r="H262" s="18"/>
      <c r="I262" s="18"/>
      <c r="J262" s="42"/>
      <c r="K262" s="18"/>
      <c r="L262" s="18"/>
      <c r="M262" s="18"/>
      <c r="P262" s="18"/>
      <c r="Q262" s="18"/>
      <c r="R262" s="42"/>
      <c r="S262" s="18"/>
      <c r="T262" s="18"/>
      <c r="U262" s="18"/>
      <c r="V262" s="42"/>
      <c r="W262" s="18"/>
      <c r="X262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295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8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311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1407384.8699999994</v>
      </c>
      <c r="E12" s="4"/>
      <c r="F12" s="12"/>
      <c r="G12" s="4"/>
      <c r="H12" s="4">
        <f>SUM(OSRRefH13x_0)</f>
        <v>1393478.3399999996</v>
      </c>
      <c r="I12" s="4"/>
      <c r="J12" s="12"/>
      <c r="K12" s="4"/>
      <c r="L12" s="4">
        <f t="shared" ref="L12:L119" si="0">+D12-H12</f>
        <v>13906.529999999795</v>
      </c>
      <c r="M12" s="4"/>
      <c r="N12" s="12">
        <f t="shared" ref="N12:N119" si="1">IF(H12=0,0,L12/H12)</f>
        <v>9.9797245502931883E-3</v>
      </c>
      <c r="O12" s="10"/>
      <c r="P12" s="4">
        <f>SUM(OSRRefP13x_0)</f>
        <v>5334181.4099999992</v>
      </c>
      <c r="Q12" s="4"/>
      <c r="R12" s="12"/>
      <c r="S12" s="4"/>
      <c r="T12" s="4">
        <f>SUM(OSRRefT13x_0)</f>
        <v>5549805.0299999993</v>
      </c>
      <c r="U12" s="4"/>
      <c r="V12" s="12"/>
      <c r="W12" s="4"/>
      <c r="X12" s="4">
        <f t="shared" ref="X12:X119" si="2">+P12-T12</f>
        <v>-215623.62000000011</v>
      </c>
      <c r="Y12" s="4"/>
      <c r="Z12" s="12">
        <f t="shared" ref="Z12:Z119" si="3">IF(T12=0,0,X12/T12)</f>
        <v>-3.8852467579388122E-2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--336733.45</f>
        <v>336733.45</v>
      </c>
      <c r="E13" s="2"/>
      <c r="F13" s="19"/>
      <c r="G13" s="2"/>
      <c r="H13" s="2">
        <f>--387172.58</f>
        <v>387172.58</v>
      </c>
      <c r="I13" s="2"/>
      <c r="J13" s="19"/>
      <c r="K13" s="2"/>
      <c r="L13" s="2">
        <f t="shared" si="0"/>
        <v>-50439.130000000005</v>
      </c>
      <c r="M13" s="2"/>
      <c r="N13" s="19">
        <f t="shared" si="1"/>
        <v>-0.13027557375059981</v>
      </c>
      <c r="O13" s="11"/>
      <c r="P13" s="2">
        <f>--1463955.42</f>
        <v>1463955.42</v>
      </c>
      <c r="Q13" s="2"/>
      <c r="R13" s="19"/>
      <c r="S13" s="2"/>
      <c r="T13" s="2">
        <f>--1790410.26</f>
        <v>1790410.26</v>
      </c>
      <c r="U13" s="2"/>
      <c r="V13" s="19"/>
      <c r="W13" s="2"/>
      <c r="X13" s="2">
        <f t="shared" si="2"/>
        <v>-326454.84000000008</v>
      </c>
      <c r="Y13" s="2"/>
      <c r="Z13" s="19">
        <f t="shared" si="3"/>
        <v>-0.1823352151701812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--101849.66</f>
        <v>101849.66</v>
      </c>
      <c r="E14" s="2"/>
      <c r="F14" s="19"/>
      <c r="G14" s="2"/>
      <c r="H14" s="2">
        <f>--112136.18</f>
        <v>112136.18</v>
      </c>
      <c r="I14" s="2"/>
      <c r="J14" s="19"/>
      <c r="K14" s="2"/>
      <c r="L14" s="2">
        <f t="shared" si="0"/>
        <v>-10286.51999999999</v>
      </c>
      <c r="M14" s="2"/>
      <c r="N14" s="19">
        <f t="shared" si="1"/>
        <v>-9.1732391811456301E-2</v>
      </c>
      <c r="O14" s="11"/>
      <c r="P14" s="2">
        <f>--657310.58</f>
        <v>657310.57999999996</v>
      </c>
      <c r="Q14" s="2"/>
      <c r="R14" s="19"/>
      <c r="S14" s="2"/>
      <c r="T14" s="2">
        <f>--729460.37</f>
        <v>729460.37</v>
      </c>
      <c r="U14" s="2"/>
      <c r="V14" s="19"/>
      <c r="W14" s="2"/>
      <c r="X14" s="2">
        <f t="shared" si="2"/>
        <v>-72149.790000000037</v>
      </c>
      <c r="Y14" s="2"/>
      <c r="Z14" s="19">
        <f t="shared" si="3"/>
        <v>-9.8908443785643951E-2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--2800.64</f>
        <v>2800.64</v>
      </c>
      <c r="E15" s="2"/>
      <c r="F15" s="19"/>
      <c r="G15" s="2"/>
      <c r="H15" s="2">
        <f>--4333.45</f>
        <v>4333.45</v>
      </c>
      <c r="I15" s="2"/>
      <c r="J15" s="19"/>
      <c r="K15" s="2"/>
      <c r="L15" s="2">
        <f t="shared" si="0"/>
        <v>-1532.81</v>
      </c>
      <c r="M15" s="2"/>
      <c r="N15" s="19">
        <f t="shared" si="1"/>
        <v>-0.35371586149603662</v>
      </c>
      <c r="O15" s="11"/>
      <c r="P15" s="2">
        <f>--15536.69</f>
        <v>15536.69</v>
      </c>
      <c r="Q15" s="2"/>
      <c r="R15" s="19"/>
      <c r="S15" s="2"/>
      <c r="T15" s="2">
        <f>--9859.25</f>
        <v>9859.25</v>
      </c>
      <c r="U15" s="2"/>
      <c r="V15" s="19"/>
      <c r="W15" s="2"/>
      <c r="X15" s="2">
        <f t="shared" si="2"/>
        <v>5677.4400000000005</v>
      </c>
      <c r="Y15" s="2"/>
      <c r="Z15" s="19">
        <f t="shared" si="3"/>
        <v>0.57584907574105537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--7290.37</f>
        <v>7290.37</v>
      </c>
      <c r="E16" s="2"/>
      <c r="F16" s="19"/>
      <c r="G16" s="2"/>
      <c r="H16" s="2">
        <f>--4736.66</f>
        <v>4736.66</v>
      </c>
      <c r="I16" s="2"/>
      <c r="J16" s="19"/>
      <c r="K16" s="2"/>
      <c r="L16" s="2">
        <f t="shared" si="0"/>
        <v>2553.71</v>
      </c>
      <c r="M16" s="2"/>
      <c r="N16" s="19">
        <f t="shared" si="1"/>
        <v>0.53913728238885628</v>
      </c>
      <c r="O16" s="11"/>
      <c r="P16" s="2">
        <f>--29700.44</f>
        <v>29700.44</v>
      </c>
      <c r="Q16" s="2"/>
      <c r="R16" s="19"/>
      <c r="S16" s="2"/>
      <c r="T16" s="2">
        <f>--42099.8</f>
        <v>42099.8</v>
      </c>
      <c r="U16" s="2"/>
      <c r="V16" s="19"/>
      <c r="W16" s="2"/>
      <c r="X16" s="2">
        <f t="shared" si="2"/>
        <v>-12399.360000000004</v>
      </c>
      <c r="Y16" s="2"/>
      <c r="Z16" s="19">
        <f t="shared" si="3"/>
        <v>-0.29452301436111344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--9.6</f>
        <v>9.6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9.6</v>
      </c>
      <c r="M17" s="2"/>
      <c r="N17" s="19">
        <f t="shared" si="1"/>
        <v>0</v>
      </c>
      <c r="O17" s="11"/>
      <c r="P17" s="2">
        <f>--9.6</f>
        <v>9.6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9.6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--29.95</f>
        <v>29.95</v>
      </c>
      <c r="E18" s="2"/>
      <c r="F18" s="19"/>
      <c r="G18" s="2"/>
      <c r="H18" s="2">
        <f>--187.31</f>
        <v>187.31</v>
      </c>
      <c r="I18" s="2"/>
      <c r="J18" s="19"/>
      <c r="K18" s="2"/>
      <c r="L18" s="2">
        <f t="shared" si="0"/>
        <v>-157.36000000000001</v>
      </c>
      <c r="M18" s="2"/>
      <c r="N18" s="19">
        <f t="shared" si="1"/>
        <v>-0.84010463936789281</v>
      </c>
      <c r="O18" s="11"/>
      <c r="P18" s="2">
        <f>--140.76</f>
        <v>140.76</v>
      </c>
      <c r="Q18" s="2"/>
      <c r="R18" s="19"/>
      <c r="S18" s="2"/>
      <c r="T18" s="2">
        <f>--1272.98</f>
        <v>1272.98</v>
      </c>
      <c r="U18" s="2"/>
      <c r="V18" s="19"/>
      <c r="W18" s="2"/>
      <c r="X18" s="2">
        <f t="shared" si="2"/>
        <v>-1132.22</v>
      </c>
      <c r="Y18" s="2"/>
      <c r="Z18" s="19">
        <f t="shared" si="3"/>
        <v>-0.88942481421546293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--97.44</f>
        <v>97.44</v>
      </c>
      <c r="E19" s="2"/>
      <c r="F19" s="19"/>
      <c r="G19" s="2"/>
      <c r="H19" s="2">
        <f>--240.36</f>
        <v>240.36</v>
      </c>
      <c r="I19" s="2"/>
      <c r="J19" s="19"/>
      <c r="K19" s="2"/>
      <c r="L19" s="2">
        <f t="shared" si="0"/>
        <v>-142.92000000000002</v>
      </c>
      <c r="M19" s="2"/>
      <c r="N19" s="19">
        <f t="shared" si="1"/>
        <v>-0.59460808786819774</v>
      </c>
      <c r="O19" s="11"/>
      <c r="P19" s="2">
        <f>--523.09</f>
        <v>523.09</v>
      </c>
      <c r="Q19" s="2"/>
      <c r="R19" s="19"/>
      <c r="S19" s="2"/>
      <c r="T19" s="2">
        <f>--587.87</f>
        <v>587.87</v>
      </c>
      <c r="U19" s="2"/>
      <c r="V19" s="19"/>
      <c r="W19" s="2"/>
      <c r="X19" s="2">
        <f t="shared" si="2"/>
        <v>-64.779999999999973</v>
      </c>
      <c r="Y19" s="2"/>
      <c r="Z19" s="19">
        <f t="shared" si="3"/>
        <v>-0.11019443074149042</v>
      </c>
    </row>
    <row r="20" spans="1:26" s="24" customFormat="1" hidden="1" outlineLevel="1" x14ac:dyDescent="0.25">
      <c r="A20" s="44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--65.39</f>
        <v>65.39</v>
      </c>
      <c r="E20" s="2"/>
      <c r="F20" s="19"/>
      <c r="G20" s="2"/>
      <c r="H20" s="2">
        <f>--8.94</f>
        <v>8.94</v>
      </c>
      <c r="I20" s="2"/>
      <c r="J20" s="19"/>
      <c r="K20" s="2"/>
      <c r="L20" s="2">
        <f t="shared" si="0"/>
        <v>56.45</v>
      </c>
      <c r="M20" s="2"/>
      <c r="N20" s="19">
        <f t="shared" si="1"/>
        <v>6.3143176733780768</v>
      </c>
      <c r="O20" s="11"/>
      <c r="P20" s="2">
        <f>--222.69</f>
        <v>222.69</v>
      </c>
      <c r="Q20" s="2"/>
      <c r="R20" s="19"/>
      <c r="S20" s="2"/>
      <c r="T20" s="2">
        <f>--609.29</f>
        <v>609.29</v>
      </c>
      <c r="U20" s="2"/>
      <c r="V20" s="19"/>
      <c r="W20" s="2"/>
      <c r="X20" s="2">
        <f t="shared" si="2"/>
        <v>-386.59999999999997</v>
      </c>
      <c r="Y20" s="2"/>
      <c r="Z20" s="19">
        <f t="shared" si="3"/>
        <v>-0.63450901869388954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--696.02</f>
        <v>696.02</v>
      </c>
      <c r="E21" s="2"/>
      <c r="F21" s="19"/>
      <c r="G21" s="2"/>
      <c r="H21" s="2">
        <f>--796.54</f>
        <v>796.54</v>
      </c>
      <c r="I21" s="2"/>
      <c r="J21" s="19"/>
      <c r="K21" s="2"/>
      <c r="L21" s="2">
        <f t="shared" si="0"/>
        <v>-100.51999999999998</v>
      </c>
      <c r="M21" s="2"/>
      <c r="N21" s="19">
        <f t="shared" si="1"/>
        <v>-0.1261957968212519</v>
      </c>
      <c r="O21" s="11"/>
      <c r="P21" s="2">
        <f>--2060.15</f>
        <v>2060.15</v>
      </c>
      <c r="Q21" s="2"/>
      <c r="R21" s="19"/>
      <c r="S21" s="2"/>
      <c r="T21" s="2">
        <f>--2826.61</f>
        <v>2826.61</v>
      </c>
      <c r="U21" s="2"/>
      <c r="V21" s="19"/>
      <c r="W21" s="2"/>
      <c r="X21" s="2">
        <f t="shared" si="2"/>
        <v>-766.46</v>
      </c>
      <c r="Y21" s="2"/>
      <c r="Z21" s="19">
        <f t="shared" si="3"/>
        <v>-0.27115873785205602</v>
      </c>
    </row>
    <row r="22" spans="1:26" s="24" customFormat="1" hidden="1" outlineLevel="1" x14ac:dyDescent="0.25">
      <c r="A22" s="44"/>
      <c r="B22" s="11" t="str">
        <f>CONCATENATE("          ", "4019", " - ", "TAXABLE SALES-BOOK RELATED")</f>
        <v xml:space="preserve">          4019 - TAXABLE SALES-BOOK RELATED</v>
      </c>
      <c r="C22" s="11"/>
      <c r="D22" s="2">
        <f>0</f>
        <v>0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--14.95</f>
        <v>14.95</v>
      </c>
      <c r="Q22" s="2"/>
      <c r="R22" s="19"/>
      <c r="S22" s="2"/>
      <c r="T22" s="2">
        <f>--39.9</f>
        <v>39.9</v>
      </c>
      <c r="U22" s="2"/>
      <c r="V22" s="19"/>
      <c r="W22" s="2"/>
      <c r="X22" s="2">
        <f t="shared" si="2"/>
        <v>-24.95</v>
      </c>
      <c r="Y22" s="2"/>
      <c r="Z22" s="19">
        <f t="shared" si="3"/>
        <v>-0.62531328320802004</v>
      </c>
    </row>
    <row r="23" spans="1:26" s="24" customFormat="1" hidden="1" outlineLevel="1" x14ac:dyDescent="0.25">
      <c r="A23" s="44"/>
      <c r="B23" s="11" t="str">
        <f>CONCATENATE("          ", "4025", " - ", "TAXABLE SALES-TEST FORMS")</f>
        <v xml:space="preserve">          4025 - TAXABLE SALES-TEST FORMS</v>
      </c>
      <c r="C23" s="11"/>
      <c r="D23" s="2">
        <f>--11837.54</f>
        <v>11837.54</v>
      </c>
      <c r="E23" s="2"/>
      <c r="F23" s="19"/>
      <c r="G23" s="2"/>
      <c r="H23" s="2">
        <f>--11411.77</f>
        <v>11411.77</v>
      </c>
      <c r="I23" s="2"/>
      <c r="J23" s="19"/>
      <c r="K23" s="2"/>
      <c r="L23" s="2">
        <f t="shared" si="0"/>
        <v>425.77000000000044</v>
      </c>
      <c r="M23" s="2"/>
      <c r="N23" s="19">
        <f t="shared" si="1"/>
        <v>3.7309724959405981E-2</v>
      </c>
      <c r="O23" s="11"/>
      <c r="P23" s="2">
        <f>--16296.07</f>
        <v>16296.07</v>
      </c>
      <c r="Q23" s="2"/>
      <c r="R23" s="19"/>
      <c r="S23" s="2"/>
      <c r="T23" s="2">
        <f>--16299.42</f>
        <v>16299.42</v>
      </c>
      <c r="U23" s="2"/>
      <c r="V23" s="19"/>
      <c r="W23" s="2"/>
      <c r="X23" s="2">
        <f t="shared" si="2"/>
        <v>-3.3500000000003638</v>
      </c>
      <c r="Y23" s="2"/>
      <c r="Z23" s="19">
        <f t="shared" si="3"/>
        <v>-2.0552878568687498E-4</v>
      </c>
    </row>
    <row r="24" spans="1:26" s="24" customFormat="1" hidden="1" outlineLevel="1" x14ac:dyDescent="0.25">
      <c r="A24" s="44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>--11722.76</f>
        <v>11722.76</v>
      </c>
      <c r="E24" s="2"/>
      <c r="F24" s="19"/>
      <c r="G24" s="2"/>
      <c r="H24" s="2">
        <f>--10857.34</f>
        <v>10857.34</v>
      </c>
      <c r="I24" s="2"/>
      <c r="J24" s="19"/>
      <c r="K24" s="2"/>
      <c r="L24" s="2">
        <f t="shared" si="0"/>
        <v>865.42000000000007</v>
      </c>
      <c r="M24" s="2"/>
      <c r="N24" s="19">
        <f t="shared" si="1"/>
        <v>7.9708289507374741E-2</v>
      </c>
      <c r="O24" s="11"/>
      <c r="P24" s="2">
        <f>--24499.3</f>
        <v>24499.3</v>
      </c>
      <c r="Q24" s="2"/>
      <c r="R24" s="19"/>
      <c r="S24" s="2"/>
      <c r="T24" s="2">
        <f>--23460.2</f>
        <v>23460.2</v>
      </c>
      <c r="U24" s="2"/>
      <c r="V24" s="19"/>
      <c r="W24" s="2"/>
      <c r="X24" s="2">
        <f t="shared" si="2"/>
        <v>1039.0999999999985</v>
      </c>
      <c r="Y24" s="2"/>
      <c r="Z24" s="19">
        <f t="shared" si="3"/>
        <v>4.4292035021014253E-2</v>
      </c>
    </row>
    <row r="25" spans="1:26" s="24" customFormat="1" hidden="1" outlineLevel="1" x14ac:dyDescent="0.25">
      <c r="A25" s="44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--44221.34</f>
        <v>44221.34</v>
      </c>
      <c r="E25" s="2"/>
      <c r="F25" s="19"/>
      <c r="G25" s="2"/>
      <c r="H25" s="2">
        <f>--41690.67</f>
        <v>41690.67</v>
      </c>
      <c r="I25" s="2"/>
      <c r="J25" s="19"/>
      <c r="K25" s="2"/>
      <c r="L25" s="2">
        <f t="shared" si="0"/>
        <v>2530.6699999999983</v>
      </c>
      <c r="M25" s="2"/>
      <c r="N25" s="19">
        <f t="shared" si="1"/>
        <v>6.070111130380007E-2</v>
      </c>
      <c r="O25" s="11"/>
      <c r="P25" s="2">
        <f>--123320.59</f>
        <v>123320.59</v>
      </c>
      <c r="Q25" s="2"/>
      <c r="R25" s="19"/>
      <c r="S25" s="2"/>
      <c r="T25" s="2">
        <f>--114994.05</f>
        <v>114994.05</v>
      </c>
      <c r="U25" s="2"/>
      <c r="V25" s="19"/>
      <c r="W25" s="2"/>
      <c r="X25" s="2">
        <f t="shared" si="2"/>
        <v>8326.5399999999936</v>
      </c>
      <c r="Y25" s="2"/>
      <c r="Z25" s="19">
        <f t="shared" si="3"/>
        <v>7.2408442001999182E-2</v>
      </c>
    </row>
    <row r="26" spans="1:26" s="24" customFormat="1" hidden="1" outlineLevel="1" x14ac:dyDescent="0.25">
      <c r="A26" s="44"/>
      <c r="B26" s="11" t="str">
        <f>CONCATENATE("          ", "4028", " - ", "TAXABLE SALES-ART/TECH")</f>
        <v xml:space="preserve">          4028 - TAXABLE SALES-ART/TECH</v>
      </c>
      <c r="C26" s="11"/>
      <c r="D26" s="2">
        <f>--51812.13</f>
        <v>51812.13</v>
      </c>
      <c r="E26" s="2"/>
      <c r="F26" s="19"/>
      <c r="G26" s="2"/>
      <c r="H26" s="2">
        <f>--51988.15</f>
        <v>51988.15</v>
      </c>
      <c r="I26" s="2"/>
      <c r="J26" s="19"/>
      <c r="K26" s="2"/>
      <c r="L26" s="2">
        <f t="shared" si="0"/>
        <v>-176.02000000000407</v>
      </c>
      <c r="M26" s="2"/>
      <c r="N26" s="19">
        <f t="shared" si="1"/>
        <v>-3.3857715652510058E-3</v>
      </c>
      <c r="O26" s="11"/>
      <c r="P26" s="2">
        <f>--100727.68</f>
        <v>100727.67999999999</v>
      </c>
      <c r="Q26" s="2"/>
      <c r="R26" s="19"/>
      <c r="S26" s="2"/>
      <c r="T26" s="2">
        <f>--99687.8</f>
        <v>99687.8</v>
      </c>
      <c r="U26" s="2"/>
      <c r="V26" s="19"/>
      <c r="W26" s="2"/>
      <c r="X26" s="2">
        <f t="shared" si="2"/>
        <v>1039.8799999999901</v>
      </c>
      <c r="Y26" s="2"/>
      <c r="Z26" s="19">
        <f t="shared" si="3"/>
        <v>1.0431366726921349E-2</v>
      </c>
    </row>
    <row r="27" spans="1:26" s="24" customFormat="1" hidden="1" outlineLevel="1" x14ac:dyDescent="0.25">
      <c r="A27" s="44"/>
      <c r="B27" s="11" t="str">
        <f>CONCATENATE("          ", "4031", " - ", "TAXABLE SALES-FOOD")</f>
        <v xml:space="preserve">          4031 - TAXABLE SALES-FOOD</v>
      </c>
      <c r="C27" s="11"/>
      <c r="D27" s="2">
        <f>--88.48</f>
        <v>88.48</v>
      </c>
      <c r="E27" s="2"/>
      <c r="F27" s="19"/>
      <c r="G27" s="2"/>
      <c r="H27" s="2">
        <f>--70.12</f>
        <v>70.12</v>
      </c>
      <c r="I27" s="2"/>
      <c r="J27" s="19"/>
      <c r="K27" s="2"/>
      <c r="L27" s="2">
        <f t="shared" si="0"/>
        <v>18.36</v>
      </c>
      <c r="M27" s="2"/>
      <c r="N27" s="19">
        <f t="shared" si="1"/>
        <v>0.26183685111237875</v>
      </c>
      <c r="O27" s="11"/>
      <c r="P27" s="2">
        <f>--120.82</f>
        <v>120.82</v>
      </c>
      <c r="Q27" s="2"/>
      <c r="R27" s="19"/>
      <c r="S27" s="2"/>
      <c r="T27" s="2">
        <f>--115.06</f>
        <v>115.06</v>
      </c>
      <c r="U27" s="2"/>
      <c r="V27" s="19"/>
      <c r="W27" s="2"/>
      <c r="X27" s="2">
        <f t="shared" si="2"/>
        <v>5.7599999999999909</v>
      </c>
      <c r="Y27" s="2"/>
      <c r="Z27" s="19">
        <f t="shared" si="3"/>
        <v>5.0060837823744056E-2</v>
      </c>
    </row>
    <row r="28" spans="1:26" s="24" customFormat="1" hidden="1" outlineLevel="1" x14ac:dyDescent="0.25">
      <c r="A28" s="44"/>
      <c r="B28" s="11" t="str">
        <f>CONCATENATE("          ", "4032", " - ", "TAXABLE SALES-JUICE")</f>
        <v xml:space="preserve">          4032 - TAXABLE SALES-JUICE</v>
      </c>
      <c r="C28" s="11"/>
      <c r="D28" s="2">
        <f>--17.54</f>
        <v>17.54</v>
      </c>
      <c r="E28" s="2"/>
      <c r="F28" s="19"/>
      <c r="G28" s="2"/>
      <c r="H28" s="2">
        <f>--53.78</f>
        <v>53.78</v>
      </c>
      <c r="I28" s="2"/>
      <c r="J28" s="19"/>
      <c r="K28" s="2"/>
      <c r="L28" s="2">
        <f t="shared" si="0"/>
        <v>-36.24</v>
      </c>
      <c r="M28" s="2"/>
      <c r="N28" s="19">
        <f t="shared" si="1"/>
        <v>-0.6738564522127185</v>
      </c>
      <c r="O28" s="11"/>
      <c r="P28" s="2">
        <f>--21.35</f>
        <v>21.35</v>
      </c>
      <c r="Q28" s="2"/>
      <c r="R28" s="19"/>
      <c r="S28" s="2"/>
      <c r="T28" s="2">
        <f>--56.15</f>
        <v>56.15</v>
      </c>
      <c r="U28" s="2"/>
      <c r="V28" s="19"/>
      <c r="W28" s="2"/>
      <c r="X28" s="2">
        <f t="shared" si="2"/>
        <v>-34.799999999999997</v>
      </c>
      <c r="Y28" s="2"/>
      <c r="Z28" s="19">
        <f t="shared" si="3"/>
        <v>-0.61976847729296525</v>
      </c>
    </row>
    <row r="29" spans="1:26" s="24" customFormat="1" hidden="1" outlineLevel="1" x14ac:dyDescent="0.25">
      <c r="A29" s="44"/>
      <c r="B29" s="11" t="str">
        <f>CONCATENATE("          ", "4033", " - ", "TAXABLE SALES-CANDY")</f>
        <v xml:space="preserve">          4033 - TAXABLE SALES-CANDY</v>
      </c>
      <c r="C29" s="11"/>
      <c r="D29" s="2">
        <f>--27.97</f>
        <v>27.97</v>
      </c>
      <c r="E29" s="2"/>
      <c r="F29" s="19"/>
      <c r="G29" s="2"/>
      <c r="H29" s="2">
        <f>--26.81</f>
        <v>26.81</v>
      </c>
      <c r="I29" s="2"/>
      <c r="J29" s="19"/>
      <c r="K29" s="2"/>
      <c r="L29" s="2">
        <f t="shared" si="0"/>
        <v>1.1600000000000001</v>
      </c>
      <c r="M29" s="2"/>
      <c r="N29" s="19">
        <f t="shared" si="1"/>
        <v>4.3267437523312205E-2</v>
      </c>
      <c r="O29" s="11"/>
      <c r="P29" s="2">
        <f>--40.97</f>
        <v>40.97</v>
      </c>
      <c r="Q29" s="2"/>
      <c r="R29" s="19"/>
      <c r="S29" s="2"/>
      <c r="T29" s="2">
        <f>--29.85</f>
        <v>29.85</v>
      </c>
      <c r="U29" s="2"/>
      <c r="V29" s="19"/>
      <c r="W29" s="2"/>
      <c r="X29" s="2">
        <f t="shared" si="2"/>
        <v>11.119999999999997</v>
      </c>
      <c r="Y29" s="2"/>
      <c r="Z29" s="19">
        <f t="shared" si="3"/>
        <v>0.37252931323283073</v>
      </c>
    </row>
    <row r="30" spans="1:26" s="24" customFormat="1" hidden="1" outlineLevel="1" x14ac:dyDescent="0.25">
      <c r="A30" s="44"/>
      <c r="B30" s="11" t="str">
        <f>CONCATENATE("          ", "4034", " - ", "TAXABLE SALES-SODA")</f>
        <v xml:space="preserve">          4034 - TAXABLE SALES-SODA</v>
      </c>
      <c r="C30" s="11"/>
      <c r="D30" s="2">
        <f>--1544.01</f>
        <v>1544.01</v>
      </c>
      <c r="E30" s="2"/>
      <c r="F30" s="19"/>
      <c r="G30" s="2"/>
      <c r="H30" s="2">
        <f>--1006.88</f>
        <v>1006.88</v>
      </c>
      <c r="I30" s="2"/>
      <c r="J30" s="19"/>
      <c r="K30" s="2"/>
      <c r="L30" s="2">
        <f t="shared" si="0"/>
        <v>537.13</v>
      </c>
      <c r="M30" s="2"/>
      <c r="N30" s="19">
        <f t="shared" si="1"/>
        <v>0.53345979659939613</v>
      </c>
      <c r="O30" s="11"/>
      <c r="P30" s="2">
        <f>--1859.55</f>
        <v>1859.55</v>
      </c>
      <c r="Q30" s="2"/>
      <c r="R30" s="19"/>
      <c r="S30" s="2"/>
      <c r="T30" s="2">
        <f>--1405.81</f>
        <v>1405.81</v>
      </c>
      <c r="U30" s="2"/>
      <c r="V30" s="19"/>
      <c r="W30" s="2"/>
      <c r="X30" s="2">
        <f t="shared" si="2"/>
        <v>453.74</v>
      </c>
      <c r="Y30" s="2"/>
      <c r="Z30" s="19">
        <f t="shared" si="3"/>
        <v>0.32276054374346463</v>
      </c>
    </row>
    <row r="31" spans="1:26" s="24" customFormat="1" hidden="1" outlineLevel="1" x14ac:dyDescent="0.25">
      <c r="A31" s="44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>--339.98</f>
        <v>339.98</v>
      </c>
      <c r="E31" s="2"/>
      <c r="F31" s="19"/>
      <c r="G31" s="2"/>
      <c r="H31" s="2">
        <f>--481.21</f>
        <v>481.21</v>
      </c>
      <c r="I31" s="2"/>
      <c r="J31" s="19"/>
      <c r="K31" s="2"/>
      <c r="L31" s="2">
        <f t="shared" si="0"/>
        <v>-141.22999999999996</v>
      </c>
      <c r="M31" s="2"/>
      <c r="N31" s="19">
        <f t="shared" si="1"/>
        <v>-0.29348932898318814</v>
      </c>
      <c r="O31" s="11"/>
      <c r="P31" s="2">
        <f>--438.43</f>
        <v>438.43</v>
      </c>
      <c r="Q31" s="2"/>
      <c r="R31" s="19"/>
      <c r="S31" s="2"/>
      <c r="T31" s="2">
        <f>--626.84</f>
        <v>626.84</v>
      </c>
      <c r="U31" s="2"/>
      <c r="V31" s="19"/>
      <c r="W31" s="2"/>
      <c r="X31" s="2">
        <f t="shared" si="2"/>
        <v>-188.41000000000003</v>
      </c>
      <c r="Y31" s="2"/>
      <c r="Z31" s="19">
        <f t="shared" si="3"/>
        <v>-0.30057111862676283</v>
      </c>
    </row>
    <row r="32" spans="1:26" s="24" customFormat="1" hidden="1" outlineLevel="1" x14ac:dyDescent="0.25">
      <c r="A32" s="44"/>
      <c r="B32" s="11" t="str">
        <f>CONCATENATE("          ", "4037", " - ", "TAXABLE SALES-WATER")</f>
        <v xml:space="preserve">          4037 - TAXABLE SALES-WATER</v>
      </c>
      <c r="C32" s="11"/>
      <c r="D32" s="2">
        <f>--131.98</f>
        <v>131.97999999999999</v>
      </c>
      <c r="E32" s="2"/>
      <c r="F32" s="19"/>
      <c r="G32" s="2"/>
      <c r="H32" s="2">
        <f>--123.97</f>
        <v>123.97</v>
      </c>
      <c r="I32" s="2"/>
      <c r="J32" s="19"/>
      <c r="K32" s="2"/>
      <c r="L32" s="2">
        <f t="shared" si="0"/>
        <v>8.0099999999999909</v>
      </c>
      <c r="M32" s="2"/>
      <c r="N32" s="19">
        <f t="shared" si="1"/>
        <v>6.4612406227312985E-2</v>
      </c>
      <c r="O32" s="11"/>
      <c r="P32" s="2">
        <f>--174.15</f>
        <v>174.15</v>
      </c>
      <c r="Q32" s="2"/>
      <c r="R32" s="19"/>
      <c r="S32" s="2"/>
      <c r="T32" s="2">
        <f>--157.24</f>
        <v>157.24</v>
      </c>
      <c r="U32" s="2"/>
      <c r="V32" s="19"/>
      <c r="W32" s="2"/>
      <c r="X32" s="2">
        <f t="shared" si="2"/>
        <v>16.909999999999997</v>
      </c>
      <c r="Y32" s="2"/>
      <c r="Z32" s="19">
        <f t="shared" si="3"/>
        <v>0.10754261002289491</v>
      </c>
    </row>
    <row r="33" spans="1:26" s="24" customFormat="1" hidden="1" outlineLevel="1" x14ac:dyDescent="0.25">
      <c r="A33" s="44"/>
      <c r="B33" s="11" t="str">
        <f>CONCATENATE("          ", "4040", " - ", "TAXABLE SALES-LOGO CLOTHING")</f>
        <v xml:space="preserve">          4040 - TAXABLE SALES-LOGO CLOTHING</v>
      </c>
      <c r="C33" s="11"/>
      <c r="D33" s="2">
        <f>--243145.84</f>
        <v>243145.84</v>
      </c>
      <c r="E33" s="2"/>
      <c r="F33" s="19"/>
      <c r="G33" s="2"/>
      <c r="H33" s="2">
        <f>--213321</f>
        <v>213321</v>
      </c>
      <c r="I33" s="2"/>
      <c r="J33" s="19"/>
      <c r="K33" s="2"/>
      <c r="L33" s="2">
        <f t="shared" si="0"/>
        <v>29824.839999999997</v>
      </c>
      <c r="M33" s="2"/>
      <c r="N33" s="19">
        <f t="shared" si="1"/>
        <v>0.13981202038242835</v>
      </c>
      <c r="O33" s="11"/>
      <c r="P33" s="2">
        <f>--632899.52</f>
        <v>632899.52</v>
      </c>
      <c r="Q33" s="2"/>
      <c r="R33" s="19"/>
      <c r="S33" s="2"/>
      <c r="T33" s="2">
        <f>--543157.35</f>
        <v>543157.35</v>
      </c>
      <c r="U33" s="2"/>
      <c r="V33" s="19"/>
      <c r="W33" s="2"/>
      <c r="X33" s="2">
        <f t="shared" si="2"/>
        <v>89742.170000000042</v>
      </c>
      <c r="Y33" s="2"/>
      <c r="Z33" s="19">
        <f t="shared" si="3"/>
        <v>0.16522315310655383</v>
      </c>
    </row>
    <row r="34" spans="1:26" s="24" customFormat="1" hidden="1" outlineLevel="1" x14ac:dyDescent="0.25">
      <c r="A34" s="44"/>
      <c r="B34" s="11" t="str">
        <f>CONCATENATE("          ", "4041", " - ", "TAXABLE SALES-LOGO GIFTS")</f>
        <v xml:space="preserve">          4041 - TAXABLE SALES-LOGO GIFTS</v>
      </c>
      <c r="C34" s="11"/>
      <c r="D34" s="2">
        <f>--49940.2</f>
        <v>49940.2</v>
      </c>
      <c r="E34" s="2"/>
      <c r="F34" s="19"/>
      <c r="G34" s="2"/>
      <c r="H34" s="2">
        <f>--57168.91</f>
        <v>57168.91</v>
      </c>
      <c r="I34" s="2"/>
      <c r="J34" s="19"/>
      <c r="K34" s="2"/>
      <c r="L34" s="2">
        <f t="shared" si="0"/>
        <v>-7228.7100000000064</v>
      </c>
      <c r="M34" s="2"/>
      <c r="N34" s="19">
        <f t="shared" si="1"/>
        <v>-0.12644477566565474</v>
      </c>
      <c r="O34" s="11"/>
      <c r="P34" s="2">
        <f>--201632.61</f>
        <v>201632.61</v>
      </c>
      <c r="Q34" s="2"/>
      <c r="R34" s="19"/>
      <c r="S34" s="2"/>
      <c r="T34" s="2">
        <f>--206952.26</f>
        <v>206952.26</v>
      </c>
      <c r="U34" s="2"/>
      <c r="V34" s="19"/>
      <c r="W34" s="2"/>
      <c r="X34" s="2">
        <f t="shared" si="2"/>
        <v>-5319.6500000000233</v>
      </c>
      <c r="Y34" s="2"/>
      <c r="Z34" s="19">
        <f t="shared" si="3"/>
        <v>-2.5704720499307537E-2</v>
      </c>
    </row>
    <row r="35" spans="1:26" s="24" customFormat="1" hidden="1" outlineLevel="1" x14ac:dyDescent="0.25">
      <c r="A35" s="44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--35079.3</f>
        <v>35079.300000000003</v>
      </c>
      <c r="E35" s="2"/>
      <c r="F35" s="19"/>
      <c r="G35" s="2"/>
      <c r="H35" s="2">
        <f>--29444.47</f>
        <v>29444.47</v>
      </c>
      <c r="I35" s="2"/>
      <c r="J35" s="19"/>
      <c r="K35" s="2"/>
      <c r="L35" s="2">
        <f t="shared" si="0"/>
        <v>5634.8300000000017</v>
      </c>
      <c r="M35" s="2"/>
      <c r="N35" s="19">
        <f t="shared" si="1"/>
        <v>0.19137141880971204</v>
      </c>
      <c r="O35" s="11"/>
      <c r="P35" s="2">
        <f>--95118.27</f>
        <v>95118.27</v>
      </c>
      <c r="Q35" s="2"/>
      <c r="R35" s="19"/>
      <c r="S35" s="2"/>
      <c r="T35" s="2">
        <f>--72510.46</f>
        <v>72510.460000000006</v>
      </c>
      <c r="U35" s="2"/>
      <c r="V35" s="19"/>
      <c r="W35" s="2"/>
      <c r="X35" s="2">
        <f t="shared" si="2"/>
        <v>22607.809999999998</v>
      </c>
      <c r="Y35" s="2"/>
      <c r="Z35" s="19">
        <f t="shared" si="3"/>
        <v>0.31178687874825228</v>
      </c>
    </row>
    <row r="36" spans="1:26" s="24" customFormat="1" hidden="1" outlineLevel="1" x14ac:dyDescent="0.25">
      <c r="A36" s="44"/>
      <c r="B36" s="11" t="str">
        <f>CONCATENATE("          ", "4043", " - ", "TAXABLE SALES-CARDS")</f>
        <v xml:space="preserve">          4043 - TAXABLE SALES-CARDS</v>
      </c>
      <c r="C36" s="11"/>
      <c r="D36" s="2">
        <f>--272.36</f>
        <v>272.36</v>
      </c>
      <c r="E36" s="2"/>
      <c r="F36" s="19"/>
      <c r="G36" s="2"/>
      <c r="H36" s="2">
        <f>--402.42</f>
        <v>402.42</v>
      </c>
      <c r="I36" s="2"/>
      <c r="J36" s="19"/>
      <c r="K36" s="2"/>
      <c r="L36" s="2">
        <f t="shared" si="0"/>
        <v>-130.06</v>
      </c>
      <c r="M36" s="2"/>
      <c r="N36" s="19">
        <f t="shared" si="1"/>
        <v>-0.32319467223299042</v>
      </c>
      <c r="O36" s="11"/>
      <c r="P36" s="2">
        <f>--457.81</f>
        <v>457.81</v>
      </c>
      <c r="Q36" s="2"/>
      <c r="R36" s="19"/>
      <c r="S36" s="2"/>
      <c r="T36" s="2">
        <f>--815.9</f>
        <v>815.9</v>
      </c>
      <c r="U36" s="2"/>
      <c r="V36" s="19"/>
      <c r="W36" s="2"/>
      <c r="X36" s="2">
        <f t="shared" si="2"/>
        <v>-358.09</v>
      </c>
      <c r="Y36" s="2"/>
      <c r="Z36" s="19">
        <f t="shared" si="3"/>
        <v>-0.43888956980022059</v>
      </c>
    </row>
    <row r="37" spans="1:26" s="24" customFormat="1" hidden="1" outlineLevel="1" x14ac:dyDescent="0.25">
      <c r="A37" s="44"/>
      <c r="B37" s="11" t="str">
        <f>CONCATENATE("          ", "4044", " - ", "TAXABLE SALES-ACCESSORIES")</f>
        <v xml:space="preserve">          4044 - TAXABLE SALES-ACCESSORIES</v>
      </c>
      <c r="C37" s="11"/>
      <c r="D37" s="2">
        <f>--6451.34</f>
        <v>6451.34</v>
      </c>
      <c r="E37" s="2"/>
      <c r="F37" s="19"/>
      <c r="G37" s="2"/>
      <c r="H37" s="2">
        <f>--7404.65</f>
        <v>7404.65</v>
      </c>
      <c r="I37" s="2"/>
      <c r="J37" s="19"/>
      <c r="K37" s="2"/>
      <c r="L37" s="2">
        <f t="shared" si="0"/>
        <v>-953.30999999999949</v>
      </c>
      <c r="M37" s="2"/>
      <c r="N37" s="19">
        <f t="shared" si="1"/>
        <v>-0.12874477524258399</v>
      </c>
      <c r="O37" s="11"/>
      <c r="P37" s="2">
        <f>--28228.41</f>
        <v>28228.41</v>
      </c>
      <c r="Q37" s="2"/>
      <c r="R37" s="19"/>
      <c r="S37" s="2"/>
      <c r="T37" s="2">
        <f>--30810.43</f>
        <v>30810.43</v>
      </c>
      <c r="U37" s="2"/>
      <c r="V37" s="19"/>
      <c r="W37" s="2"/>
      <c r="X37" s="2">
        <f t="shared" si="2"/>
        <v>-2582.0200000000004</v>
      </c>
      <c r="Y37" s="2"/>
      <c r="Z37" s="19">
        <f t="shared" si="3"/>
        <v>-8.3803439289876852E-2</v>
      </c>
    </row>
    <row r="38" spans="1:26" s="24" customFormat="1" hidden="1" outlineLevel="1" x14ac:dyDescent="0.25">
      <c r="A38" s="44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--5803.07</f>
        <v>5803.07</v>
      </c>
      <c r="E38" s="2"/>
      <c r="F38" s="19"/>
      <c r="G38" s="2"/>
      <c r="H38" s="2">
        <f>--5627.36</f>
        <v>5627.36</v>
      </c>
      <c r="I38" s="2"/>
      <c r="J38" s="19"/>
      <c r="K38" s="2"/>
      <c r="L38" s="2">
        <f t="shared" si="0"/>
        <v>175.71000000000004</v>
      </c>
      <c r="M38" s="2"/>
      <c r="N38" s="19">
        <f t="shared" si="1"/>
        <v>3.1224233032896429E-2</v>
      </c>
      <c r="O38" s="11"/>
      <c r="P38" s="2">
        <f>--31327.11</f>
        <v>31327.11</v>
      </c>
      <c r="Q38" s="2"/>
      <c r="R38" s="19"/>
      <c r="S38" s="2"/>
      <c r="T38" s="2">
        <f>--48586.84</f>
        <v>48586.84</v>
      </c>
      <c r="U38" s="2"/>
      <c r="V38" s="19"/>
      <c r="W38" s="2"/>
      <c r="X38" s="2">
        <f t="shared" si="2"/>
        <v>-17259.729999999996</v>
      </c>
      <c r="Y38" s="2"/>
      <c r="Z38" s="19">
        <f t="shared" si="3"/>
        <v>-0.35523466848224738</v>
      </c>
    </row>
    <row r="39" spans="1:26" s="24" customFormat="1" hidden="1" outlineLevel="1" x14ac:dyDescent="0.25">
      <c r="A39" s="44"/>
      <c r="B39" s="11" t="str">
        <f>CONCATENATE("          ", "4047", " - ", "TAXABLE SALES-MISC")</f>
        <v xml:space="preserve">          4047 - TAXABLE SALES-MISC</v>
      </c>
      <c r="C39" s="11"/>
      <c r="D39" s="2">
        <f>--488.97</f>
        <v>488.97</v>
      </c>
      <c r="E39" s="2"/>
      <c r="F39" s="19"/>
      <c r="G39" s="2"/>
      <c r="H39" s="2">
        <f>--300.22</f>
        <v>300.22000000000003</v>
      </c>
      <c r="I39" s="2"/>
      <c r="J39" s="19"/>
      <c r="K39" s="2"/>
      <c r="L39" s="2">
        <f t="shared" si="0"/>
        <v>188.75</v>
      </c>
      <c r="M39" s="2"/>
      <c r="N39" s="19">
        <f t="shared" si="1"/>
        <v>0.62870561588168672</v>
      </c>
      <c r="O39" s="11"/>
      <c r="P39" s="2">
        <f>--971.35</f>
        <v>971.35</v>
      </c>
      <c r="Q39" s="2"/>
      <c r="R39" s="19"/>
      <c r="S39" s="2"/>
      <c r="T39" s="2">
        <f>--649.51</f>
        <v>649.51</v>
      </c>
      <c r="U39" s="2"/>
      <c r="V39" s="19"/>
      <c r="W39" s="2"/>
      <c r="X39" s="2">
        <f t="shared" si="2"/>
        <v>321.84000000000003</v>
      </c>
      <c r="Y39" s="2"/>
      <c r="Z39" s="19">
        <f t="shared" si="3"/>
        <v>0.49551200135486756</v>
      </c>
    </row>
    <row r="40" spans="1:26" s="24" customFormat="1" hidden="1" outlineLevel="1" x14ac:dyDescent="0.25">
      <c r="A40" s="44"/>
      <c r="B40" s="11" t="str">
        <f>CONCATENATE("          ", "4081", " - ", "TAXABLE SALES-ELECTRONICS")</f>
        <v xml:space="preserve">          4081 - TAXABLE SALES-ELECTRONICS</v>
      </c>
      <c r="C40" s="11"/>
      <c r="D40" s="2">
        <f>--79907.95</f>
        <v>79907.95</v>
      </c>
      <c r="E40" s="2"/>
      <c r="F40" s="19"/>
      <c r="G40" s="2"/>
      <c r="H40" s="2">
        <f>--59507.7</f>
        <v>59507.7</v>
      </c>
      <c r="I40" s="2"/>
      <c r="J40" s="19"/>
      <c r="K40" s="2"/>
      <c r="L40" s="2">
        <f t="shared" si="0"/>
        <v>20400.25</v>
      </c>
      <c r="M40" s="2"/>
      <c r="N40" s="19">
        <f t="shared" si="1"/>
        <v>0.3428169799874638</v>
      </c>
      <c r="O40" s="11"/>
      <c r="P40" s="2">
        <f>--189596.74</f>
        <v>189596.74</v>
      </c>
      <c r="Q40" s="2"/>
      <c r="R40" s="19"/>
      <c r="S40" s="2"/>
      <c r="T40" s="2">
        <f>--138580.35</f>
        <v>138580.35</v>
      </c>
      <c r="U40" s="2"/>
      <c r="V40" s="19"/>
      <c r="W40" s="2"/>
      <c r="X40" s="2">
        <f t="shared" si="2"/>
        <v>51016.389999999985</v>
      </c>
      <c r="Y40" s="2"/>
      <c r="Z40" s="19">
        <f t="shared" si="3"/>
        <v>0.36813581434885956</v>
      </c>
    </row>
    <row r="41" spans="1:26" s="24" customFormat="1" hidden="1" outlineLevel="1" x14ac:dyDescent="0.25">
      <c r="A41" s="44"/>
      <c r="B41" s="11" t="str">
        <f>CONCATENATE("          ", "4082", " - ", "TAXABLE SALES-COMPUTER HARDWAR")</f>
        <v xml:space="preserve">          4082 - TAXABLE SALES-COMPUTER HARDWAR</v>
      </c>
      <c r="C41" s="11"/>
      <c r="D41" s="2">
        <f>--225343.71</f>
        <v>225343.71</v>
      </c>
      <c r="E41" s="2"/>
      <c r="F41" s="19"/>
      <c r="G41" s="2"/>
      <c r="H41" s="2">
        <f>--165101.16</f>
        <v>165101.16</v>
      </c>
      <c r="I41" s="2"/>
      <c r="J41" s="19"/>
      <c r="K41" s="2"/>
      <c r="L41" s="2">
        <f t="shared" si="0"/>
        <v>60242.549999999988</v>
      </c>
      <c r="M41" s="2"/>
      <c r="N41" s="19">
        <f t="shared" si="1"/>
        <v>0.36488265739622899</v>
      </c>
      <c r="O41" s="11"/>
      <c r="P41" s="2">
        <f>--1038916.49</f>
        <v>1038916.49</v>
      </c>
      <c r="Q41" s="2"/>
      <c r="R41" s="19"/>
      <c r="S41" s="2"/>
      <c r="T41" s="2">
        <f>--758325.97</f>
        <v>758325.97</v>
      </c>
      <c r="U41" s="2"/>
      <c r="V41" s="19"/>
      <c r="W41" s="2"/>
      <c r="X41" s="2">
        <f t="shared" si="2"/>
        <v>280590.52</v>
      </c>
      <c r="Y41" s="2"/>
      <c r="Z41" s="19">
        <f t="shared" si="3"/>
        <v>0.37001306970932307</v>
      </c>
    </row>
    <row r="42" spans="1:26" s="24" customFormat="1" hidden="1" outlineLevel="1" x14ac:dyDescent="0.25">
      <c r="A42" s="44"/>
      <c r="B42" s="11" t="str">
        <f>CONCATENATE("          ", "4083", " - ", "TAXABLE SALES-COMPUTER EQUIPME")</f>
        <v xml:space="preserve">          4083 - TAXABLE SALES-COMPUTER EQUIPME</v>
      </c>
      <c r="C42" s="11"/>
      <c r="D42" s="2">
        <f>--17648.24</f>
        <v>17648.240000000002</v>
      </c>
      <c r="E42" s="2"/>
      <c r="F42" s="19"/>
      <c r="G42" s="2"/>
      <c r="H42" s="2">
        <f>--12749.61</f>
        <v>12749.61</v>
      </c>
      <c r="I42" s="2"/>
      <c r="J42" s="19"/>
      <c r="K42" s="2"/>
      <c r="L42" s="2">
        <f t="shared" si="0"/>
        <v>4898.630000000001</v>
      </c>
      <c r="M42" s="2"/>
      <c r="N42" s="19">
        <f t="shared" si="1"/>
        <v>0.38421802706121999</v>
      </c>
      <c r="O42" s="11"/>
      <c r="P42" s="2">
        <f>--41256.01</f>
        <v>41256.01</v>
      </c>
      <c r="Q42" s="2"/>
      <c r="R42" s="19"/>
      <c r="S42" s="2"/>
      <c r="T42" s="2">
        <f>--37322.75</f>
        <v>37322.75</v>
      </c>
      <c r="U42" s="2"/>
      <c r="V42" s="19"/>
      <c r="W42" s="2"/>
      <c r="X42" s="2">
        <f t="shared" si="2"/>
        <v>3933.260000000002</v>
      </c>
      <c r="Y42" s="2"/>
      <c r="Z42" s="19">
        <f t="shared" si="3"/>
        <v>0.10538505335217802</v>
      </c>
    </row>
    <row r="43" spans="1:26" s="24" customFormat="1" hidden="1" outlineLevel="1" x14ac:dyDescent="0.25">
      <c r="A43" s="44"/>
      <c r="B43" s="11" t="str">
        <f>CONCATENATE("          ", "4084", " - ", "TAXABLE SALES-SOFTWARE LICENSE")</f>
        <v xml:space="preserve">          4084 - TAXABLE SALES-SOFTWARE LICENSE</v>
      </c>
      <c r="C43" s="11"/>
      <c r="D43" s="2">
        <f t="shared" ref="D43:D44" si="4">0</f>
        <v>0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--129</f>
        <v>129</v>
      </c>
      <c r="Q43" s="2"/>
      <c r="R43" s="19"/>
      <c r="S43" s="2"/>
      <c r="T43" s="2">
        <f>--278.99</f>
        <v>278.99</v>
      </c>
      <c r="U43" s="2"/>
      <c r="V43" s="19"/>
      <c r="W43" s="2"/>
      <c r="X43" s="2">
        <f t="shared" si="2"/>
        <v>-149.99</v>
      </c>
      <c r="Y43" s="2"/>
      <c r="Z43" s="19">
        <f t="shared" si="3"/>
        <v>-0.53761783576472277</v>
      </c>
    </row>
    <row r="44" spans="1:26" s="24" customFormat="1" hidden="1" outlineLevel="1" x14ac:dyDescent="0.25">
      <c r="A44" s="44"/>
      <c r="B44" s="11" t="str">
        <f>CONCATENATE("          ", "4085", " - ", "TAXABLE SALES-SOFTWARE")</f>
        <v xml:space="preserve">          4085 - TAXABLE SALES-SOFTWARE</v>
      </c>
      <c r="C44" s="11"/>
      <c r="D44" s="2">
        <f t="shared" si="4"/>
        <v>0</v>
      </c>
      <c r="E44" s="2"/>
      <c r="F44" s="19"/>
      <c r="G44" s="2"/>
      <c r="H44" s="2">
        <f>--2530.89</f>
        <v>2530.89</v>
      </c>
      <c r="I44" s="2"/>
      <c r="J44" s="19"/>
      <c r="K44" s="2"/>
      <c r="L44" s="2">
        <f t="shared" si="0"/>
        <v>-2530.89</v>
      </c>
      <c r="M44" s="2"/>
      <c r="N44" s="19">
        <f t="shared" si="1"/>
        <v>-1</v>
      </c>
      <c r="O44" s="11"/>
      <c r="P44" s="2">
        <f>--493.95</f>
        <v>493.95</v>
      </c>
      <c r="Q44" s="2"/>
      <c r="R44" s="19"/>
      <c r="S44" s="2"/>
      <c r="T44" s="2">
        <f>--7507.84</f>
        <v>7507.84</v>
      </c>
      <c r="U44" s="2"/>
      <c r="V44" s="19"/>
      <c r="W44" s="2"/>
      <c r="X44" s="2">
        <f t="shared" si="2"/>
        <v>-7013.89</v>
      </c>
      <c r="Y44" s="2"/>
      <c r="Z44" s="19">
        <f t="shared" si="3"/>
        <v>-0.93420877376182765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>--10769.48</f>
        <v>10769.48</v>
      </c>
      <c r="E45" s="2"/>
      <c r="F45" s="19"/>
      <c r="G45" s="2"/>
      <c r="H45" s="2">
        <f>--10921.48</f>
        <v>10921.48</v>
      </c>
      <c r="I45" s="2"/>
      <c r="J45" s="19"/>
      <c r="K45" s="2"/>
      <c r="L45" s="2">
        <f t="shared" si="0"/>
        <v>-152</v>
      </c>
      <c r="M45" s="2"/>
      <c r="N45" s="19">
        <f t="shared" si="1"/>
        <v>-1.3917527661086226E-2</v>
      </c>
      <c r="O45" s="11"/>
      <c r="P45" s="2">
        <f>--20437.03</f>
        <v>20437.03</v>
      </c>
      <c r="Q45" s="2"/>
      <c r="R45" s="19"/>
      <c r="S45" s="2"/>
      <c r="T45" s="2">
        <f>--24878.79</f>
        <v>24878.79</v>
      </c>
      <c r="U45" s="2"/>
      <c r="V45" s="19"/>
      <c r="W45" s="2"/>
      <c r="X45" s="2">
        <f t="shared" si="2"/>
        <v>-4441.760000000002</v>
      </c>
      <c r="Y45" s="2"/>
      <c r="Z45" s="19">
        <f t="shared" si="3"/>
        <v>-0.17853601401032776</v>
      </c>
    </row>
    <row r="46" spans="1:26" s="24" customFormat="1" hidden="1" outlineLevel="1" x14ac:dyDescent="0.25">
      <c r="A46" s="44"/>
      <c r="B46" s="11" t="str">
        <f>CONCATENATE("          ", "4088", " - ", "TAXABLE SALES-MUSIC")</f>
        <v xml:space="preserve">          4088 - TAXABLE SALES-MUSIC</v>
      </c>
      <c r="C46" s="11"/>
      <c r="D46" s="2">
        <f>--16.99</f>
        <v>16.989999999999998</v>
      </c>
      <c r="E46" s="2"/>
      <c r="F46" s="19"/>
      <c r="G46" s="2"/>
      <c r="H46" s="2">
        <f>--108.98</f>
        <v>108.98</v>
      </c>
      <c r="I46" s="2"/>
      <c r="J46" s="19"/>
      <c r="K46" s="2"/>
      <c r="L46" s="2">
        <f t="shared" si="0"/>
        <v>-91.990000000000009</v>
      </c>
      <c r="M46" s="2"/>
      <c r="N46" s="19">
        <f t="shared" si="1"/>
        <v>-0.84409983483207929</v>
      </c>
      <c r="O46" s="11"/>
      <c r="P46" s="2">
        <f>--535.96</f>
        <v>535.96</v>
      </c>
      <c r="Q46" s="2"/>
      <c r="R46" s="19"/>
      <c r="S46" s="2"/>
      <c r="T46" s="2">
        <f>--797.91</f>
        <v>797.91</v>
      </c>
      <c r="U46" s="2"/>
      <c r="V46" s="19"/>
      <c r="W46" s="2"/>
      <c r="X46" s="2">
        <f t="shared" si="2"/>
        <v>-261.94999999999993</v>
      </c>
      <c r="Y46" s="2"/>
      <c r="Z46" s="19">
        <f t="shared" si="3"/>
        <v>-0.32829517113458906</v>
      </c>
    </row>
    <row r="47" spans="1:26" s="24" customFormat="1" hidden="1" outlineLevel="1" x14ac:dyDescent="0.25">
      <c r="A47" s="44"/>
      <c r="B47" s="11" t="str">
        <f>CONCATENATE("          ", "4092", " - ", "TAXABLE SALES-GRAD MERCH")</f>
        <v xml:space="preserve">          4092 - TAXABLE SALES-GRAD MERCH</v>
      </c>
      <c r="C47" s="11"/>
      <c r="D47" s="2">
        <f>--49.9</f>
        <v>49.9</v>
      </c>
      <c r="E47" s="2"/>
      <c r="F47" s="19"/>
      <c r="G47" s="2"/>
      <c r="H47" s="2">
        <f>--49.9</f>
        <v>49.9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--3872.63</f>
        <v>3872.63</v>
      </c>
      <c r="Q47" s="2"/>
      <c r="R47" s="19"/>
      <c r="S47" s="2"/>
      <c r="T47" s="2">
        <f>--4066.3</f>
        <v>4066.3</v>
      </c>
      <c r="U47" s="2"/>
      <c r="V47" s="19"/>
      <c r="W47" s="2"/>
      <c r="X47" s="2">
        <f t="shared" si="2"/>
        <v>-193.67000000000007</v>
      </c>
      <c r="Y47" s="2"/>
      <c r="Z47" s="19">
        <f t="shared" si="3"/>
        <v>-4.7628064825517069E-2</v>
      </c>
    </row>
    <row r="48" spans="1:26" s="24" customFormat="1" hidden="1" outlineLevel="1" x14ac:dyDescent="0.25">
      <c r="A48" s="44"/>
      <c r="B48" s="11" t="str">
        <f>CONCATENATE("          ", "4095", " - ", "TAXABLE SALES-CUSTOMER SERVICE")</f>
        <v xml:space="preserve">          4095 - TAXABLE SALES-CUSTOMER SERVICE</v>
      </c>
      <c r="C48" s="11"/>
      <c r="D48" s="2">
        <f>--26.83</f>
        <v>26.83</v>
      </c>
      <c r="E48" s="2"/>
      <c r="F48" s="19"/>
      <c r="G48" s="2"/>
      <c r="H48" s="2">
        <f>--106.96</f>
        <v>106.96</v>
      </c>
      <c r="I48" s="2"/>
      <c r="J48" s="19"/>
      <c r="K48" s="2"/>
      <c r="L48" s="2">
        <f t="shared" si="0"/>
        <v>-80.13</v>
      </c>
      <c r="M48" s="2"/>
      <c r="N48" s="19">
        <f t="shared" si="1"/>
        <v>-0.74915856394913982</v>
      </c>
      <c r="O48" s="11"/>
      <c r="P48" s="2">
        <f>--200.85</f>
        <v>200.85</v>
      </c>
      <c r="Q48" s="2"/>
      <c r="R48" s="19"/>
      <c r="S48" s="2"/>
      <c r="T48" s="2">
        <f>--620.77</f>
        <v>620.77</v>
      </c>
      <c r="U48" s="2"/>
      <c r="V48" s="19"/>
      <c r="W48" s="2"/>
      <c r="X48" s="2">
        <f t="shared" si="2"/>
        <v>-419.91999999999996</v>
      </c>
      <c r="Y48" s="2"/>
      <c r="Z48" s="19">
        <f t="shared" si="3"/>
        <v>-0.67645021505549552</v>
      </c>
    </row>
    <row r="49" spans="1:26" s="24" customFormat="1" hidden="1" outlineLevel="1" x14ac:dyDescent="0.25">
      <c r="A49" s="44"/>
      <c r="B49" s="11" t="str">
        <f>CONCATENATE("          ", "4100", " - ", "NON-TAXABLE SALES")</f>
        <v xml:space="preserve">          4100 - NON-TAXABLE SALES</v>
      </c>
      <c r="C49" s="11"/>
      <c r="D49" s="2">
        <f>--66153.34</f>
        <v>66153.34</v>
      </c>
      <c r="E49" s="2"/>
      <c r="F49" s="19"/>
      <c r="G49" s="2"/>
      <c r="H49" s="2">
        <f>--74429.25</f>
        <v>74429.25</v>
      </c>
      <c r="I49" s="2"/>
      <c r="J49" s="19"/>
      <c r="K49" s="2"/>
      <c r="L49" s="2">
        <f t="shared" si="0"/>
        <v>-8275.9100000000035</v>
      </c>
      <c r="M49" s="2"/>
      <c r="N49" s="19">
        <f t="shared" si="1"/>
        <v>-0.11119163500908585</v>
      </c>
      <c r="O49" s="11"/>
      <c r="P49" s="2">
        <f>--331667.77</f>
        <v>331667.77</v>
      </c>
      <c r="Q49" s="2"/>
      <c r="R49" s="19"/>
      <c r="S49" s="2"/>
      <c r="T49" s="2">
        <f>--385488.41</f>
        <v>385488.41</v>
      </c>
      <c r="U49" s="2"/>
      <c r="V49" s="19"/>
      <c r="W49" s="2"/>
      <c r="X49" s="2">
        <f t="shared" si="2"/>
        <v>-53820.639999999956</v>
      </c>
      <c r="Y49" s="2"/>
      <c r="Z49" s="19">
        <f t="shared" si="3"/>
        <v>-0.13961675268006102</v>
      </c>
    </row>
    <row r="50" spans="1:26" s="24" customFormat="1" hidden="1" outlineLevel="1" x14ac:dyDescent="0.25">
      <c r="A50" s="44"/>
      <c r="B50" s="11" t="str">
        <f>CONCATENATE("          ", "4101", " - ", "NON-TAXABLE SALES-NEW TEXT")</f>
        <v xml:space="preserve">          4101 - NON-TAXABLE SALES-NEW TEXT</v>
      </c>
      <c r="C50" s="11"/>
      <c r="D50" s="2">
        <f>--27999.53</f>
        <v>27999.53</v>
      </c>
      <c r="E50" s="2"/>
      <c r="F50" s="19"/>
      <c r="G50" s="2"/>
      <c r="H50" s="2">
        <f>--51572.49</f>
        <v>51572.49</v>
      </c>
      <c r="I50" s="2"/>
      <c r="J50" s="19"/>
      <c r="K50" s="2"/>
      <c r="L50" s="2">
        <f t="shared" si="0"/>
        <v>-23572.959999999999</v>
      </c>
      <c r="M50" s="2"/>
      <c r="N50" s="19">
        <f t="shared" si="1"/>
        <v>-0.45708399962848412</v>
      </c>
      <c r="O50" s="11"/>
      <c r="P50" s="2">
        <f>--83892.55</f>
        <v>83892.55</v>
      </c>
      <c r="Q50" s="2"/>
      <c r="R50" s="19"/>
      <c r="S50" s="2"/>
      <c r="T50" s="2">
        <f>--141019.7</f>
        <v>141019.70000000001</v>
      </c>
      <c r="U50" s="2"/>
      <c r="V50" s="19"/>
      <c r="W50" s="2"/>
      <c r="X50" s="2">
        <f t="shared" si="2"/>
        <v>-57127.150000000009</v>
      </c>
      <c r="Y50" s="2"/>
      <c r="Z50" s="19">
        <f t="shared" si="3"/>
        <v>-0.40510049305168006</v>
      </c>
    </row>
    <row r="51" spans="1:26" s="24" customFormat="1" hidden="1" outlineLevel="1" x14ac:dyDescent="0.25">
      <c r="A51" s="44"/>
      <c r="B51" s="11" t="str">
        <f>CONCATENATE("          ", "4102", " - ", "NON-TAXABLE SALES-USED TEXT")</f>
        <v xml:space="preserve">          4102 - NON-TAXABLE SALES-USED TEXT</v>
      </c>
      <c r="C51" s="11"/>
      <c r="D51" s="2">
        <f>--3969.18</f>
        <v>3969.18</v>
      </c>
      <c r="E51" s="2"/>
      <c r="F51" s="19"/>
      <c r="G51" s="2"/>
      <c r="H51" s="2">
        <f>--7949.5</f>
        <v>7949.5</v>
      </c>
      <c r="I51" s="2"/>
      <c r="J51" s="19"/>
      <c r="K51" s="2"/>
      <c r="L51" s="2">
        <f t="shared" si="0"/>
        <v>-3980.32</v>
      </c>
      <c r="M51" s="2"/>
      <c r="N51" s="19">
        <f t="shared" si="1"/>
        <v>-0.50070067299830179</v>
      </c>
      <c r="O51" s="11"/>
      <c r="P51" s="2">
        <f>--36443.51</f>
        <v>36443.51</v>
      </c>
      <c r="Q51" s="2"/>
      <c r="R51" s="19"/>
      <c r="S51" s="2"/>
      <c r="T51" s="2">
        <f>--49251.93</f>
        <v>49251.93</v>
      </c>
      <c r="U51" s="2"/>
      <c r="V51" s="19"/>
      <c r="W51" s="2"/>
      <c r="X51" s="2">
        <f t="shared" si="2"/>
        <v>-12808.419999999998</v>
      </c>
      <c r="Y51" s="2"/>
      <c r="Z51" s="19">
        <f t="shared" si="3"/>
        <v>-0.26005925046998152</v>
      </c>
    </row>
    <row r="52" spans="1:26" s="24" customFormat="1" hidden="1" outlineLevel="1" x14ac:dyDescent="0.25">
      <c r="A52" s="44"/>
      <c r="B52" s="11" t="str">
        <f>CONCATENATE("          ", "4103", " - ", "NON-TAXABLE SALES-RENTAL TEXT")</f>
        <v xml:space="preserve">          4103 - NON-TAXABLE SALES-RENTAL TEXT</v>
      </c>
      <c r="C52" s="11"/>
      <c r="D52" s="2">
        <f>-144.99</f>
        <v>-144.99</v>
      </c>
      <c r="E52" s="2"/>
      <c r="F52" s="19"/>
      <c r="G52" s="2"/>
      <c r="H52" s="2">
        <f>--339.9</f>
        <v>339.9</v>
      </c>
      <c r="I52" s="2"/>
      <c r="J52" s="19"/>
      <c r="K52" s="2"/>
      <c r="L52" s="2">
        <f t="shared" si="0"/>
        <v>-484.89</v>
      </c>
      <c r="M52" s="2"/>
      <c r="N52" s="19">
        <f t="shared" si="1"/>
        <v>-1.4265666372462489</v>
      </c>
      <c r="O52" s="11"/>
      <c r="P52" s="2">
        <f>--329.98</f>
        <v>329.98</v>
      </c>
      <c r="Q52" s="2"/>
      <c r="R52" s="19"/>
      <c r="S52" s="2"/>
      <c r="T52" s="2">
        <f>--509.85</f>
        <v>509.85</v>
      </c>
      <c r="U52" s="2"/>
      <c r="V52" s="19"/>
      <c r="W52" s="2"/>
      <c r="X52" s="2">
        <f t="shared" si="2"/>
        <v>-179.87</v>
      </c>
      <c r="Y52" s="2"/>
      <c r="Z52" s="19">
        <f t="shared" si="3"/>
        <v>-0.35279003628518191</v>
      </c>
    </row>
    <row r="53" spans="1:26" s="24" customFormat="1" hidden="1" outlineLevel="1" x14ac:dyDescent="0.25">
      <c r="A53" s="44"/>
      <c r="B53" s="11" t="str">
        <f>CONCATENATE("          ", "4104", " - ", "NON-TAXABLE SALES-DIGITAL TEXT")</f>
        <v xml:space="preserve">          4104 - NON-TAXABLE SALES-DIGITAL TEXT</v>
      </c>
      <c r="C53" s="11"/>
      <c r="D53" s="2">
        <f>--59065.75</f>
        <v>59065.75</v>
      </c>
      <c r="E53" s="2"/>
      <c r="F53" s="19"/>
      <c r="G53" s="2"/>
      <c r="H53" s="2">
        <f>--69600.97</f>
        <v>69600.97</v>
      </c>
      <c r="I53" s="2"/>
      <c r="J53" s="19"/>
      <c r="K53" s="2"/>
      <c r="L53" s="2">
        <f t="shared" si="0"/>
        <v>-10535.220000000001</v>
      </c>
      <c r="M53" s="2"/>
      <c r="N53" s="19">
        <f t="shared" si="1"/>
        <v>-0.15136599389347594</v>
      </c>
      <c r="O53" s="11"/>
      <c r="P53" s="2">
        <f>--318933.82</f>
        <v>318933.82</v>
      </c>
      <c r="Q53" s="2"/>
      <c r="R53" s="19"/>
      <c r="S53" s="2"/>
      <c r="T53" s="2">
        <f>--334741.53</f>
        <v>334741.53000000003</v>
      </c>
      <c r="U53" s="2"/>
      <c r="V53" s="19"/>
      <c r="W53" s="2"/>
      <c r="X53" s="2">
        <f t="shared" si="2"/>
        <v>-15807.710000000021</v>
      </c>
      <c r="Y53" s="2"/>
      <c r="Z53" s="19">
        <f t="shared" si="3"/>
        <v>-4.7223629526936858E-2</v>
      </c>
    </row>
    <row r="54" spans="1:26" s="24" customFormat="1" hidden="1" outlineLevel="1" x14ac:dyDescent="0.25">
      <c r="A54" s="44"/>
      <c r="B54" s="11" t="str">
        <f>CONCATENATE("          ", "4111", " - ", "NON-TAXABLE SALES-NO VALUE TEX")</f>
        <v xml:space="preserve">          4111 - NON-TAXABLE SALES-NO VALUE TEX</v>
      </c>
      <c r="C54" s="11"/>
      <c r="D54" s="2">
        <f>--594.06</f>
        <v>594.05999999999995</v>
      </c>
      <c r="E54" s="2"/>
      <c r="F54" s="19"/>
      <c r="G54" s="2"/>
      <c r="H54" s="2">
        <f>--1921.77</f>
        <v>1921.77</v>
      </c>
      <c r="I54" s="2"/>
      <c r="J54" s="19"/>
      <c r="K54" s="2"/>
      <c r="L54" s="2">
        <f t="shared" si="0"/>
        <v>-1327.71</v>
      </c>
      <c r="M54" s="2"/>
      <c r="N54" s="19">
        <f t="shared" si="1"/>
        <v>-0.69087872117891325</v>
      </c>
      <c r="O54" s="11"/>
      <c r="P54" s="2">
        <f>--6342.17</f>
        <v>6342.17</v>
      </c>
      <c r="Q54" s="2"/>
      <c r="R54" s="19"/>
      <c r="S54" s="2"/>
      <c r="T54" s="2">
        <f>--8589.74</f>
        <v>8589.74</v>
      </c>
      <c r="U54" s="2"/>
      <c r="V54" s="19"/>
      <c r="W54" s="2"/>
      <c r="X54" s="2">
        <f t="shared" si="2"/>
        <v>-2247.5699999999997</v>
      </c>
      <c r="Y54" s="2"/>
      <c r="Z54" s="19">
        <f t="shared" si="3"/>
        <v>-0.26165751233448276</v>
      </c>
    </row>
    <row r="55" spans="1:26" s="24" customFormat="1" hidden="1" outlineLevel="1" x14ac:dyDescent="0.25">
      <c r="A55" s="44"/>
      <c r="B55" s="11" t="str">
        <f>CONCATENATE("          ", "4113", " - ", "NON-TAXABLE SALES-TRADE BOOKS")</f>
        <v xml:space="preserve">          4113 - NON-TAXABLE SALES-TRADE BOOKS</v>
      </c>
      <c r="C55" s="11"/>
      <c r="D55" s="2">
        <f>0</f>
        <v>0</v>
      </c>
      <c r="E55" s="2"/>
      <c r="F55" s="19"/>
      <c r="G55" s="2"/>
      <c r="H55" s="2">
        <f t="shared" ref="H55:H56" si="5">0</f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--1146.72</f>
        <v>1146.72</v>
      </c>
      <c r="Q55" s="2"/>
      <c r="R55" s="19"/>
      <c r="S55" s="2"/>
      <c r="T55" s="2">
        <f>--38.23</f>
        <v>38.229999999999997</v>
      </c>
      <c r="U55" s="2"/>
      <c r="V55" s="19"/>
      <c r="W55" s="2"/>
      <c r="X55" s="2">
        <f t="shared" si="2"/>
        <v>1108.49</v>
      </c>
      <c r="Y55" s="2"/>
      <c r="Z55" s="19">
        <f t="shared" si="3"/>
        <v>28.995291655767723</v>
      </c>
    </row>
    <row r="56" spans="1:26" s="24" customFormat="1" hidden="1" outlineLevel="1" x14ac:dyDescent="0.25">
      <c r="A56" s="44"/>
      <c r="B56" s="11" t="str">
        <f>CONCATENATE("          ", "4118", " - ", "NON-TAXABLE SALES-STUDY GUIDES")</f>
        <v xml:space="preserve">          4118 - NON-TAXABLE SALES-STUDY GUIDES</v>
      </c>
      <c r="C56" s="11"/>
      <c r="D56" s="2">
        <f>--6.95</f>
        <v>6.95</v>
      </c>
      <c r="E56" s="2"/>
      <c r="F56" s="19"/>
      <c r="G56" s="2"/>
      <c r="H56" s="2">
        <f t="shared" si="5"/>
        <v>0</v>
      </c>
      <c r="I56" s="2"/>
      <c r="J56" s="19"/>
      <c r="K56" s="2"/>
      <c r="L56" s="2">
        <f t="shared" si="0"/>
        <v>6.95</v>
      </c>
      <c r="M56" s="2"/>
      <c r="N56" s="19">
        <f t="shared" si="1"/>
        <v>0</v>
      </c>
      <c r="O56" s="11"/>
      <c r="P56" s="2">
        <f>--20.92</f>
        <v>20.92</v>
      </c>
      <c r="Q56" s="2"/>
      <c r="R56" s="19"/>
      <c r="S56" s="2"/>
      <c r="T56" s="2">
        <f>--111.41</f>
        <v>111.41</v>
      </c>
      <c r="U56" s="2"/>
      <c r="V56" s="19"/>
      <c r="W56" s="2"/>
      <c r="X56" s="2">
        <f t="shared" si="2"/>
        <v>-90.49</v>
      </c>
      <c r="Y56" s="2"/>
      <c r="Z56" s="19">
        <f t="shared" si="3"/>
        <v>-0.81222511444215062</v>
      </c>
    </row>
    <row r="57" spans="1:26" s="24" customFormat="1" hidden="1" outlineLevel="1" x14ac:dyDescent="0.25">
      <c r="A57" s="44"/>
      <c r="B57" s="11" t="str">
        <f>CONCATENATE("          ", "4125", " - ", "NON-TAXABLE SALES-TEST FORMS")</f>
        <v xml:space="preserve">          4125 - NON-TAXABLE SALES-TEST FORMS</v>
      </c>
      <c r="C57" s="11"/>
      <c r="D57" s="2">
        <f>--42.03</f>
        <v>42.03</v>
      </c>
      <c r="E57" s="2"/>
      <c r="F57" s="19"/>
      <c r="G57" s="2"/>
      <c r="H57" s="2">
        <f>--51.94</f>
        <v>51.94</v>
      </c>
      <c r="I57" s="2"/>
      <c r="J57" s="19"/>
      <c r="K57" s="2"/>
      <c r="L57" s="2">
        <f t="shared" si="0"/>
        <v>-9.9099999999999966</v>
      </c>
      <c r="M57" s="2"/>
      <c r="N57" s="19">
        <f t="shared" si="1"/>
        <v>-0.19079707354639963</v>
      </c>
      <c r="O57" s="11"/>
      <c r="P57" s="2">
        <f>--124.18</f>
        <v>124.18</v>
      </c>
      <c r="Q57" s="2"/>
      <c r="R57" s="19"/>
      <c r="S57" s="2"/>
      <c r="T57" s="2">
        <f>--160.73</f>
        <v>160.72999999999999</v>
      </c>
      <c r="U57" s="2"/>
      <c r="V57" s="19"/>
      <c r="W57" s="2"/>
      <c r="X57" s="2">
        <f t="shared" si="2"/>
        <v>-36.549999999999983</v>
      </c>
      <c r="Y57" s="2"/>
      <c r="Z57" s="19">
        <f t="shared" si="3"/>
        <v>-0.22739998755677213</v>
      </c>
    </row>
    <row r="58" spans="1:26" s="24" customFormat="1" hidden="1" outlineLevel="1" x14ac:dyDescent="0.25">
      <c r="A58" s="44"/>
      <c r="B58" s="11" t="str">
        <f>CONCATENATE("          ", "4126", " - ", "NON-TAXABLE SALES-WRITING INST")</f>
        <v xml:space="preserve">          4126 - NON-TAXABLE SALES-WRITING INST</v>
      </c>
      <c r="C58" s="11"/>
      <c r="D58" s="2">
        <f>--332.14</f>
        <v>332.14</v>
      </c>
      <c r="E58" s="2"/>
      <c r="F58" s="19"/>
      <c r="G58" s="2"/>
      <c r="H58" s="2">
        <f>--514.49</f>
        <v>514.49</v>
      </c>
      <c r="I58" s="2"/>
      <c r="J58" s="19"/>
      <c r="K58" s="2"/>
      <c r="L58" s="2">
        <f t="shared" si="0"/>
        <v>-182.35000000000002</v>
      </c>
      <c r="M58" s="2"/>
      <c r="N58" s="19">
        <f t="shared" si="1"/>
        <v>-0.35442865750549091</v>
      </c>
      <c r="O58" s="11"/>
      <c r="P58" s="2">
        <f>--1343.26</f>
        <v>1343.26</v>
      </c>
      <c r="Q58" s="2"/>
      <c r="R58" s="19"/>
      <c r="S58" s="2"/>
      <c r="T58" s="2">
        <f>--1695.46</f>
        <v>1695.46</v>
      </c>
      <c r="U58" s="2"/>
      <c r="V58" s="19"/>
      <c r="W58" s="2"/>
      <c r="X58" s="2">
        <f t="shared" si="2"/>
        <v>-352.20000000000005</v>
      </c>
      <c r="Y58" s="2"/>
      <c r="Z58" s="19">
        <f t="shared" si="3"/>
        <v>-0.20773123518101286</v>
      </c>
    </row>
    <row r="59" spans="1:26" s="24" customFormat="1" hidden="1" outlineLevel="1" x14ac:dyDescent="0.25">
      <c r="A59" s="44"/>
      <c r="B59" s="11" t="str">
        <f>CONCATENATE("          ", "4127", " - ", "NON-TAXABLE SALES-SCHOOL SUPPL")</f>
        <v xml:space="preserve">          4127 - NON-TAXABLE SALES-SCHOOL SUPPL</v>
      </c>
      <c r="C59" s="11"/>
      <c r="D59" s="2">
        <f>--547.21</f>
        <v>547.21</v>
      </c>
      <c r="E59" s="2"/>
      <c r="F59" s="19"/>
      <c r="G59" s="2"/>
      <c r="H59" s="2">
        <f>--636.96</f>
        <v>636.96</v>
      </c>
      <c r="I59" s="2"/>
      <c r="J59" s="19"/>
      <c r="K59" s="2"/>
      <c r="L59" s="2">
        <f t="shared" si="0"/>
        <v>-89.75</v>
      </c>
      <c r="M59" s="2"/>
      <c r="N59" s="19">
        <f t="shared" si="1"/>
        <v>-0.14090366742024615</v>
      </c>
      <c r="O59" s="11"/>
      <c r="P59" s="2">
        <f>--2417.49</f>
        <v>2417.4899999999998</v>
      </c>
      <c r="Q59" s="2"/>
      <c r="R59" s="19"/>
      <c r="S59" s="2"/>
      <c r="T59" s="2">
        <f>--2536.68</f>
        <v>2536.6799999999998</v>
      </c>
      <c r="U59" s="2"/>
      <c r="V59" s="19"/>
      <c r="W59" s="2"/>
      <c r="X59" s="2">
        <f t="shared" si="2"/>
        <v>-119.19000000000005</v>
      </c>
      <c r="Y59" s="2"/>
      <c r="Z59" s="19">
        <f t="shared" si="3"/>
        <v>-4.6986612422536565E-2</v>
      </c>
    </row>
    <row r="60" spans="1:26" s="24" customFormat="1" hidden="1" outlineLevel="1" x14ac:dyDescent="0.25">
      <c r="A60" s="44"/>
      <c r="B60" s="11" t="str">
        <f>CONCATENATE("          ", "4128", " - ", "NON-TAXABLE SALES-ART/TECH")</f>
        <v xml:space="preserve">          4128 - NON-TAXABLE SALES-ART/TECH</v>
      </c>
      <c r="C60" s="11"/>
      <c r="D60" s="2">
        <f>--132.8</f>
        <v>132.80000000000001</v>
      </c>
      <c r="E60" s="2"/>
      <c r="F60" s="19"/>
      <c r="G60" s="2"/>
      <c r="H60" s="2">
        <f>--158.57</f>
        <v>158.57</v>
      </c>
      <c r="I60" s="2"/>
      <c r="J60" s="19"/>
      <c r="K60" s="2"/>
      <c r="L60" s="2">
        <f t="shared" si="0"/>
        <v>-25.769999999999982</v>
      </c>
      <c r="M60" s="2"/>
      <c r="N60" s="19">
        <f t="shared" si="1"/>
        <v>-0.16251497761241082</v>
      </c>
      <c r="O60" s="11"/>
      <c r="P60" s="2">
        <f>--262.9</f>
        <v>262.89999999999998</v>
      </c>
      <c r="Q60" s="2"/>
      <c r="R60" s="19"/>
      <c r="S60" s="2"/>
      <c r="T60" s="2">
        <f>--562.56</f>
        <v>562.55999999999995</v>
      </c>
      <c r="U60" s="2"/>
      <c r="V60" s="19"/>
      <c r="W60" s="2"/>
      <c r="X60" s="2">
        <f t="shared" si="2"/>
        <v>-299.65999999999997</v>
      </c>
      <c r="Y60" s="2"/>
      <c r="Z60" s="19">
        <f t="shared" si="3"/>
        <v>-0.53267207053469856</v>
      </c>
    </row>
    <row r="61" spans="1:26" s="24" customFormat="1" hidden="1" outlineLevel="1" x14ac:dyDescent="0.25">
      <c r="A61" s="44"/>
      <c r="B61" s="11" t="str">
        <f>CONCATENATE("          ", "4131", " - ", "NON-TAXABLE SALES-FOOD")</f>
        <v xml:space="preserve">          4131 - NON-TAXABLE SALES-FOOD</v>
      </c>
      <c r="C61" s="11"/>
      <c r="D61" s="2">
        <f>--10548.09</f>
        <v>10548.09</v>
      </c>
      <c r="E61" s="2"/>
      <c r="F61" s="19"/>
      <c r="G61" s="2"/>
      <c r="H61" s="2">
        <f>--10229.12</f>
        <v>10229.120000000001</v>
      </c>
      <c r="I61" s="2"/>
      <c r="J61" s="19"/>
      <c r="K61" s="2"/>
      <c r="L61" s="2">
        <f t="shared" si="0"/>
        <v>318.96999999999935</v>
      </c>
      <c r="M61" s="2"/>
      <c r="N61" s="19">
        <f t="shared" si="1"/>
        <v>3.1182545517111866E-2</v>
      </c>
      <c r="O61" s="11"/>
      <c r="P61" s="2">
        <f>--13265.29</f>
        <v>13265.29</v>
      </c>
      <c r="Q61" s="2"/>
      <c r="R61" s="19"/>
      <c r="S61" s="2"/>
      <c r="T61" s="2">
        <f>--13183.57</f>
        <v>13183.57</v>
      </c>
      <c r="U61" s="2"/>
      <c r="V61" s="19"/>
      <c r="W61" s="2"/>
      <c r="X61" s="2">
        <f t="shared" si="2"/>
        <v>81.720000000001164</v>
      </c>
      <c r="Y61" s="2"/>
      <c r="Z61" s="19">
        <f t="shared" si="3"/>
        <v>6.1986245000406693E-3</v>
      </c>
    </row>
    <row r="62" spans="1:26" s="24" customFormat="1" hidden="1" outlineLevel="1" x14ac:dyDescent="0.25">
      <c r="A62" s="44"/>
      <c r="B62" s="11" t="str">
        <f>CONCATENATE("          ", "4132", " - ", "NON-TAXABLE SALES-JUICE")</f>
        <v xml:space="preserve">          4132 - NON-TAXABLE SALES-JUICE</v>
      </c>
      <c r="C62" s="11"/>
      <c r="D62" s="2">
        <f>--3051.46</f>
        <v>3051.46</v>
      </c>
      <c r="E62" s="2"/>
      <c r="F62" s="19"/>
      <c r="G62" s="2"/>
      <c r="H62" s="2">
        <f>--2688.01</f>
        <v>2688.01</v>
      </c>
      <c r="I62" s="2"/>
      <c r="J62" s="19"/>
      <c r="K62" s="2"/>
      <c r="L62" s="2">
        <f t="shared" si="0"/>
        <v>363.44999999999982</v>
      </c>
      <c r="M62" s="2"/>
      <c r="N62" s="19">
        <f t="shared" si="1"/>
        <v>0.13521155055226722</v>
      </c>
      <c r="O62" s="11"/>
      <c r="P62" s="2">
        <f>--3810.37</f>
        <v>3810.37</v>
      </c>
      <c r="Q62" s="2"/>
      <c r="R62" s="19"/>
      <c r="S62" s="2"/>
      <c r="T62" s="2">
        <f>--3382.5</f>
        <v>3382.5</v>
      </c>
      <c r="U62" s="2"/>
      <c r="V62" s="19"/>
      <c r="W62" s="2"/>
      <c r="X62" s="2">
        <f t="shared" si="2"/>
        <v>427.86999999999989</v>
      </c>
      <c r="Y62" s="2"/>
      <c r="Z62" s="19">
        <f t="shared" si="3"/>
        <v>0.12649519586104949</v>
      </c>
    </row>
    <row r="63" spans="1:26" s="24" customFormat="1" hidden="1" outlineLevel="1" x14ac:dyDescent="0.25">
      <c r="A63" s="44"/>
      <c r="B63" s="11" t="str">
        <f>CONCATENATE("          ", "4133", " - ", "NON-TAXABLE SALES-CANDY")</f>
        <v xml:space="preserve">          4133 - NON-TAXABLE SALES-CANDY</v>
      </c>
      <c r="C63" s="11"/>
      <c r="D63" s="2">
        <f>--3292.63</f>
        <v>3292.63</v>
      </c>
      <c r="E63" s="2"/>
      <c r="F63" s="19"/>
      <c r="G63" s="2"/>
      <c r="H63" s="2">
        <f>--2613.86</f>
        <v>2613.86</v>
      </c>
      <c r="I63" s="2"/>
      <c r="J63" s="19"/>
      <c r="K63" s="2"/>
      <c r="L63" s="2">
        <f t="shared" si="0"/>
        <v>678.77</v>
      </c>
      <c r="M63" s="2"/>
      <c r="N63" s="19">
        <f t="shared" si="1"/>
        <v>0.25968108467936307</v>
      </c>
      <c r="O63" s="11"/>
      <c r="P63" s="2">
        <f>--4664.98</f>
        <v>4664.9799999999996</v>
      </c>
      <c r="Q63" s="2"/>
      <c r="R63" s="19"/>
      <c r="S63" s="2"/>
      <c r="T63" s="2">
        <f>--3806.67</f>
        <v>3806.67</v>
      </c>
      <c r="U63" s="2"/>
      <c r="V63" s="19"/>
      <c r="W63" s="2"/>
      <c r="X63" s="2">
        <f t="shared" si="2"/>
        <v>858.30999999999949</v>
      </c>
      <c r="Y63" s="2"/>
      <c r="Z63" s="19">
        <f t="shared" si="3"/>
        <v>0.2254752841722554</v>
      </c>
    </row>
    <row r="64" spans="1:26" s="24" customFormat="1" hidden="1" outlineLevel="1" x14ac:dyDescent="0.25">
      <c r="A64" s="44"/>
      <c r="B64" s="11" t="str">
        <f>CONCATENATE("          ", "4134", " - ", "NON-TAXABLE SALES-SODA")</f>
        <v xml:space="preserve">          4134 - NON-TAXABLE SALES-SODA</v>
      </c>
      <c r="C64" s="11"/>
      <c r="D64" s="2">
        <f>0</f>
        <v>0</v>
      </c>
      <c r="E64" s="2"/>
      <c r="F64" s="19"/>
      <c r="G64" s="2"/>
      <c r="H64" s="2">
        <f>--55.74</f>
        <v>55.74</v>
      </c>
      <c r="I64" s="2"/>
      <c r="J64" s="19"/>
      <c r="K64" s="2"/>
      <c r="L64" s="2">
        <f t="shared" si="0"/>
        <v>-55.74</v>
      </c>
      <c r="M64" s="2"/>
      <c r="N64" s="19">
        <f t="shared" si="1"/>
        <v>-1</v>
      </c>
      <c r="O64" s="11"/>
      <c r="P64" s="2">
        <f>0</f>
        <v>0</v>
      </c>
      <c r="Q64" s="2"/>
      <c r="R64" s="19"/>
      <c r="S64" s="2"/>
      <c r="T64" s="2">
        <f>--109.47</f>
        <v>109.47</v>
      </c>
      <c r="U64" s="2"/>
      <c r="V64" s="19"/>
      <c r="W64" s="2"/>
      <c r="X64" s="2">
        <f t="shared" si="2"/>
        <v>-109.47</v>
      </c>
      <c r="Y64" s="2"/>
      <c r="Z64" s="19">
        <f t="shared" si="3"/>
        <v>-1</v>
      </c>
    </row>
    <row r="65" spans="1:26" s="24" customFormat="1" hidden="1" outlineLevel="1" x14ac:dyDescent="0.25">
      <c r="A65" s="44"/>
      <c r="B65" s="11" t="str">
        <f>CONCATENATE("          ", "4135", " - ", "NON-TAXABLE SALES")</f>
        <v xml:space="preserve">          4135 - NON-TAXABLE SALES</v>
      </c>
      <c r="C65" s="11"/>
      <c r="D65" s="2">
        <f>--32.31</f>
        <v>32.31</v>
      </c>
      <c r="E65" s="2"/>
      <c r="F65" s="19"/>
      <c r="G65" s="2"/>
      <c r="H65" s="2">
        <f>--34.03</f>
        <v>34.03</v>
      </c>
      <c r="I65" s="2"/>
      <c r="J65" s="19"/>
      <c r="K65" s="2"/>
      <c r="L65" s="2">
        <f t="shared" si="0"/>
        <v>-1.7199999999999989</v>
      </c>
      <c r="M65" s="2"/>
      <c r="N65" s="19">
        <f t="shared" si="1"/>
        <v>-5.0543637966500111E-2</v>
      </c>
      <c r="O65" s="11"/>
      <c r="P65" s="2">
        <f>--86.06</f>
        <v>86.06</v>
      </c>
      <c r="Q65" s="2"/>
      <c r="R65" s="19"/>
      <c r="S65" s="2"/>
      <c r="T65" s="2">
        <f>--50.62</f>
        <v>50.62</v>
      </c>
      <c r="U65" s="2"/>
      <c r="V65" s="19"/>
      <c r="W65" s="2"/>
      <c r="X65" s="2">
        <f t="shared" si="2"/>
        <v>35.440000000000005</v>
      </c>
      <c r="Y65" s="2"/>
      <c r="Z65" s="19">
        <f t="shared" si="3"/>
        <v>0.70011853022520754</v>
      </c>
    </row>
    <row r="66" spans="1:26" s="24" customFormat="1" hidden="1" outlineLevel="1" x14ac:dyDescent="0.25">
      <c r="A66" s="44"/>
      <c r="B66" s="11" t="str">
        <f>CONCATENATE("          ", "4137", " - ", "NON-TAXABLE SALES-WATER")</f>
        <v xml:space="preserve">          4137 - NON-TAXABLE SALES-WATER</v>
      </c>
      <c r="C66" s="11"/>
      <c r="D66" s="2">
        <f>--1634.15</f>
        <v>1634.15</v>
      </c>
      <c r="E66" s="2"/>
      <c r="F66" s="19"/>
      <c r="G66" s="2"/>
      <c r="H66" s="2">
        <f>--1349.71</f>
        <v>1349.71</v>
      </c>
      <c r="I66" s="2"/>
      <c r="J66" s="19"/>
      <c r="K66" s="2"/>
      <c r="L66" s="2">
        <f t="shared" si="0"/>
        <v>284.44000000000005</v>
      </c>
      <c r="M66" s="2"/>
      <c r="N66" s="19">
        <f t="shared" si="1"/>
        <v>0.21074156670692226</v>
      </c>
      <c r="O66" s="11"/>
      <c r="P66" s="2">
        <f>--2240.87</f>
        <v>2240.87</v>
      </c>
      <c r="Q66" s="2"/>
      <c r="R66" s="19"/>
      <c r="S66" s="2"/>
      <c r="T66" s="2">
        <f>--1813.68</f>
        <v>1813.68</v>
      </c>
      <c r="U66" s="2"/>
      <c r="V66" s="19"/>
      <c r="W66" s="2"/>
      <c r="X66" s="2">
        <f t="shared" si="2"/>
        <v>427.18999999999983</v>
      </c>
      <c r="Y66" s="2"/>
      <c r="Z66" s="19">
        <f t="shared" si="3"/>
        <v>0.23553769132371741</v>
      </c>
    </row>
    <row r="67" spans="1:26" s="24" customFormat="1" hidden="1" outlineLevel="1" x14ac:dyDescent="0.25">
      <c r="A67" s="44"/>
      <c r="B67" s="11" t="str">
        <f>CONCATENATE("          ", "4140", " - ", "NON-TAXABLE SALES-LOGO CLOTHIN")</f>
        <v xml:space="preserve">          4140 - NON-TAXABLE SALES-LOGO CLOTHIN</v>
      </c>
      <c r="C67" s="11"/>
      <c r="D67" s="2">
        <f>--3114.74</f>
        <v>3114.74</v>
      </c>
      <c r="E67" s="2"/>
      <c r="F67" s="19"/>
      <c r="G67" s="2"/>
      <c r="H67" s="2">
        <f>--2646.49</f>
        <v>2646.49</v>
      </c>
      <c r="I67" s="2"/>
      <c r="J67" s="19"/>
      <c r="K67" s="2"/>
      <c r="L67" s="2">
        <f t="shared" si="0"/>
        <v>468.25</v>
      </c>
      <c r="M67" s="2"/>
      <c r="N67" s="19">
        <f t="shared" si="1"/>
        <v>0.1769324652653137</v>
      </c>
      <c r="O67" s="11"/>
      <c r="P67" s="2">
        <f>--8257.7</f>
        <v>8257.7000000000007</v>
      </c>
      <c r="Q67" s="2"/>
      <c r="R67" s="19"/>
      <c r="S67" s="2"/>
      <c r="T67" s="2">
        <f>--7904.3</f>
        <v>7904.3</v>
      </c>
      <c r="U67" s="2"/>
      <c r="V67" s="19"/>
      <c r="W67" s="2"/>
      <c r="X67" s="2">
        <f t="shared" si="2"/>
        <v>353.40000000000055</v>
      </c>
      <c r="Y67" s="2"/>
      <c r="Z67" s="19">
        <f t="shared" si="3"/>
        <v>4.470984147868888E-2</v>
      </c>
    </row>
    <row r="68" spans="1:26" s="24" customFormat="1" hidden="1" outlineLevel="1" x14ac:dyDescent="0.25">
      <c r="A68" s="44"/>
      <c r="B68" s="11" t="str">
        <f>CONCATENATE("          ", "4141", " - ", "NON-TAXABLE SALES-LOGO GIFTS")</f>
        <v xml:space="preserve">          4141 - NON-TAXABLE SALES-LOGO GIFTS</v>
      </c>
      <c r="C68" s="11"/>
      <c r="D68" s="2">
        <f>--120.34</f>
        <v>120.34</v>
      </c>
      <c r="E68" s="2"/>
      <c r="F68" s="19"/>
      <c r="G68" s="2"/>
      <c r="H68" s="2">
        <f>--608.29</f>
        <v>608.29</v>
      </c>
      <c r="I68" s="2"/>
      <c r="J68" s="19"/>
      <c r="K68" s="2"/>
      <c r="L68" s="2">
        <f t="shared" si="0"/>
        <v>-487.94999999999993</v>
      </c>
      <c r="M68" s="2"/>
      <c r="N68" s="19">
        <f t="shared" si="1"/>
        <v>-0.80216672968485425</v>
      </c>
      <c r="O68" s="11"/>
      <c r="P68" s="2">
        <f>--814.64</f>
        <v>814.64</v>
      </c>
      <c r="Q68" s="2"/>
      <c r="R68" s="19"/>
      <c r="S68" s="2"/>
      <c r="T68" s="2">
        <f>--1728.29</f>
        <v>1728.29</v>
      </c>
      <c r="U68" s="2"/>
      <c r="V68" s="19"/>
      <c r="W68" s="2"/>
      <c r="X68" s="2">
        <f t="shared" si="2"/>
        <v>-913.65</v>
      </c>
      <c r="Y68" s="2"/>
      <c r="Z68" s="19">
        <f t="shared" si="3"/>
        <v>-0.5286439197125482</v>
      </c>
    </row>
    <row r="69" spans="1:26" s="24" customFormat="1" hidden="1" outlineLevel="1" x14ac:dyDescent="0.25">
      <c r="A69" s="44"/>
      <c r="B69" s="11" t="str">
        <f>CONCATENATE("          ", "4142", " - ", "NON-TAXABLE SALES-EVERYDAY GIF")</f>
        <v xml:space="preserve">          4142 - NON-TAXABLE SALES-EVERYDAY GIF</v>
      </c>
      <c r="C69" s="11"/>
      <c r="D69" s="2">
        <f>--2116.4</f>
        <v>2116.4</v>
      </c>
      <c r="E69" s="2"/>
      <c r="F69" s="19"/>
      <c r="G69" s="2"/>
      <c r="H69" s="2">
        <f>--1788.77</f>
        <v>1788.77</v>
      </c>
      <c r="I69" s="2"/>
      <c r="J69" s="19"/>
      <c r="K69" s="2"/>
      <c r="L69" s="2">
        <f t="shared" si="0"/>
        <v>327.63000000000011</v>
      </c>
      <c r="M69" s="2"/>
      <c r="N69" s="19">
        <f t="shared" si="1"/>
        <v>0.18315937767292614</v>
      </c>
      <c r="O69" s="11"/>
      <c r="P69" s="2">
        <f>--3036.5</f>
        <v>3036.5</v>
      </c>
      <c r="Q69" s="2"/>
      <c r="R69" s="19"/>
      <c r="S69" s="2"/>
      <c r="T69" s="2">
        <f>--2447.76</f>
        <v>2447.7600000000002</v>
      </c>
      <c r="U69" s="2"/>
      <c r="V69" s="19"/>
      <c r="W69" s="2"/>
      <c r="X69" s="2">
        <f t="shared" si="2"/>
        <v>588.73999999999978</v>
      </c>
      <c r="Y69" s="2"/>
      <c r="Z69" s="19">
        <f t="shared" si="3"/>
        <v>0.2405219465960714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 t="shared" ref="D70:D71" si="6">0</f>
        <v>0</v>
      </c>
      <c r="E70" s="2"/>
      <c r="F70" s="19"/>
      <c r="G70" s="2"/>
      <c r="H70" s="2">
        <f>--89.85</f>
        <v>89.85</v>
      </c>
      <c r="I70" s="2"/>
      <c r="J70" s="19"/>
      <c r="K70" s="2"/>
      <c r="L70" s="2">
        <f t="shared" si="0"/>
        <v>-89.85</v>
      </c>
      <c r="M70" s="2"/>
      <c r="N70" s="19">
        <f t="shared" si="1"/>
        <v>-1</v>
      </c>
      <c r="O70" s="11"/>
      <c r="P70" s="2">
        <f>--139.76</f>
        <v>139.76</v>
      </c>
      <c r="Q70" s="2"/>
      <c r="R70" s="19"/>
      <c r="S70" s="2"/>
      <c r="T70" s="2">
        <f>--174.75</f>
        <v>174.75</v>
      </c>
      <c r="U70" s="2"/>
      <c r="V70" s="19"/>
      <c r="W70" s="2"/>
      <c r="X70" s="2">
        <f t="shared" si="2"/>
        <v>-34.990000000000009</v>
      </c>
      <c r="Y70" s="2"/>
      <c r="Z70" s="19">
        <f t="shared" si="3"/>
        <v>-0.20022889842632338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 t="shared" si="6"/>
        <v>0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--90</f>
        <v>90</v>
      </c>
      <c r="Q71" s="2"/>
      <c r="R71" s="19"/>
      <c r="S71" s="2"/>
      <c r="T71" s="2">
        <f>--201.75</f>
        <v>201.75</v>
      </c>
      <c r="U71" s="2"/>
      <c r="V71" s="19"/>
      <c r="W71" s="2"/>
      <c r="X71" s="2">
        <f t="shared" si="2"/>
        <v>-111.75</v>
      </c>
      <c r="Y71" s="2"/>
      <c r="Z71" s="19">
        <f t="shared" si="3"/>
        <v>-0.55390334572490707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--34744.75</f>
        <v>34744.75</v>
      </c>
      <c r="E72" s="2"/>
      <c r="F72" s="19"/>
      <c r="G72" s="2"/>
      <c r="H72" s="2">
        <f>--34411.4</f>
        <v>34411.4</v>
      </c>
      <c r="I72" s="2"/>
      <c r="J72" s="19"/>
      <c r="K72" s="2"/>
      <c r="L72" s="2">
        <f t="shared" si="0"/>
        <v>333.34999999999854</v>
      </c>
      <c r="M72" s="2"/>
      <c r="N72" s="19">
        <f t="shared" si="1"/>
        <v>9.6871966848195226E-3</v>
      </c>
      <c r="O72" s="11"/>
      <c r="P72" s="2">
        <f>--50093.5</f>
        <v>50093.5</v>
      </c>
      <c r="Q72" s="2"/>
      <c r="R72" s="19"/>
      <c r="S72" s="2"/>
      <c r="T72" s="2">
        <f>--49114.45</f>
        <v>49114.45</v>
      </c>
      <c r="U72" s="2"/>
      <c r="V72" s="19"/>
      <c r="W72" s="2"/>
      <c r="X72" s="2">
        <f t="shared" si="2"/>
        <v>979.05000000000291</v>
      </c>
      <c r="Y72" s="2"/>
      <c r="Z72" s="19">
        <f t="shared" si="3"/>
        <v>1.9934051994881404E-2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--344.5</f>
        <v>344.5</v>
      </c>
      <c r="E73" s="2"/>
      <c r="F73" s="19"/>
      <c r="G73" s="2"/>
      <c r="H73" s="2">
        <f>--92</f>
        <v>92</v>
      </c>
      <c r="I73" s="2"/>
      <c r="J73" s="19"/>
      <c r="K73" s="2"/>
      <c r="L73" s="2">
        <f t="shared" si="0"/>
        <v>252.5</v>
      </c>
      <c r="M73" s="2"/>
      <c r="N73" s="19">
        <f t="shared" si="1"/>
        <v>2.7445652173913042</v>
      </c>
      <c r="O73" s="11"/>
      <c r="P73" s="2">
        <f>--414.9</f>
        <v>414.9</v>
      </c>
      <c r="Q73" s="2"/>
      <c r="R73" s="19"/>
      <c r="S73" s="2"/>
      <c r="T73" s="2">
        <f>--190</f>
        <v>190</v>
      </c>
      <c r="U73" s="2"/>
      <c r="V73" s="19"/>
      <c r="W73" s="2"/>
      <c r="X73" s="2">
        <f t="shared" si="2"/>
        <v>224.89999999999998</v>
      </c>
      <c r="Y73" s="2"/>
      <c r="Z73" s="19">
        <f t="shared" si="3"/>
        <v>1.1836842105263157</v>
      </c>
    </row>
    <row r="74" spans="1:26" s="24" customFormat="1" hidden="1" outlineLevel="1" x14ac:dyDescent="0.25">
      <c r="A74" s="44"/>
      <c r="B74" s="11" t="str">
        <f>CONCATENATE("          ", "4181", " - ", "NON-TAXABLE SALES-ELECTRONICS")</f>
        <v xml:space="preserve">          4181 - NON-TAXABLE SALES-ELECTRONICS</v>
      </c>
      <c r="C74" s="11"/>
      <c r="D74" s="2">
        <f>--63.96</f>
        <v>63.96</v>
      </c>
      <c r="E74" s="2"/>
      <c r="F74" s="19"/>
      <c r="G74" s="2"/>
      <c r="H74" s="2">
        <f>--494.95</f>
        <v>494.95</v>
      </c>
      <c r="I74" s="2"/>
      <c r="J74" s="19"/>
      <c r="K74" s="2"/>
      <c r="L74" s="2">
        <f t="shared" si="0"/>
        <v>-430.99</v>
      </c>
      <c r="M74" s="2"/>
      <c r="N74" s="19">
        <f t="shared" si="1"/>
        <v>-0.87077482573997378</v>
      </c>
      <c r="O74" s="11"/>
      <c r="P74" s="2">
        <f>--1454.52</f>
        <v>1454.52</v>
      </c>
      <c r="Q74" s="2"/>
      <c r="R74" s="19"/>
      <c r="S74" s="2"/>
      <c r="T74" s="2">
        <f>--836.92</f>
        <v>836.92</v>
      </c>
      <c r="U74" s="2"/>
      <c r="V74" s="19"/>
      <c r="W74" s="2"/>
      <c r="X74" s="2">
        <f t="shared" si="2"/>
        <v>617.6</v>
      </c>
      <c r="Y74" s="2"/>
      <c r="Z74" s="19">
        <f t="shared" si="3"/>
        <v>0.73794388949959377</v>
      </c>
    </row>
    <row r="75" spans="1:26" s="24" customFormat="1" hidden="1" outlineLevel="1" x14ac:dyDescent="0.25">
      <c r="A75" s="44"/>
      <c r="B75" s="11" t="str">
        <f>CONCATENATE("          ", "4182", " - ", "NON-TAXABLE SALES-COMPUTER HAR")</f>
        <v xml:space="preserve">          4182 - NON-TAXABLE SALES-COMPUTER HAR</v>
      </c>
      <c r="C75" s="11"/>
      <c r="D75" s="2">
        <f>--15231</f>
        <v>15231</v>
      </c>
      <c r="E75" s="2"/>
      <c r="F75" s="19"/>
      <c r="G75" s="2"/>
      <c r="H75" s="2">
        <f>--20047.9</f>
        <v>20047.900000000001</v>
      </c>
      <c r="I75" s="2"/>
      <c r="J75" s="19"/>
      <c r="K75" s="2"/>
      <c r="L75" s="2">
        <f t="shared" si="0"/>
        <v>-4816.9000000000015</v>
      </c>
      <c r="M75" s="2"/>
      <c r="N75" s="19">
        <f t="shared" si="1"/>
        <v>-0.24026955441717093</v>
      </c>
      <c r="O75" s="11"/>
      <c r="P75" s="2">
        <f>--45802</f>
        <v>45802</v>
      </c>
      <c r="Q75" s="2"/>
      <c r="R75" s="19"/>
      <c r="S75" s="2"/>
      <c r="T75" s="2">
        <f>--63213.88</f>
        <v>63213.88</v>
      </c>
      <c r="U75" s="2"/>
      <c r="V75" s="19"/>
      <c r="W75" s="2"/>
      <c r="X75" s="2">
        <f t="shared" si="2"/>
        <v>-17411.879999999997</v>
      </c>
      <c r="Y75" s="2"/>
      <c r="Z75" s="19">
        <f t="shared" si="3"/>
        <v>-0.27544393731250161</v>
      </c>
    </row>
    <row r="76" spans="1:26" s="24" customFormat="1" hidden="1" outlineLevel="1" x14ac:dyDescent="0.25">
      <c r="A76" s="44"/>
      <c r="B76" s="11" t="str">
        <f>CONCATENATE("          ", "4183", " - ", "NON-TAXABLE SALES-COMPUTER EQU")</f>
        <v xml:space="preserve">          4183 - NON-TAXABLE SALES-COMPUTER EQU</v>
      </c>
      <c r="C76" s="11"/>
      <c r="D76" s="2">
        <f>--864.82</f>
        <v>864.82</v>
      </c>
      <c r="E76" s="2"/>
      <c r="F76" s="19"/>
      <c r="G76" s="2"/>
      <c r="H76" s="2">
        <f>--948.73</f>
        <v>948.73</v>
      </c>
      <c r="I76" s="2"/>
      <c r="J76" s="19"/>
      <c r="K76" s="2"/>
      <c r="L76" s="2">
        <f t="shared" si="0"/>
        <v>-83.909999999999968</v>
      </c>
      <c r="M76" s="2"/>
      <c r="N76" s="19">
        <f t="shared" si="1"/>
        <v>-8.8444552190823492E-2</v>
      </c>
      <c r="O76" s="11"/>
      <c r="P76" s="2">
        <f>--2021.11</f>
        <v>2021.11</v>
      </c>
      <c r="Q76" s="2"/>
      <c r="R76" s="19"/>
      <c r="S76" s="2"/>
      <c r="T76" s="2">
        <f>--1630.45</f>
        <v>1630.45</v>
      </c>
      <c r="U76" s="2"/>
      <c r="V76" s="19"/>
      <c r="W76" s="2"/>
      <c r="X76" s="2">
        <f t="shared" si="2"/>
        <v>390.65999999999985</v>
      </c>
      <c r="Y76" s="2"/>
      <c r="Z76" s="19">
        <f t="shared" si="3"/>
        <v>0.23960256370940528</v>
      </c>
    </row>
    <row r="77" spans="1:26" s="24" customFormat="1" hidden="1" outlineLevel="1" x14ac:dyDescent="0.25">
      <c r="A77" s="44"/>
      <c r="B77" s="11" t="str">
        <f>CONCATENATE("          ", "4184", " - ", "NON-TAXABLE SALES-SOFTWARE LIC")</f>
        <v xml:space="preserve">          4184 - NON-TAXABLE SALES-SOFTWARE LIC</v>
      </c>
      <c r="C77" s="11"/>
      <c r="D77" s="2">
        <f>0</f>
        <v>0</v>
      </c>
      <c r="E77" s="2"/>
      <c r="F77" s="19"/>
      <c r="G77" s="2"/>
      <c r="H77" s="2">
        <f>0</f>
        <v>0</v>
      </c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--1522</f>
        <v>1522</v>
      </c>
      <c r="Q77" s="2"/>
      <c r="R77" s="19"/>
      <c r="S77" s="2"/>
      <c r="T77" s="2">
        <f>--99</f>
        <v>99</v>
      </c>
      <c r="U77" s="2"/>
      <c r="V77" s="19"/>
      <c r="W77" s="2"/>
      <c r="X77" s="2">
        <f t="shared" si="2"/>
        <v>1423</v>
      </c>
      <c r="Y77" s="2"/>
      <c r="Z77" s="19">
        <f t="shared" si="3"/>
        <v>14.373737373737374</v>
      </c>
    </row>
    <row r="78" spans="1:26" s="24" customFormat="1" hidden="1" outlineLevel="1" x14ac:dyDescent="0.25">
      <c r="A78" s="44"/>
      <c r="B78" s="11" t="str">
        <f>CONCATENATE("          ", "4185", " - ", "NON-TAXABLE SALES-SOFTWARE")</f>
        <v xml:space="preserve">          4185 - NON-TAXABLE SALES-SOFTWARE</v>
      </c>
      <c r="C78" s="11"/>
      <c r="D78" s="2">
        <f>--2555.94</f>
        <v>2555.94</v>
      </c>
      <c r="E78" s="2"/>
      <c r="F78" s="19"/>
      <c r="G78" s="2"/>
      <c r="H78" s="2">
        <f>--294.99</f>
        <v>294.99</v>
      </c>
      <c r="I78" s="2"/>
      <c r="J78" s="19"/>
      <c r="K78" s="2"/>
      <c r="L78" s="2">
        <f t="shared" si="0"/>
        <v>2260.9499999999998</v>
      </c>
      <c r="M78" s="2"/>
      <c r="N78" s="19">
        <f t="shared" si="1"/>
        <v>7.6644971015966634</v>
      </c>
      <c r="O78" s="11"/>
      <c r="P78" s="2">
        <f>--7077.94</f>
        <v>7077.94</v>
      </c>
      <c r="Q78" s="2"/>
      <c r="R78" s="19"/>
      <c r="S78" s="2"/>
      <c r="T78" s="2">
        <f>--2216.91</f>
        <v>2216.91</v>
      </c>
      <c r="U78" s="2"/>
      <c r="V78" s="19"/>
      <c r="W78" s="2"/>
      <c r="X78" s="2">
        <f t="shared" si="2"/>
        <v>4861.03</v>
      </c>
      <c r="Y78" s="2"/>
      <c r="Z78" s="19">
        <f t="shared" si="3"/>
        <v>2.1927051616890174</v>
      </c>
    </row>
    <row r="79" spans="1:26" s="24" customFormat="1" hidden="1" outlineLevel="1" x14ac:dyDescent="0.25">
      <c r="A79" s="44"/>
      <c r="B79" s="11" t="str">
        <f>CONCATENATE("          ", "4186", " - ", "NON-TAXABLE SALES-COMPUTER SUP")</f>
        <v xml:space="preserve">          4186 - NON-TAXABLE SALES-COMPUTER SUP</v>
      </c>
      <c r="C79" s="11"/>
      <c r="D79" s="2">
        <f>--450.88</f>
        <v>450.88</v>
      </c>
      <c r="E79" s="2"/>
      <c r="F79" s="19"/>
      <c r="G79" s="2"/>
      <c r="H79" s="2">
        <f>--450.9</f>
        <v>450.9</v>
      </c>
      <c r="I79" s="2"/>
      <c r="J79" s="19"/>
      <c r="K79" s="2"/>
      <c r="L79" s="2">
        <f t="shared" si="0"/>
        <v>-1.999999999998181E-2</v>
      </c>
      <c r="M79" s="2"/>
      <c r="N79" s="19">
        <f t="shared" si="1"/>
        <v>-4.4355732978447128E-5</v>
      </c>
      <c r="O79" s="11"/>
      <c r="P79" s="2">
        <f>--725.78</f>
        <v>725.78</v>
      </c>
      <c r="Q79" s="2"/>
      <c r="R79" s="19"/>
      <c r="S79" s="2"/>
      <c r="T79" s="2">
        <f>--1760.34</f>
        <v>1760.34</v>
      </c>
      <c r="U79" s="2"/>
      <c r="V79" s="19"/>
      <c r="W79" s="2"/>
      <c r="X79" s="2">
        <f t="shared" si="2"/>
        <v>-1034.56</v>
      </c>
      <c r="Y79" s="2"/>
      <c r="Z79" s="19">
        <f t="shared" si="3"/>
        <v>-0.58770464796573385</v>
      </c>
    </row>
    <row r="80" spans="1:26" s="24" customFormat="1" hidden="1" outlineLevel="1" x14ac:dyDescent="0.25">
      <c r="A80" s="44"/>
      <c r="B80" s="11" t="str">
        <f>CONCATENATE("          ", "4188", " - ", "NON-TAXABLE SALES-MUSIC")</f>
        <v xml:space="preserve">          4188 - NON-TAXABLE SALES-MUSIC</v>
      </c>
      <c r="C80" s="11"/>
      <c r="D80" s="2">
        <f>--119.98</f>
        <v>119.98</v>
      </c>
      <c r="E80" s="2"/>
      <c r="F80" s="19"/>
      <c r="G80" s="2"/>
      <c r="H80" s="2">
        <f>0</f>
        <v>0</v>
      </c>
      <c r="I80" s="2"/>
      <c r="J80" s="19"/>
      <c r="K80" s="2"/>
      <c r="L80" s="2">
        <f t="shared" si="0"/>
        <v>119.98</v>
      </c>
      <c r="M80" s="2"/>
      <c r="N80" s="19">
        <f t="shared" si="1"/>
        <v>0</v>
      </c>
      <c r="O80" s="11"/>
      <c r="P80" s="2">
        <f>--219.96</f>
        <v>219.96</v>
      </c>
      <c r="Q80" s="2"/>
      <c r="R80" s="19"/>
      <c r="S80" s="2"/>
      <c r="T80" s="2">
        <f>--199.98</f>
        <v>199.98</v>
      </c>
      <c r="U80" s="2"/>
      <c r="V80" s="19"/>
      <c r="W80" s="2"/>
      <c r="X80" s="2">
        <f t="shared" si="2"/>
        <v>19.980000000000018</v>
      </c>
      <c r="Y80" s="2"/>
      <c r="Z80" s="19">
        <f t="shared" si="3"/>
        <v>9.9909990999100001E-2</v>
      </c>
    </row>
    <row r="81" spans="1:26" s="24" customFormat="1" hidden="1" outlineLevel="1" x14ac:dyDescent="0.25">
      <c r="A81" s="44"/>
      <c r="B81" s="11" t="str">
        <f>CONCATENATE("          ", "4201", " - ", "SALES RETURN TAXABLE-NEW TEXT")</f>
        <v xml:space="preserve">          4201 - SALES RETURN TAXABLE-NEW TEXT</v>
      </c>
      <c r="C81" s="11"/>
      <c r="D81" s="2">
        <f>-14069.34</f>
        <v>-14069.34</v>
      </c>
      <c r="E81" s="2"/>
      <c r="F81" s="19"/>
      <c r="G81" s="2"/>
      <c r="H81" s="2">
        <f>-24266.28</f>
        <v>-24266.28</v>
      </c>
      <c r="I81" s="2"/>
      <c r="J81" s="19"/>
      <c r="K81" s="2"/>
      <c r="L81" s="2">
        <f t="shared" si="0"/>
        <v>10196.939999999999</v>
      </c>
      <c r="M81" s="2"/>
      <c r="N81" s="19">
        <f t="shared" si="1"/>
        <v>-0.42021026708667331</v>
      </c>
      <c r="O81" s="11"/>
      <c r="P81" s="2">
        <f>-73239.75</f>
        <v>-73239.75</v>
      </c>
      <c r="Q81" s="2"/>
      <c r="R81" s="19"/>
      <c r="S81" s="2"/>
      <c r="T81" s="2">
        <f>-98792.22</f>
        <v>-98792.22</v>
      </c>
      <c r="U81" s="2"/>
      <c r="V81" s="19"/>
      <c r="W81" s="2"/>
      <c r="X81" s="2">
        <f t="shared" si="2"/>
        <v>25552.47</v>
      </c>
      <c r="Y81" s="2"/>
      <c r="Z81" s="19">
        <f t="shared" si="3"/>
        <v>-0.25864860613517948</v>
      </c>
    </row>
    <row r="82" spans="1:26" s="24" customFormat="1" hidden="1" outlineLevel="1" x14ac:dyDescent="0.25">
      <c r="A82" s="44"/>
      <c r="B82" s="11" t="str">
        <f>CONCATENATE("          ", "4202", " - ", "SALES RETURN TAXABLE-USED TEXT")</f>
        <v xml:space="preserve">          4202 - SALES RETURN TAXABLE-USED TEXT</v>
      </c>
      <c r="C82" s="11"/>
      <c r="D82" s="2">
        <f>-2096.65</f>
        <v>-2096.65</v>
      </c>
      <c r="E82" s="2"/>
      <c r="F82" s="19"/>
      <c r="G82" s="2"/>
      <c r="H82" s="2">
        <f>-3228.4</f>
        <v>-3228.4</v>
      </c>
      <c r="I82" s="2"/>
      <c r="J82" s="19"/>
      <c r="K82" s="2"/>
      <c r="L82" s="2">
        <f t="shared" si="0"/>
        <v>1131.75</v>
      </c>
      <c r="M82" s="2"/>
      <c r="N82" s="19">
        <f t="shared" si="1"/>
        <v>-0.35056064923801261</v>
      </c>
      <c r="O82" s="11"/>
      <c r="P82" s="2">
        <f>-23351.1</f>
        <v>-23351.1</v>
      </c>
      <c r="Q82" s="2"/>
      <c r="R82" s="19"/>
      <c r="S82" s="2"/>
      <c r="T82" s="2">
        <f>-26655.65</f>
        <v>-26655.65</v>
      </c>
      <c r="U82" s="2"/>
      <c r="V82" s="19"/>
      <c r="W82" s="2"/>
      <c r="X82" s="2">
        <f t="shared" si="2"/>
        <v>3304.5500000000029</v>
      </c>
      <c r="Y82" s="2"/>
      <c r="Z82" s="19">
        <f t="shared" si="3"/>
        <v>-0.12397184086675818</v>
      </c>
    </row>
    <row r="83" spans="1:26" s="24" customFormat="1" hidden="1" outlineLevel="1" x14ac:dyDescent="0.25">
      <c r="A83" s="44"/>
      <c r="B83" s="11" t="str">
        <f>CONCATENATE("          ", "4203", " - ", "SALES RETURN TAXABLE-RENTAL TE")</f>
        <v xml:space="preserve">          4203 - SALES RETURN TAXABLE-RENTAL TE</v>
      </c>
      <c r="C83" s="11"/>
      <c r="D83" s="2">
        <f>-144.99</f>
        <v>-144.99</v>
      </c>
      <c r="E83" s="2"/>
      <c r="F83" s="19"/>
      <c r="G83" s="2"/>
      <c r="H83" s="2">
        <f>-1529.55</f>
        <v>-1529.55</v>
      </c>
      <c r="I83" s="2"/>
      <c r="J83" s="19"/>
      <c r="K83" s="2"/>
      <c r="L83" s="2">
        <f t="shared" si="0"/>
        <v>1384.56</v>
      </c>
      <c r="M83" s="2"/>
      <c r="N83" s="19">
        <f t="shared" si="1"/>
        <v>-0.90520741394527804</v>
      </c>
      <c r="O83" s="11"/>
      <c r="P83" s="2">
        <f>-144.99</f>
        <v>-144.99</v>
      </c>
      <c r="Q83" s="2"/>
      <c r="R83" s="19"/>
      <c r="S83" s="2"/>
      <c r="T83" s="2">
        <f>-1529.55</f>
        <v>-1529.55</v>
      </c>
      <c r="U83" s="2"/>
      <c r="V83" s="19"/>
      <c r="W83" s="2"/>
      <c r="X83" s="2">
        <f t="shared" si="2"/>
        <v>1384.56</v>
      </c>
      <c r="Y83" s="2"/>
      <c r="Z83" s="19">
        <f t="shared" si="3"/>
        <v>-0.90520741394527804</v>
      </c>
    </row>
    <row r="84" spans="1:26" s="24" customFormat="1" hidden="1" outlineLevel="1" x14ac:dyDescent="0.25">
      <c r="A84" s="44"/>
      <c r="B84" s="11" t="str">
        <f>CONCATENATE("          ", "4204", " - ", "SALES RETURN TAXABLE-DIGITAL T")</f>
        <v xml:space="preserve">          4204 - SALES RETURN TAXABLE-DIGITAL T</v>
      </c>
      <c r="C84" s="11"/>
      <c r="D84" s="2">
        <f>-4208.35</f>
        <v>-4208.3500000000004</v>
      </c>
      <c r="E84" s="2"/>
      <c r="F84" s="19"/>
      <c r="G84" s="2"/>
      <c r="H84" s="2">
        <f>-2237.91</f>
        <v>-2237.91</v>
      </c>
      <c r="I84" s="2"/>
      <c r="J84" s="19"/>
      <c r="K84" s="2"/>
      <c r="L84" s="2">
        <f t="shared" si="0"/>
        <v>-1970.4400000000005</v>
      </c>
      <c r="M84" s="2"/>
      <c r="N84" s="19">
        <f t="shared" si="1"/>
        <v>0.88048223565737704</v>
      </c>
      <c r="O84" s="11"/>
      <c r="P84" s="2">
        <f>-11056.72</f>
        <v>-11056.72</v>
      </c>
      <c r="Q84" s="2"/>
      <c r="R84" s="19"/>
      <c r="S84" s="2"/>
      <c r="T84" s="2">
        <f>-15141.64</f>
        <v>-15141.64</v>
      </c>
      <c r="U84" s="2"/>
      <c r="V84" s="19"/>
      <c r="W84" s="2"/>
      <c r="X84" s="2">
        <f t="shared" si="2"/>
        <v>4084.92</v>
      </c>
      <c r="Y84" s="2"/>
      <c r="Z84" s="19">
        <f t="shared" si="3"/>
        <v>-0.2697805521726841</v>
      </c>
    </row>
    <row r="85" spans="1:26" s="24" customFormat="1" hidden="1" outlineLevel="1" x14ac:dyDescent="0.25">
      <c r="A85" s="44"/>
      <c r="B85" s="11" t="str">
        <f>CONCATENATE("          ", "4213", " - ", "NON-TAXABLE SALES-TRADE BOOKS")</f>
        <v xml:space="preserve">          4213 - NON-TAXABLE SALES-TRADE BOOKS</v>
      </c>
      <c r="C85" s="11"/>
      <c r="D85" s="2">
        <f t="shared" ref="D85:D86" si="7">0</f>
        <v>0</v>
      </c>
      <c r="E85" s="2"/>
      <c r="F85" s="19"/>
      <c r="G85" s="2"/>
      <c r="H85" s="2">
        <f t="shared" ref="H85:H86" si="8"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 t="shared" ref="P85:P86" si="9">0</f>
        <v>0</v>
      </c>
      <c r="Q85" s="2"/>
      <c r="R85" s="19"/>
      <c r="S85" s="2"/>
      <c r="T85" s="2">
        <f>-15</f>
        <v>-15</v>
      </c>
      <c r="U85" s="2"/>
      <c r="V85" s="19"/>
      <c r="W85" s="2"/>
      <c r="X85" s="2">
        <f t="shared" si="2"/>
        <v>15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"4217", " - ", "NON-TAXABLE SALES-DORM/HOUSEWA")</f>
        <v xml:space="preserve">          4217 - NON-TAXABLE SALES-DORM/HOUSEWA</v>
      </c>
      <c r="C86" s="11"/>
      <c r="D86" s="2">
        <f t="shared" si="7"/>
        <v>0</v>
      </c>
      <c r="E86" s="2"/>
      <c r="F86" s="19"/>
      <c r="G86" s="2"/>
      <c r="H86" s="2">
        <f t="shared" si="8"/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 t="shared" si="9"/>
        <v>0</v>
      </c>
      <c r="Q86" s="2"/>
      <c r="R86" s="19"/>
      <c r="S86" s="2"/>
      <c r="T86" s="2">
        <f>-1.5</f>
        <v>-1.5</v>
      </c>
      <c r="U86" s="2"/>
      <c r="V86" s="19"/>
      <c r="W86" s="2"/>
      <c r="X86" s="2">
        <f t="shared" si="2"/>
        <v>1.5</v>
      </c>
      <c r="Y86" s="2"/>
      <c r="Z86" s="19">
        <f t="shared" si="3"/>
        <v>-1</v>
      </c>
    </row>
    <row r="87" spans="1:26" s="24" customFormat="1" hidden="1" outlineLevel="1" x14ac:dyDescent="0.25">
      <c r="A87" s="44"/>
      <c r="B87" s="11" t="str">
        <f>CONCATENATE("          ", "4218", " - ", "SALES RETURN TAXABLE-STUDY GUI")</f>
        <v xml:space="preserve">          4218 - SALES RETURN TAXABLE-STUDY GUI</v>
      </c>
      <c r="C87" s="11"/>
      <c r="D87" s="2">
        <f>-5.95</f>
        <v>-5.95</v>
      </c>
      <c r="E87" s="2"/>
      <c r="F87" s="19"/>
      <c r="G87" s="2"/>
      <c r="H87" s="2">
        <f>-6.95</f>
        <v>-6.95</v>
      </c>
      <c r="I87" s="2"/>
      <c r="J87" s="19"/>
      <c r="K87" s="2"/>
      <c r="L87" s="2">
        <f t="shared" si="0"/>
        <v>1</v>
      </c>
      <c r="M87" s="2"/>
      <c r="N87" s="19">
        <f t="shared" si="1"/>
        <v>-0.14388489208633093</v>
      </c>
      <c r="O87" s="11"/>
      <c r="P87" s="2">
        <f>-32.75</f>
        <v>-32.75</v>
      </c>
      <c r="Q87" s="2"/>
      <c r="R87" s="19"/>
      <c r="S87" s="2"/>
      <c r="T87" s="2">
        <f>-22.9</f>
        <v>-22.9</v>
      </c>
      <c r="U87" s="2"/>
      <c r="V87" s="19"/>
      <c r="W87" s="2"/>
      <c r="X87" s="2">
        <f t="shared" si="2"/>
        <v>-9.8500000000000014</v>
      </c>
      <c r="Y87" s="2"/>
      <c r="Z87" s="19">
        <f t="shared" si="3"/>
        <v>0.43013100436681234</v>
      </c>
    </row>
    <row r="88" spans="1:26" s="24" customFormat="1" hidden="1" outlineLevel="1" x14ac:dyDescent="0.25">
      <c r="A88" s="44"/>
      <c r="B88" s="11" t="str">
        <f>CONCATENATE("          ", "4225", " - ", "SALES RETURN TAXABLE-TEST FORM")</f>
        <v xml:space="preserve">          4225 - SALES RETURN TAXABLE-TEST FORM</v>
      </c>
      <c r="C88" s="11"/>
      <c r="D88" s="2">
        <f>-20.41</f>
        <v>-20.41</v>
      </c>
      <c r="E88" s="2"/>
      <c r="F88" s="19"/>
      <c r="G88" s="2"/>
      <c r="H88" s="2">
        <f>-23.53</f>
        <v>-23.53</v>
      </c>
      <c r="I88" s="2"/>
      <c r="J88" s="19"/>
      <c r="K88" s="2"/>
      <c r="L88" s="2">
        <f t="shared" si="0"/>
        <v>3.120000000000001</v>
      </c>
      <c r="M88" s="2"/>
      <c r="N88" s="19">
        <f t="shared" si="1"/>
        <v>-0.13259668508287295</v>
      </c>
      <c r="O88" s="11"/>
      <c r="P88" s="2">
        <f>-33.1</f>
        <v>-33.1</v>
      </c>
      <c r="Q88" s="2"/>
      <c r="R88" s="19"/>
      <c r="S88" s="2"/>
      <c r="T88" s="2">
        <f>-37.33</f>
        <v>-37.33</v>
      </c>
      <c r="U88" s="2"/>
      <c r="V88" s="19"/>
      <c r="W88" s="2"/>
      <c r="X88" s="2">
        <f t="shared" si="2"/>
        <v>4.2299999999999969</v>
      </c>
      <c r="Y88" s="2"/>
      <c r="Z88" s="19">
        <f t="shared" si="3"/>
        <v>-0.11331368872220726</v>
      </c>
    </row>
    <row r="89" spans="1:26" s="24" customFormat="1" hidden="1" outlineLevel="1" x14ac:dyDescent="0.25">
      <c r="A89" s="44"/>
      <c r="B89" s="11" t="str">
        <f>CONCATENATE("          ", "4226", " - ", "SALES RETURN TAXABLE-WRITING I")</f>
        <v xml:space="preserve">          4226 - SALES RETURN TAXABLE-WRITING I</v>
      </c>
      <c r="C89" s="11"/>
      <c r="D89" s="2">
        <f>-184.86</f>
        <v>-184.86</v>
      </c>
      <c r="E89" s="2"/>
      <c r="F89" s="19"/>
      <c r="G89" s="2"/>
      <c r="H89" s="2">
        <f>-48.02</f>
        <v>-48.02</v>
      </c>
      <c r="I89" s="2"/>
      <c r="J89" s="19"/>
      <c r="K89" s="2"/>
      <c r="L89" s="2">
        <f t="shared" si="0"/>
        <v>-136.84</v>
      </c>
      <c r="M89" s="2"/>
      <c r="N89" s="19">
        <f t="shared" si="1"/>
        <v>2.8496459808413159</v>
      </c>
      <c r="O89" s="11"/>
      <c r="P89" s="2">
        <f>-309.07</f>
        <v>-309.07</v>
      </c>
      <c r="Q89" s="2"/>
      <c r="R89" s="19"/>
      <c r="S89" s="2"/>
      <c r="T89" s="2">
        <f>-117.26</f>
        <v>-117.26</v>
      </c>
      <c r="U89" s="2"/>
      <c r="V89" s="19"/>
      <c r="W89" s="2"/>
      <c r="X89" s="2">
        <f t="shared" si="2"/>
        <v>-191.81</v>
      </c>
      <c r="Y89" s="2"/>
      <c r="Z89" s="19">
        <f t="shared" si="3"/>
        <v>1.6357666723520381</v>
      </c>
    </row>
    <row r="90" spans="1:26" s="24" customFormat="1" hidden="1" outlineLevel="1" x14ac:dyDescent="0.25">
      <c r="A90" s="44"/>
      <c r="B90" s="11" t="str">
        <f>CONCATENATE("          ", "4227", " - ", "SALES RETURN TAXABLE-SCHOOL SU")</f>
        <v xml:space="preserve">          4227 - SALES RETURN TAXABLE-SCHOOL SU</v>
      </c>
      <c r="C90" s="11"/>
      <c r="D90" s="2">
        <f>-2805.04</f>
        <v>-2805.04</v>
      </c>
      <c r="E90" s="2"/>
      <c r="F90" s="19"/>
      <c r="G90" s="2"/>
      <c r="H90" s="2">
        <f>-974.33</f>
        <v>-974.33</v>
      </c>
      <c r="I90" s="2"/>
      <c r="J90" s="19"/>
      <c r="K90" s="2"/>
      <c r="L90" s="2">
        <f t="shared" si="0"/>
        <v>-1830.71</v>
      </c>
      <c r="M90" s="2"/>
      <c r="N90" s="19">
        <f t="shared" si="1"/>
        <v>1.878942452762411</v>
      </c>
      <c r="O90" s="11"/>
      <c r="P90" s="2">
        <f>-4501.63</f>
        <v>-4501.63</v>
      </c>
      <c r="Q90" s="2"/>
      <c r="R90" s="19"/>
      <c r="S90" s="2"/>
      <c r="T90" s="2">
        <f>-1946.22</f>
        <v>-1946.22</v>
      </c>
      <c r="U90" s="2"/>
      <c r="V90" s="19"/>
      <c r="W90" s="2"/>
      <c r="X90" s="2">
        <f t="shared" si="2"/>
        <v>-2555.41</v>
      </c>
      <c r="Y90" s="2"/>
      <c r="Z90" s="19">
        <f t="shared" si="3"/>
        <v>1.3130118897144207</v>
      </c>
    </row>
    <row r="91" spans="1:26" s="24" customFormat="1" hidden="1" outlineLevel="1" x14ac:dyDescent="0.25">
      <c r="A91" s="44"/>
      <c r="B91" s="11" t="str">
        <f>CONCATENATE("          ", "4228", " - ", "SALES RETURN TAXABLE-ART/TECH")</f>
        <v xml:space="preserve">          4228 - SALES RETURN TAXABLE-ART/TECH</v>
      </c>
      <c r="C91" s="11"/>
      <c r="D91" s="2">
        <f>-1058.54</f>
        <v>-1058.54</v>
      </c>
      <c r="E91" s="2"/>
      <c r="F91" s="19"/>
      <c r="G91" s="2"/>
      <c r="H91" s="2">
        <f>-1715.94</f>
        <v>-1715.94</v>
      </c>
      <c r="I91" s="2"/>
      <c r="J91" s="19"/>
      <c r="K91" s="2"/>
      <c r="L91" s="2">
        <f t="shared" si="0"/>
        <v>657.40000000000009</v>
      </c>
      <c r="M91" s="2"/>
      <c r="N91" s="19">
        <f t="shared" si="1"/>
        <v>-0.38311362868165555</v>
      </c>
      <c r="O91" s="11"/>
      <c r="P91" s="2">
        <f>-1927.27</f>
        <v>-1927.27</v>
      </c>
      <c r="Q91" s="2"/>
      <c r="R91" s="19"/>
      <c r="S91" s="2"/>
      <c r="T91" s="2">
        <f>-2781.43</f>
        <v>-2781.43</v>
      </c>
      <c r="U91" s="2"/>
      <c r="V91" s="19"/>
      <c r="W91" s="2"/>
      <c r="X91" s="2">
        <f t="shared" si="2"/>
        <v>854.15999999999985</v>
      </c>
      <c r="Y91" s="2"/>
      <c r="Z91" s="19">
        <f t="shared" si="3"/>
        <v>-0.30709383302833432</v>
      </c>
    </row>
    <row r="92" spans="1:26" s="24" customFormat="1" hidden="1" outlineLevel="1" x14ac:dyDescent="0.25">
      <c r="A92" s="44"/>
      <c r="B92" s="11" t="str">
        <f>CONCATENATE("          ", "4240", " - ", "SALES RETURN TAXABLE-LOGO CLOT")</f>
        <v xml:space="preserve">          4240 - SALES RETURN TAXABLE-LOGO CLOT</v>
      </c>
      <c r="C92" s="11"/>
      <c r="D92" s="2">
        <f>-9538.49</f>
        <v>-9538.49</v>
      </c>
      <c r="E92" s="2"/>
      <c r="F92" s="19"/>
      <c r="G92" s="2"/>
      <c r="H92" s="2">
        <f>-8956.8</f>
        <v>-8956.7999999999993</v>
      </c>
      <c r="I92" s="2"/>
      <c r="J92" s="19"/>
      <c r="K92" s="2"/>
      <c r="L92" s="2">
        <f t="shared" si="0"/>
        <v>-581.69000000000051</v>
      </c>
      <c r="M92" s="2"/>
      <c r="N92" s="19">
        <f t="shared" si="1"/>
        <v>6.4943953197570625E-2</v>
      </c>
      <c r="O92" s="11"/>
      <c r="P92" s="2">
        <f>-20792.98</f>
        <v>-20792.98</v>
      </c>
      <c r="Q92" s="2"/>
      <c r="R92" s="19"/>
      <c r="S92" s="2"/>
      <c r="T92" s="2">
        <f>-20528.6</f>
        <v>-20528.599999999999</v>
      </c>
      <c r="U92" s="2"/>
      <c r="V92" s="19"/>
      <c r="W92" s="2"/>
      <c r="X92" s="2">
        <f t="shared" si="2"/>
        <v>-264.38000000000102</v>
      </c>
      <c r="Y92" s="2"/>
      <c r="Z92" s="19">
        <f t="shared" si="3"/>
        <v>1.2878618123008926E-2</v>
      </c>
    </row>
    <row r="93" spans="1:26" s="24" customFormat="1" hidden="1" outlineLevel="1" x14ac:dyDescent="0.25">
      <c r="A93" s="44"/>
      <c r="B93" s="11" t="str">
        <f>CONCATENATE("          ", "4241", " - ", "SALES RETURN TAXABLE-LOGO GIFT")</f>
        <v xml:space="preserve">          4241 - SALES RETURN TAXABLE-LOGO GIFT</v>
      </c>
      <c r="C93" s="11"/>
      <c r="D93" s="2">
        <f>-700.87</f>
        <v>-700.87</v>
      </c>
      <c r="E93" s="2"/>
      <c r="F93" s="19"/>
      <c r="G93" s="2"/>
      <c r="H93" s="2">
        <f>-1002.83</f>
        <v>-1002.83</v>
      </c>
      <c r="I93" s="2"/>
      <c r="J93" s="19"/>
      <c r="K93" s="2"/>
      <c r="L93" s="2">
        <f t="shared" si="0"/>
        <v>301.96000000000004</v>
      </c>
      <c r="M93" s="2"/>
      <c r="N93" s="19">
        <f t="shared" si="1"/>
        <v>-0.30110786474277795</v>
      </c>
      <c r="O93" s="11"/>
      <c r="P93" s="2">
        <f>-2390.88</f>
        <v>-2390.88</v>
      </c>
      <c r="Q93" s="2"/>
      <c r="R93" s="19"/>
      <c r="S93" s="2"/>
      <c r="T93" s="2">
        <f>-2600.74</f>
        <v>-2600.7399999999998</v>
      </c>
      <c r="U93" s="2"/>
      <c r="V93" s="19"/>
      <c r="W93" s="2"/>
      <c r="X93" s="2">
        <f t="shared" si="2"/>
        <v>209.85999999999967</v>
      </c>
      <c r="Y93" s="2"/>
      <c r="Z93" s="19">
        <f t="shared" si="3"/>
        <v>-8.0692418311711159E-2</v>
      </c>
    </row>
    <row r="94" spans="1:26" s="24" customFormat="1" hidden="1" outlineLevel="1" x14ac:dyDescent="0.25">
      <c r="A94" s="44"/>
      <c r="B94" s="11" t="str">
        <f>CONCATENATE("          ", "4242", " - ", "SALES RETURN TAXABLE-EVERYDAY")</f>
        <v xml:space="preserve">          4242 - SALES RETURN TAXABLE-EVERYDAY</v>
      </c>
      <c r="C94" s="11"/>
      <c r="D94" s="2">
        <f>-169.66</f>
        <v>-169.66</v>
      </c>
      <c r="E94" s="2"/>
      <c r="F94" s="19"/>
      <c r="G94" s="2"/>
      <c r="H94" s="2">
        <f>-316.56</f>
        <v>-316.56</v>
      </c>
      <c r="I94" s="2"/>
      <c r="J94" s="19"/>
      <c r="K94" s="2"/>
      <c r="L94" s="2">
        <f t="shared" si="0"/>
        <v>146.9</v>
      </c>
      <c r="M94" s="2"/>
      <c r="N94" s="19">
        <f t="shared" si="1"/>
        <v>-0.46405104877432402</v>
      </c>
      <c r="O94" s="11"/>
      <c r="P94" s="2">
        <f>-994.47</f>
        <v>-994.47</v>
      </c>
      <c r="Q94" s="2"/>
      <c r="R94" s="19"/>
      <c r="S94" s="2"/>
      <c r="T94" s="2">
        <f>-738.35</f>
        <v>-738.35</v>
      </c>
      <c r="U94" s="2"/>
      <c r="V94" s="19"/>
      <c r="W94" s="2"/>
      <c r="X94" s="2">
        <f t="shared" si="2"/>
        <v>-256.12</v>
      </c>
      <c r="Y94" s="2"/>
      <c r="Z94" s="19">
        <f t="shared" si="3"/>
        <v>0.34688156023566058</v>
      </c>
    </row>
    <row r="95" spans="1:26" s="24" customFormat="1" hidden="1" outlineLevel="1" x14ac:dyDescent="0.25">
      <c r="A95" s="44"/>
      <c r="B95" s="11" t="str">
        <f>CONCATENATE("          ", "4243", " - ", "SALES RETURN TAXABLE-CARDS")</f>
        <v xml:space="preserve">          4243 - SALES RETURN TAXABLE-CARDS</v>
      </c>
      <c r="C95" s="11"/>
      <c r="D95" s="2">
        <f>-4.5</f>
        <v>-4.5</v>
      </c>
      <c r="E95" s="2"/>
      <c r="F95" s="19"/>
      <c r="G95" s="2"/>
      <c r="H95" s="2">
        <f>-12.95</f>
        <v>-12.95</v>
      </c>
      <c r="I95" s="2"/>
      <c r="J95" s="19"/>
      <c r="K95" s="2"/>
      <c r="L95" s="2">
        <f t="shared" si="0"/>
        <v>8.4499999999999993</v>
      </c>
      <c r="M95" s="2"/>
      <c r="N95" s="19">
        <f t="shared" si="1"/>
        <v>-0.65250965250965254</v>
      </c>
      <c r="O95" s="11"/>
      <c r="P95" s="2">
        <f>-4.5</f>
        <v>-4.5</v>
      </c>
      <c r="Q95" s="2"/>
      <c r="R95" s="19"/>
      <c r="S95" s="2"/>
      <c r="T95" s="2">
        <f>-12.95</f>
        <v>-12.95</v>
      </c>
      <c r="U95" s="2"/>
      <c r="V95" s="19"/>
      <c r="W95" s="2"/>
      <c r="X95" s="2">
        <f t="shared" si="2"/>
        <v>8.4499999999999993</v>
      </c>
      <c r="Y95" s="2"/>
      <c r="Z95" s="19">
        <f t="shared" si="3"/>
        <v>-0.65250965250965254</v>
      </c>
    </row>
    <row r="96" spans="1:26" s="24" customFormat="1" hidden="1" outlineLevel="1" x14ac:dyDescent="0.25">
      <c r="A96" s="44"/>
      <c r="B96" s="11" t="str">
        <f>CONCATENATE("          ", "4244", " - ", "SALES RETURN TAXABLE-ACCESSORI")</f>
        <v xml:space="preserve">          4244 - SALES RETURN TAXABLE-ACCESSORI</v>
      </c>
      <c r="C96" s="11"/>
      <c r="D96" s="2">
        <f>-704.04</f>
        <v>-704.04</v>
      </c>
      <c r="E96" s="2"/>
      <c r="F96" s="19"/>
      <c r="G96" s="2"/>
      <c r="H96" s="2">
        <f>-264.1</f>
        <v>-264.10000000000002</v>
      </c>
      <c r="I96" s="2"/>
      <c r="J96" s="19"/>
      <c r="K96" s="2"/>
      <c r="L96" s="2">
        <f t="shared" si="0"/>
        <v>-439.93999999999994</v>
      </c>
      <c r="M96" s="2"/>
      <c r="N96" s="19">
        <f t="shared" si="1"/>
        <v>1.6658084059068532</v>
      </c>
      <c r="O96" s="11"/>
      <c r="P96" s="2">
        <f>-1254.51</f>
        <v>-1254.51</v>
      </c>
      <c r="Q96" s="2"/>
      <c r="R96" s="19"/>
      <c r="S96" s="2"/>
      <c r="T96" s="2">
        <f>-2023.36</f>
        <v>-2023.36</v>
      </c>
      <c r="U96" s="2"/>
      <c r="V96" s="19"/>
      <c r="W96" s="2"/>
      <c r="X96" s="2">
        <f t="shared" si="2"/>
        <v>768.84999999999991</v>
      </c>
      <c r="Y96" s="2"/>
      <c r="Z96" s="19">
        <f t="shared" si="3"/>
        <v>-0.37998675470504506</v>
      </c>
    </row>
    <row r="97" spans="1:26" s="24" customFormat="1" hidden="1" outlineLevel="1" x14ac:dyDescent="0.25">
      <c r="A97" s="44"/>
      <c r="B97" s="11" t="str">
        <f>CONCATENATE("          ", "4245", " - ", "SALES RETURN TAXABLE-SPECIAL O")</f>
        <v xml:space="preserve">          4245 - SALES RETURN TAXABLE-SPECIAL O</v>
      </c>
      <c r="C97" s="11"/>
      <c r="D97" s="2">
        <f>-71.98</f>
        <v>-71.98</v>
      </c>
      <c r="E97" s="2"/>
      <c r="F97" s="19"/>
      <c r="G97" s="2"/>
      <c r="H97" s="2">
        <f>0</f>
        <v>0</v>
      </c>
      <c r="I97" s="2"/>
      <c r="J97" s="19"/>
      <c r="K97" s="2"/>
      <c r="L97" s="2">
        <f t="shared" si="0"/>
        <v>-71.98</v>
      </c>
      <c r="M97" s="2"/>
      <c r="N97" s="19">
        <f t="shared" si="1"/>
        <v>0</v>
      </c>
      <c r="O97" s="11"/>
      <c r="P97" s="2">
        <f>-91.96</f>
        <v>-91.96</v>
      </c>
      <c r="Q97" s="2"/>
      <c r="R97" s="19"/>
      <c r="S97" s="2"/>
      <c r="T97" s="2">
        <f>-174.85</f>
        <v>-174.85</v>
      </c>
      <c r="U97" s="2"/>
      <c r="V97" s="19"/>
      <c r="W97" s="2"/>
      <c r="X97" s="2">
        <f t="shared" si="2"/>
        <v>82.89</v>
      </c>
      <c r="Y97" s="2"/>
      <c r="Z97" s="19">
        <f t="shared" si="3"/>
        <v>-0.47406348298541606</v>
      </c>
    </row>
    <row r="98" spans="1:26" s="24" customFormat="1" hidden="1" outlineLevel="1" x14ac:dyDescent="0.25">
      <c r="A98" s="44"/>
      <c r="B98" s="11" t="str">
        <f>CONCATENATE("          ", "4281", " - ", "SALES RETURN TAXABLE-ELECTRONI")</f>
        <v xml:space="preserve">          4281 - SALES RETURN TAXABLE-ELECTRONI</v>
      </c>
      <c r="C98" s="11"/>
      <c r="D98" s="2">
        <f>-1064.71</f>
        <v>-1064.71</v>
      </c>
      <c r="E98" s="2"/>
      <c r="F98" s="19"/>
      <c r="G98" s="2"/>
      <c r="H98" s="2">
        <f>-671.91</f>
        <v>-671.91</v>
      </c>
      <c r="I98" s="2"/>
      <c r="J98" s="19"/>
      <c r="K98" s="2"/>
      <c r="L98" s="2">
        <f t="shared" si="0"/>
        <v>-392.80000000000007</v>
      </c>
      <c r="M98" s="2"/>
      <c r="N98" s="19">
        <f t="shared" si="1"/>
        <v>0.58460210444851257</v>
      </c>
      <c r="O98" s="11"/>
      <c r="P98" s="2">
        <f>-3299.46</f>
        <v>-3299.46</v>
      </c>
      <c r="Q98" s="2"/>
      <c r="R98" s="19"/>
      <c r="S98" s="2"/>
      <c r="T98" s="2">
        <f>-2456.28</f>
        <v>-2456.2800000000002</v>
      </c>
      <c r="U98" s="2"/>
      <c r="V98" s="19"/>
      <c r="W98" s="2"/>
      <c r="X98" s="2">
        <f t="shared" si="2"/>
        <v>-843.17999999999984</v>
      </c>
      <c r="Y98" s="2"/>
      <c r="Z98" s="19">
        <f t="shared" si="3"/>
        <v>0.34327519663881956</v>
      </c>
    </row>
    <row r="99" spans="1:26" s="24" customFormat="1" hidden="1" outlineLevel="1" x14ac:dyDescent="0.25">
      <c r="A99" s="44"/>
      <c r="B99" s="11" t="str">
        <f>CONCATENATE("          ", "4282", " - ", "SALES RETURN TAXABLE-COMPUTER")</f>
        <v xml:space="preserve">          4282 - SALES RETURN TAXABLE-COMPUTER</v>
      </c>
      <c r="C99" s="11"/>
      <c r="D99" s="2">
        <f>-27457.13</f>
        <v>-27457.13</v>
      </c>
      <c r="E99" s="2"/>
      <c r="F99" s="19"/>
      <c r="G99" s="2"/>
      <c r="H99" s="2">
        <f>-12942.09</f>
        <v>-12942.09</v>
      </c>
      <c r="I99" s="2"/>
      <c r="J99" s="19"/>
      <c r="K99" s="2"/>
      <c r="L99" s="2">
        <f t="shared" si="0"/>
        <v>-14515.04</v>
      </c>
      <c r="M99" s="2"/>
      <c r="N99" s="19">
        <f t="shared" si="1"/>
        <v>1.121537556917005</v>
      </c>
      <c r="O99" s="11"/>
      <c r="P99" s="2">
        <f>-147646.85</f>
        <v>-147646.85</v>
      </c>
      <c r="Q99" s="2"/>
      <c r="R99" s="19"/>
      <c r="S99" s="2"/>
      <c r="T99" s="2">
        <f>-30291.44</f>
        <v>-30291.439999999999</v>
      </c>
      <c r="U99" s="2"/>
      <c r="V99" s="19"/>
      <c r="W99" s="2"/>
      <c r="X99" s="2">
        <f t="shared" si="2"/>
        <v>-117355.41</v>
      </c>
      <c r="Y99" s="2"/>
      <c r="Z99" s="19">
        <f t="shared" si="3"/>
        <v>3.8742103379700672</v>
      </c>
    </row>
    <row r="100" spans="1:26" s="24" customFormat="1" hidden="1" outlineLevel="1" x14ac:dyDescent="0.25">
      <c r="A100" s="44"/>
      <c r="B100" s="11" t="str">
        <f>CONCATENATE("          ", "4283", " - ", "SALES RETURN TAXABLE-COMPUTER")</f>
        <v xml:space="preserve">          4283 - SALES RETURN TAXABLE-COMPUTER</v>
      </c>
      <c r="C100" s="11"/>
      <c r="D100" s="2">
        <f>-553.79</f>
        <v>-553.79</v>
      </c>
      <c r="E100" s="2"/>
      <c r="F100" s="19"/>
      <c r="G100" s="2"/>
      <c r="H100" s="2">
        <f>-1708.13</f>
        <v>-1708.13</v>
      </c>
      <c r="I100" s="2"/>
      <c r="J100" s="19"/>
      <c r="K100" s="2"/>
      <c r="L100" s="2">
        <f t="shared" si="0"/>
        <v>1154.3400000000001</v>
      </c>
      <c r="M100" s="2"/>
      <c r="N100" s="19">
        <f t="shared" si="1"/>
        <v>-0.67579165520188744</v>
      </c>
      <c r="O100" s="11"/>
      <c r="P100" s="2">
        <f>-1284.48</f>
        <v>-1284.48</v>
      </c>
      <c r="Q100" s="2"/>
      <c r="R100" s="19"/>
      <c r="S100" s="2"/>
      <c r="T100" s="2">
        <f>-2588.04</f>
        <v>-2588.04</v>
      </c>
      <c r="U100" s="2"/>
      <c r="V100" s="19"/>
      <c r="W100" s="2"/>
      <c r="X100" s="2">
        <f t="shared" si="2"/>
        <v>1303.56</v>
      </c>
      <c r="Y100" s="2"/>
      <c r="Z100" s="19">
        <f t="shared" si="3"/>
        <v>-0.50368618723049097</v>
      </c>
    </row>
    <row r="101" spans="1:26" s="24" customFormat="1" hidden="1" outlineLevel="1" x14ac:dyDescent="0.25">
      <c r="A101" s="44"/>
      <c r="B101" s="11" t="str">
        <f>CONCATENATE("          ", "4284", " - ", "SALES RETURN TAXABLE-SOFTWARE")</f>
        <v xml:space="preserve">          4284 - SALES RETURN TAXABLE-SOFTWARE</v>
      </c>
      <c r="C101" s="11"/>
      <c r="D101" s="2">
        <f t="shared" ref="D101:D102" si="10">0</f>
        <v>0</v>
      </c>
      <c r="E101" s="2"/>
      <c r="F101" s="19"/>
      <c r="G101" s="2"/>
      <c r="H101" s="2">
        <f t="shared" ref="H101:H102" si="11"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-129</f>
        <v>-129</v>
      </c>
      <c r="Q101" s="2"/>
      <c r="R101" s="19"/>
      <c r="S101" s="2"/>
      <c r="T101" s="2">
        <f t="shared" ref="T101:T102" si="12">0</f>
        <v>0</v>
      </c>
      <c r="U101" s="2"/>
      <c r="V101" s="19"/>
      <c r="W101" s="2"/>
      <c r="X101" s="2">
        <f t="shared" si="2"/>
        <v>-129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"4285", " - ", "SALES RETURN TAXABLE-SOFTWARE")</f>
        <v xml:space="preserve">          4285 - SALES RETURN TAXABLE-SOFTWARE</v>
      </c>
      <c r="C102" s="11"/>
      <c r="D102" s="2">
        <f t="shared" si="10"/>
        <v>0</v>
      </c>
      <c r="E102" s="2"/>
      <c r="F102" s="19"/>
      <c r="G102" s="2"/>
      <c r="H102" s="2">
        <f t="shared" si="11"/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-406.99</f>
        <v>-406.99</v>
      </c>
      <c r="Q102" s="2"/>
      <c r="R102" s="19"/>
      <c r="S102" s="2"/>
      <c r="T102" s="2">
        <f t="shared" si="12"/>
        <v>0</v>
      </c>
      <c r="U102" s="2"/>
      <c r="V102" s="19"/>
      <c r="W102" s="2"/>
      <c r="X102" s="2">
        <f t="shared" si="2"/>
        <v>-406.99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"4286", " - ", "SALES RETURN TAXABLE-COMPUTER")</f>
        <v xml:space="preserve">          4286 - SALES RETURN TAXABLE-COMPUTER</v>
      </c>
      <c r="C103" s="11"/>
      <c r="D103" s="2">
        <f>-962.59</f>
        <v>-962.59</v>
      </c>
      <c r="E103" s="2"/>
      <c r="F103" s="19"/>
      <c r="G103" s="2"/>
      <c r="H103" s="2">
        <f>-897.72</f>
        <v>-897.72</v>
      </c>
      <c r="I103" s="2"/>
      <c r="J103" s="19"/>
      <c r="K103" s="2"/>
      <c r="L103" s="2">
        <f t="shared" si="0"/>
        <v>-64.87</v>
      </c>
      <c r="M103" s="2"/>
      <c r="N103" s="19">
        <f t="shared" si="1"/>
        <v>7.2260838568818792E-2</v>
      </c>
      <c r="O103" s="11"/>
      <c r="P103" s="2">
        <f>-2143.74</f>
        <v>-2143.7399999999998</v>
      </c>
      <c r="Q103" s="2"/>
      <c r="R103" s="19"/>
      <c r="S103" s="2"/>
      <c r="T103" s="2">
        <f>-1768.98</f>
        <v>-1768.98</v>
      </c>
      <c r="U103" s="2"/>
      <c r="V103" s="19"/>
      <c r="W103" s="2"/>
      <c r="X103" s="2">
        <f t="shared" si="2"/>
        <v>-374.75999999999976</v>
      </c>
      <c r="Y103" s="2"/>
      <c r="Z103" s="19">
        <f t="shared" si="3"/>
        <v>0.21185089712715788</v>
      </c>
    </row>
    <row r="104" spans="1:26" s="24" customFormat="1" hidden="1" outlineLevel="1" x14ac:dyDescent="0.25">
      <c r="A104" s="44"/>
      <c r="B104" s="11" t="str">
        <f>CONCATENATE("          ", "4292", " - ", "SALES RETURN TAXABLE-GRAD MERC")</f>
        <v xml:space="preserve">          4292 - SALES RETURN TAXABLE-GRAD MERC</v>
      </c>
      <c r="C104" s="11"/>
      <c r="D104" s="2">
        <f t="shared" ref="D104:D105" si="13">0</f>
        <v>0</v>
      </c>
      <c r="E104" s="2"/>
      <c r="F104" s="19"/>
      <c r="G104" s="2"/>
      <c r="H104" s="2">
        <f t="shared" ref="H104:H105" si="14">0</f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-369.15</f>
        <v>-369.15</v>
      </c>
      <c r="Q104" s="2"/>
      <c r="R104" s="19"/>
      <c r="S104" s="2"/>
      <c r="T104" s="2">
        <f>-478.25</f>
        <v>-478.25</v>
      </c>
      <c r="U104" s="2"/>
      <c r="V104" s="19"/>
      <c r="W104" s="2"/>
      <c r="X104" s="2">
        <f t="shared" si="2"/>
        <v>109.10000000000002</v>
      </c>
      <c r="Y104" s="2"/>
      <c r="Z104" s="19">
        <f t="shared" si="3"/>
        <v>-0.22812336644014641</v>
      </c>
    </row>
    <row r="105" spans="1:26" s="24" customFormat="1" hidden="1" outlineLevel="1" x14ac:dyDescent="0.25">
      <c r="A105" s="44"/>
      <c r="B105" s="11" t="str">
        <f>CONCATENATE("          ", "4295", " - ", "SALES RETURN TAXABLE-CUSTOMER")</f>
        <v xml:space="preserve">          4295 - SALES RETURN TAXABLE-CUSTOMER</v>
      </c>
      <c r="C105" s="11"/>
      <c r="D105" s="2">
        <f t="shared" si="13"/>
        <v>0</v>
      </c>
      <c r="E105" s="2"/>
      <c r="F105" s="19"/>
      <c r="G105" s="2"/>
      <c r="H105" s="2">
        <f t="shared" si="14"/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--0.99</f>
        <v>0.99</v>
      </c>
      <c r="Q105" s="2"/>
      <c r="R105" s="19"/>
      <c r="S105" s="2"/>
      <c r="T105" s="2">
        <f>-99</f>
        <v>-99</v>
      </c>
      <c r="U105" s="2"/>
      <c r="V105" s="19"/>
      <c r="W105" s="2"/>
      <c r="X105" s="2">
        <f t="shared" si="2"/>
        <v>99.99</v>
      </c>
      <c r="Y105" s="2"/>
      <c r="Z105" s="19">
        <f t="shared" si="3"/>
        <v>-1.01</v>
      </c>
    </row>
    <row r="106" spans="1:26" s="24" customFormat="1" hidden="1" outlineLevel="1" x14ac:dyDescent="0.25">
      <c r="A106" s="44"/>
      <c r="B106" s="11" t="str">
        <f>CONCATENATE("          ", "4301", " - ", "SALES RETURN NON TAXABLE-NEW T")</f>
        <v xml:space="preserve">          4301 - SALES RETURN NON TAXABLE-NEW T</v>
      </c>
      <c r="C106" s="11"/>
      <c r="D106" s="2">
        <f>-3805.44</f>
        <v>-3805.44</v>
      </c>
      <c r="E106" s="2"/>
      <c r="F106" s="19"/>
      <c r="G106" s="2"/>
      <c r="H106" s="2">
        <f>-18193.09</f>
        <v>-18193.09</v>
      </c>
      <c r="I106" s="2"/>
      <c r="J106" s="19"/>
      <c r="K106" s="2"/>
      <c r="L106" s="2">
        <f t="shared" si="0"/>
        <v>14387.65</v>
      </c>
      <c r="M106" s="2"/>
      <c r="N106" s="19">
        <f t="shared" si="1"/>
        <v>-0.79083047464724243</v>
      </c>
      <c r="O106" s="11"/>
      <c r="P106" s="2">
        <f>-6725.22</f>
        <v>-6725.22</v>
      </c>
      <c r="Q106" s="2"/>
      <c r="R106" s="19"/>
      <c r="S106" s="2"/>
      <c r="T106" s="2">
        <f>-21042.19</f>
        <v>-21042.19</v>
      </c>
      <c r="U106" s="2"/>
      <c r="V106" s="19"/>
      <c r="W106" s="2"/>
      <c r="X106" s="2">
        <f t="shared" si="2"/>
        <v>14316.969999999998</v>
      </c>
      <c r="Y106" s="2"/>
      <c r="Z106" s="19">
        <f t="shared" si="3"/>
        <v>-0.68039353318262019</v>
      </c>
    </row>
    <row r="107" spans="1:26" s="24" customFormat="1" hidden="1" outlineLevel="1" x14ac:dyDescent="0.25">
      <c r="A107" s="44"/>
      <c r="B107" s="11" t="str">
        <f>CONCATENATE("          ", "4302", " - ", "SALES RETURN NON TAXABLE-TEXT")</f>
        <v xml:space="preserve">          4302 - SALES RETURN NON TAXABLE-TEXT</v>
      </c>
      <c r="C107" s="11"/>
      <c r="D107" s="2">
        <f>-398.45</f>
        <v>-398.45</v>
      </c>
      <c r="E107" s="2"/>
      <c r="F107" s="19"/>
      <c r="G107" s="2"/>
      <c r="H107" s="2">
        <f>-1424.51</f>
        <v>-1424.51</v>
      </c>
      <c r="I107" s="2"/>
      <c r="J107" s="19"/>
      <c r="K107" s="2"/>
      <c r="L107" s="2">
        <f t="shared" si="0"/>
        <v>1026.06</v>
      </c>
      <c r="M107" s="2"/>
      <c r="N107" s="19">
        <f t="shared" si="1"/>
        <v>-0.72028978385550113</v>
      </c>
      <c r="O107" s="11"/>
      <c r="P107" s="2">
        <f>-648.7</f>
        <v>-648.70000000000005</v>
      </c>
      <c r="Q107" s="2"/>
      <c r="R107" s="19"/>
      <c r="S107" s="2"/>
      <c r="T107" s="2">
        <f>-2092.04</f>
        <v>-2092.04</v>
      </c>
      <c r="U107" s="2"/>
      <c r="V107" s="19"/>
      <c r="W107" s="2"/>
      <c r="X107" s="2">
        <f t="shared" si="2"/>
        <v>1443.34</v>
      </c>
      <c r="Y107" s="2"/>
      <c r="Z107" s="19">
        <f t="shared" si="3"/>
        <v>-0.68991988680904759</v>
      </c>
    </row>
    <row r="108" spans="1:26" s="24" customFormat="1" hidden="1" outlineLevel="1" x14ac:dyDescent="0.25">
      <c r="A108" s="44"/>
      <c r="B108" s="11" t="str">
        <f>CONCATENATE("          ", "4303", " - ", "SALES RETURN NON-TAXABLE-RENTA")</f>
        <v xml:space="preserve">          4303 - SALES RETURN NON-TAXABLE-RENTA</v>
      </c>
      <c r="C108" s="11"/>
      <c r="D108" s="2">
        <f>-184.99</f>
        <v>-184.99</v>
      </c>
      <c r="E108" s="2"/>
      <c r="F108" s="19"/>
      <c r="G108" s="2"/>
      <c r="H108" s="2">
        <f>-509.85</f>
        <v>-509.85</v>
      </c>
      <c r="I108" s="2"/>
      <c r="J108" s="19"/>
      <c r="K108" s="2"/>
      <c r="L108" s="2">
        <f t="shared" si="0"/>
        <v>324.86</v>
      </c>
      <c r="M108" s="2"/>
      <c r="N108" s="19">
        <f t="shared" si="1"/>
        <v>-0.63716779444934779</v>
      </c>
      <c r="O108" s="11"/>
      <c r="P108" s="2">
        <f>-184.99</f>
        <v>-184.99</v>
      </c>
      <c r="Q108" s="2"/>
      <c r="R108" s="19"/>
      <c r="S108" s="2"/>
      <c r="T108" s="2">
        <f>-509.85</f>
        <v>-509.85</v>
      </c>
      <c r="U108" s="2"/>
      <c r="V108" s="19"/>
      <c r="W108" s="2"/>
      <c r="X108" s="2">
        <f t="shared" si="2"/>
        <v>324.86</v>
      </c>
      <c r="Y108" s="2"/>
      <c r="Z108" s="19">
        <f t="shared" si="3"/>
        <v>-0.63716779444934779</v>
      </c>
    </row>
    <row r="109" spans="1:26" s="24" customFormat="1" hidden="1" outlineLevel="1" x14ac:dyDescent="0.25">
      <c r="A109" s="44"/>
      <c r="B109" s="11" t="str">
        <f>CONCATENATE("          ", "4304", " - ", "SALES RETURN NON TAXABLE-DIGIT")</f>
        <v xml:space="preserve">          4304 - SALES RETURN NON TAXABLE-DIGIT</v>
      </c>
      <c r="C109" s="11"/>
      <c r="D109" s="2">
        <f>-4048.76</f>
        <v>-4048.76</v>
      </c>
      <c r="E109" s="2"/>
      <c r="F109" s="19"/>
      <c r="G109" s="2"/>
      <c r="H109" s="2">
        <f>-3459.28</f>
        <v>-3459.28</v>
      </c>
      <c r="I109" s="2"/>
      <c r="J109" s="19"/>
      <c r="K109" s="2"/>
      <c r="L109" s="2">
        <f t="shared" si="0"/>
        <v>-589.48</v>
      </c>
      <c r="M109" s="2"/>
      <c r="N109" s="19">
        <f t="shared" si="1"/>
        <v>0.17040540228024328</v>
      </c>
      <c r="O109" s="11"/>
      <c r="P109" s="2">
        <f>-12515.31</f>
        <v>-12515.31</v>
      </c>
      <c r="Q109" s="2"/>
      <c r="R109" s="19"/>
      <c r="S109" s="2"/>
      <c r="T109" s="2">
        <f>-3743.75</f>
        <v>-3743.75</v>
      </c>
      <c r="U109" s="2"/>
      <c r="V109" s="19"/>
      <c r="W109" s="2"/>
      <c r="X109" s="2">
        <f t="shared" si="2"/>
        <v>-8771.56</v>
      </c>
      <c r="Y109" s="2"/>
      <c r="Z109" s="19">
        <f t="shared" si="3"/>
        <v>2.3429876460767947</v>
      </c>
    </row>
    <row r="110" spans="1:26" s="24" customFormat="1" hidden="1" outlineLevel="1" x14ac:dyDescent="0.25">
      <c r="A110" s="44"/>
      <c r="B110" s="11" t="str">
        <f>CONCATENATE("          ", "4311", " - ", "SALES RETURN NON TAXABLE-NO VA")</f>
        <v xml:space="preserve">          4311 - SALES RETURN NON TAXABLE-NO VA</v>
      </c>
      <c r="C110" s="11"/>
      <c r="D110" s="2">
        <f>-276.9</f>
        <v>-276.89999999999998</v>
      </c>
      <c r="E110" s="2"/>
      <c r="F110" s="19"/>
      <c r="G110" s="2"/>
      <c r="H110" s="2">
        <f>-145.04</f>
        <v>-145.04</v>
      </c>
      <c r="I110" s="2"/>
      <c r="J110" s="19"/>
      <c r="K110" s="2"/>
      <c r="L110" s="2">
        <f t="shared" si="0"/>
        <v>-131.85999999999999</v>
      </c>
      <c r="M110" s="2"/>
      <c r="N110" s="19">
        <f t="shared" si="1"/>
        <v>0.90912851627137337</v>
      </c>
      <c r="O110" s="11"/>
      <c r="P110" s="2">
        <f>-387.94</f>
        <v>-387.94</v>
      </c>
      <c r="Q110" s="2"/>
      <c r="R110" s="19"/>
      <c r="S110" s="2"/>
      <c r="T110" s="2">
        <f>-357.92</f>
        <v>-357.92</v>
      </c>
      <c r="U110" s="2"/>
      <c r="V110" s="19"/>
      <c r="W110" s="2"/>
      <c r="X110" s="2">
        <f t="shared" si="2"/>
        <v>-30.019999999999982</v>
      </c>
      <c r="Y110" s="2"/>
      <c r="Z110" s="19">
        <f t="shared" si="3"/>
        <v>8.3873491282968213E-2</v>
      </c>
    </row>
    <row r="111" spans="1:26" s="24" customFormat="1" hidden="1" outlineLevel="1" x14ac:dyDescent="0.25">
      <c r="A111" s="44"/>
      <c r="B111" s="11" t="str">
        <f>CONCATENATE("          ", "4326", " - ", "SALES RETURN NON TAXABLE-WRITI")</f>
        <v xml:space="preserve">          4326 - SALES RETURN NON TAXABLE-WRITI</v>
      </c>
      <c r="C111" s="11"/>
      <c r="D111" s="2">
        <f>0</f>
        <v>0</v>
      </c>
      <c r="E111" s="2"/>
      <c r="F111" s="19"/>
      <c r="G111" s="2"/>
      <c r="H111" s="2">
        <f t="shared" ref="H111:H112" si="15">0</f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0</f>
        <v>0</v>
      </c>
      <c r="Q111" s="2"/>
      <c r="R111" s="19"/>
      <c r="S111" s="2"/>
      <c r="T111" s="2">
        <f>-5.58</f>
        <v>-5.58</v>
      </c>
      <c r="U111" s="2"/>
      <c r="V111" s="19"/>
      <c r="W111" s="2"/>
      <c r="X111" s="2">
        <f t="shared" si="2"/>
        <v>5.58</v>
      </c>
      <c r="Y111" s="2"/>
      <c r="Z111" s="19">
        <f t="shared" si="3"/>
        <v>-1</v>
      </c>
    </row>
    <row r="112" spans="1:26" s="24" customFormat="1" hidden="1" outlineLevel="1" x14ac:dyDescent="0.25">
      <c r="A112" s="44"/>
      <c r="B112" s="11" t="str">
        <f>CONCATENATE("          ", "4327", " - ", "SALES RETURN NON TAXABLE-SCHOO")</f>
        <v xml:space="preserve">          4327 - SALES RETURN NON TAXABLE-SCHOO</v>
      </c>
      <c r="C112" s="11"/>
      <c r="D112" s="2">
        <f>-8.29</f>
        <v>-8.2899999999999991</v>
      </c>
      <c r="E112" s="2"/>
      <c r="F112" s="19"/>
      <c r="G112" s="2"/>
      <c r="H112" s="2">
        <f t="shared" si="15"/>
        <v>0</v>
      </c>
      <c r="I112" s="2"/>
      <c r="J112" s="19"/>
      <c r="K112" s="2"/>
      <c r="L112" s="2">
        <f t="shared" si="0"/>
        <v>-8.2899999999999991</v>
      </c>
      <c r="M112" s="2"/>
      <c r="N112" s="19">
        <f t="shared" si="1"/>
        <v>0</v>
      </c>
      <c r="O112" s="11"/>
      <c r="P112" s="2">
        <f>-21.87</f>
        <v>-21.87</v>
      </c>
      <c r="Q112" s="2"/>
      <c r="R112" s="19"/>
      <c r="S112" s="2"/>
      <c r="T112" s="2">
        <f>0</f>
        <v>0</v>
      </c>
      <c r="U112" s="2"/>
      <c r="V112" s="19"/>
      <c r="W112" s="2"/>
      <c r="X112" s="2">
        <f t="shared" si="2"/>
        <v>-21.87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"4340", " - ", "SALES RETURN NON TAXABLE-LOGO")</f>
        <v xml:space="preserve">          4340 - SALES RETURN NON TAXABLE-LOGO</v>
      </c>
      <c r="C113" s="11"/>
      <c r="D113" s="2">
        <f>-24.95</f>
        <v>-24.95</v>
      </c>
      <c r="E113" s="2"/>
      <c r="F113" s="19"/>
      <c r="G113" s="2"/>
      <c r="H113" s="2">
        <f>-34.95</f>
        <v>-34.950000000000003</v>
      </c>
      <c r="I113" s="2"/>
      <c r="J113" s="19"/>
      <c r="K113" s="2"/>
      <c r="L113" s="2">
        <f t="shared" si="0"/>
        <v>10.000000000000004</v>
      </c>
      <c r="M113" s="2"/>
      <c r="N113" s="19">
        <f t="shared" si="1"/>
        <v>-0.28612303290414887</v>
      </c>
      <c r="O113" s="11"/>
      <c r="P113" s="2">
        <f>-293.45</f>
        <v>-293.45</v>
      </c>
      <c r="Q113" s="2"/>
      <c r="R113" s="19"/>
      <c r="S113" s="2"/>
      <c r="T113" s="2">
        <f>-226.69</f>
        <v>-226.69</v>
      </c>
      <c r="U113" s="2"/>
      <c r="V113" s="19"/>
      <c r="W113" s="2"/>
      <c r="X113" s="2">
        <f t="shared" si="2"/>
        <v>-66.759999999999991</v>
      </c>
      <c r="Y113" s="2"/>
      <c r="Z113" s="19">
        <f t="shared" si="3"/>
        <v>0.29449909568132687</v>
      </c>
    </row>
    <row r="114" spans="1:26" s="24" customFormat="1" hidden="1" outlineLevel="1" x14ac:dyDescent="0.25">
      <c r="A114" s="44"/>
      <c r="B114" s="11" t="str">
        <f>CONCATENATE("          ", "4341", " - ", "SALES RETURN NON TAXABLE-LOGO")</f>
        <v xml:space="preserve">          4341 - SALES RETURN NON TAXABLE-LOGO</v>
      </c>
      <c r="C114" s="11"/>
      <c r="D114" s="2">
        <f>0</f>
        <v>0</v>
      </c>
      <c r="E114" s="2"/>
      <c r="F114" s="19"/>
      <c r="G114" s="2"/>
      <c r="H114" s="2">
        <f>-39.95</f>
        <v>-39.950000000000003</v>
      </c>
      <c r="I114" s="2"/>
      <c r="J114" s="19"/>
      <c r="K114" s="2"/>
      <c r="L114" s="2">
        <f t="shared" si="0"/>
        <v>39.950000000000003</v>
      </c>
      <c r="M114" s="2"/>
      <c r="N114" s="19">
        <f t="shared" si="1"/>
        <v>-1</v>
      </c>
      <c r="O114" s="11"/>
      <c r="P114" s="2">
        <f>-3.95</f>
        <v>-3.95</v>
      </c>
      <c r="Q114" s="2"/>
      <c r="R114" s="19"/>
      <c r="S114" s="2"/>
      <c r="T114" s="2">
        <f>-48.1</f>
        <v>-48.1</v>
      </c>
      <c r="U114" s="2"/>
      <c r="V114" s="19"/>
      <c r="W114" s="2"/>
      <c r="X114" s="2">
        <f t="shared" si="2"/>
        <v>44.15</v>
      </c>
      <c r="Y114" s="2"/>
      <c r="Z114" s="19">
        <f t="shared" si="3"/>
        <v>-0.91787941787941785</v>
      </c>
    </row>
    <row r="115" spans="1:26" s="24" customFormat="1" hidden="1" outlineLevel="1" x14ac:dyDescent="0.25">
      <c r="A115" s="44"/>
      <c r="B115" s="11" t="str">
        <f>CONCATENATE("          ", "4342", " - ", "SALES RETURN NON TAXABLE-EVERY")</f>
        <v xml:space="preserve">          4342 - SALES RETURN NON TAXABLE-EVERY</v>
      </c>
      <c r="C115" s="11"/>
      <c r="D115" s="2">
        <f>-10</f>
        <v>-10</v>
      </c>
      <c r="E115" s="2"/>
      <c r="F115" s="19"/>
      <c r="G115" s="2"/>
      <c r="H115" s="2">
        <f t="shared" ref="H115:H119" si="16">0</f>
        <v>0</v>
      </c>
      <c r="I115" s="2"/>
      <c r="J115" s="19"/>
      <c r="K115" s="2"/>
      <c r="L115" s="2">
        <f t="shared" si="0"/>
        <v>-10</v>
      </c>
      <c r="M115" s="2"/>
      <c r="N115" s="19">
        <f t="shared" si="1"/>
        <v>0</v>
      </c>
      <c r="O115" s="11"/>
      <c r="P115" s="2">
        <f>-10</f>
        <v>-10</v>
      </c>
      <c r="Q115" s="2"/>
      <c r="R115" s="19"/>
      <c r="S115" s="2"/>
      <c r="T115" s="2">
        <f t="shared" ref="T115:T119" si="17">0</f>
        <v>0</v>
      </c>
      <c r="U115" s="2"/>
      <c r="V115" s="19"/>
      <c r="W115" s="2"/>
      <c r="X115" s="2">
        <f t="shared" si="2"/>
        <v>-10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"4346", " - ", "SALES RETURN NON TAXABLE-COIN-")</f>
        <v xml:space="preserve">          4346 - SALES RETURN NON TAXABLE-COIN-</v>
      </c>
      <c r="C116" s="11"/>
      <c r="D116" s="2">
        <f>0</f>
        <v>0</v>
      </c>
      <c r="E116" s="2"/>
      <c r="F116" s="19"/>
      <c r="G116" s="2"/>
      <c r="H116" s="2">
        <f t="shared" si="16"/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-8.15</f>
        <v>-8.15</v>
      </c>
      <c r="Q116" s="2"/>
      <c r="R116" s="19"/>
      <c r="S116" s="2"/>
      <c r="T116" s="2">
        <f t="shared" si="17"/>
        <v>0</v>
      </c>
      <c r="U116" s="2"/>
      <c r="V116" s="19"/>
      <c r="W116" s="2"/>
      <c r="X116" s="2">
        <f t="shared" si="2"/>
        <v>-8.15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"4381", " - ", "SALES RETURN NON TAXABLE-ELECT")</f>
        <v xml:space="preserve">          4381 - SALES RETURN NON TAXABLE-ELECT</v>
      </c>
      <c r="C117" s="11"/>
      <c r="D117" s="2">
        <f>-1279.84</f>
        <v>-1279.8399999999999</v>
      </c>
      <c r="E117" s="2"/>
      <c r="F117" s="19"/>
      <c r="G117" s="2"/>
      <c r="H117" s="2">
        <f t="shared" si="16"/>
        <v>0</v>
      </c>
      <c r="I117" s="2"/>
      <c r="J117" s="19"/>
      <c r="K117" s="2"/>
      <c r="L117" s="2">
        <f t="shared" si="0"/>
        <v>-1279.8399999999999</v>
      </c>
      <c r="M117" s="2"/>
      <c r="N117" s="19">
        <f t="shared" si="1"/>
        <v>0</v>
      </c>
      <c r="O117" s="11"/>
      <c r="P117" s="2">
        <f>-1279.84</f>
        <v>-1279.8399999999999</v>
      </c>
      <c r="Q117" s="2"/>
      <c r="R117" s="19"/>
      <c r="S117" s="2"/>
      <c r="T117" s="2">
        <f t="shared" si="17"/>
        <v>0</v>
      </c>
      <c r="U117" s="2"/>
      <c r="V117" s="19"/>
      <c r="W117" s="2"/>
      <c r="X117" s="2">
        <f t="shared" si="2"/>
        <v>-1279.8399999999999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"4383", " - ", "SALES RETURN NON TAXABLE-COMPU")</f>
        <v xml:space="preserve">          4383 - SALES RETURN NON TAXABLE-COMPU</v>
      </c>
      <c r="C118" s="11"/>
      <c r="D118" s="2">
        <f t="shared" ref="D118:D119" si="18">0</f>
        <v>0</v>
      </c>
      <c r="E118" s="2"/>
      <c r="F118" s="19"/>
      <c r="G118" s="2"/>
      <c r="H118" s="2">
        <f t="shared" si="16"/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-24.99</f>
        <v>-24.99</v>
      </c>
      <c r="Q118" s="2"/>
      <c r="R118" s="19"/>
      <c r="S118" s="2"/>
      <c r="T118" s="2">
        <f t="shared" si="17"/>
        <v>0</v>
      </c>
      <c r="U118" s="2"/>
      <c r="V118" s="19"/>
      <c r="W118" s="2"/>
      <c r="X118" s="2">
        <f t="shared" si="2"/>
        <v>-24.99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"4386", " - ", "SALES RETURN NON TAXABLE-COMPU")</f>
        <v xml:space="preserve">          4386 - SALES RETURN NON TAXABLE-COMPU</v>
      </c>
      <c r="C119" s="11"/>
      <c r="D119" s="2">
        <f t="shared" si="18"/>
        <v>0</v>
      </c>
      <c r="E119" s="2"/>
      <c r="F119" s="19"/>
      <c r="G119" s="2"/>
      <c r="H119" s="2">
        <f t="shared" si="16"/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-19.99</f>
        <v>-19.989999999999998</v>
      </c>
      <c r="Q119" s="2"/>
      <c r="R119" s="19"/>
      <c r="S119" s="2"/>
      <c r="T119" s="2">
        <f t="shared" si="17"/>
        <v>0</v>
      </c>
      <c r="U119" s="2"/>
      <c r="V119" s="19"/>
      <c r="W119" s="2"/>
      <c r="X119" s="2">
        <f t="shared" si="2"/>
        <v>-19.989999999999998</v>
      </c>
      <c r="Y119" s="2"/>
      <c r="Z119" s="19">
        <f t="shared" si="3"/>
        <v>0</v>
      </c>
    </row>
    <row r="120" spans="1:26" x14ac:dyDescent="0.2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collapsed="1" x14ac:dyDescent="0.25">
      <c r="A121" s="10"/>
      <c r="B121" s="25" t="s">
        <v>8</v>
      </c>
      <c r="C121" s="10"/>
      <c r="D121" s="4">
        <f>SUM(OSRRefD16x_0)</f>
        <v>916667.44000000018</v>
      </c>
      <c r="E121" s="4"/>
      <c r="F121" s="12">
        <f t="shared" ref="F121:F176" si="19">IF(D$12=0,0,D121/D$12)</f>
        <v>0.65132676891716235</v>
      </c>
      <c r="G121" s="4"/>
      <c r="H121" s="4">
        <f>SUM(OSRRefH16x_0)</f>
        <v>918160.61</v>
      </c>
      <c r="I121" s="4"/>
      <c r="J121" s="12">
        <f t="shared" ref="J121:J176" si="20">IF(H$12=0,0,H121/H$12)</f>
        <v>0.65889837225600523</v>
      </c>
      <c r="K121" s="4"/>
      <c r="L121" s="4">
        <f t="shared" ref="L121:L176" si="21">+D121-H121</f>
        <v>-1493.1699999998091</v>
      </c>
      <c r="M121" s="4"/>
      <c r="N121" s="12">
        <f t="shared" ref="N121:N176" si="22">IF(H121=0,0,L121/H121)</f>
        <v>-1.6262623159142159E-3</v>
      </c>
      <c r="O121" s="10"/>
      <c r="P121" s="4">
        <f>SUM(OSRRefP16x_0)</f>
        <v>3678262.7699999996</v>
      </c>
      <c r="Q121" s="4"/>
      <c r="R121" s="12">
        <f t="shared" ref="R121:R176" si="23">IF(P$12=0,0,P121/P$12)</f>
        <v>0.68956461868813723</v>
      </c>
      <c r="S121" s="4"/>
      <c r="T121" s="4">
        <f>SUM(OSRRefT16x_0)</f>
        <v>3809164.6</v>
      </c>
      <c r="U121" s="4"/>
      <c r="V121" s="12">
        <f t="shared" ref="V121:V176" si="24">IF(T$12=0,0,T121/T$12)</f>
        <v>0.68636007560791745</v>
      </c>
      <c r="W121" s="4"/>
      <c r="X121" s="4">
        <f t="shared" ref="X121:X176" si="25">+P121-T121</f>
        <v>-130901.83000000054</v>
      </c>
      <c r="Y121" s="4"/>
      <c r="Z121" s="12">
        <f t="shared" ref="Z121:Z176" si="26">IF(T121=0,0,X121/T121)</f>
        <v>-3.4364970734003075E-2</v>
      </c>
    </row>
    <row r="122" spans="1:26" s="24" customFormat="1" hidden="1" outlineLevel="1" x14ac:dyDescent="0.25">
      <c r="A122" s="44"/>
      <c r="B122" s="11" t="str">
        <f>CONCATENATE("          ", "5001", " - ", "PURCHASES @ COST-NEW TEXT")</f>
        <v xml:space="preserve">          5001 - PURCHASES @ COST-NEW TEXT</v>
      </c>
      <c r="C122" s="11"/>
      <c r="D122" s="2">
        <v>104892.25</v>
      </c>
      <c r="E122" s="2"/>
      <c r="F122" s="19">
        <f t="shared" si="19"/>
        <v>7.4529897425996944E-2</v>
      </c>
      <c r="G122" s="2"/>
      <c r="H122" s="2">
        <v>297306.68</v>
      </c>
      <c r="I122" s="2"/>
      <c r="J122" s="19">
        <f t="shared" si="20"/>
        <v>0.21335579568463195</v>
      </c>
      <c r="K122" s="2"/>
      <c r="L122" s="2">
        <f t="shared" si="21"/>
        <v>-192414.43</v>
      </c>
      <c r="M122" s="2"/>
      <c r="N122" s="19">
        <f t="shared" si="22"/>
        <v>-0.64719174826478842</v>
      </c>
      <c r="O122" s="11"/>
      <c r="P122" s="2">
        <v>1932650.95</v>
      </c>
      <c r="Q122" s="2"/>
      <c r="R122" s="19">
        <f t="shared" si="23"/>
        <v>0.36231443992078255</v>
      </c>
      <c r="S122" s="2"/>
      <c r="T122" s="2">
        <v>2052477.64</v>
      </c>
      <c r="U122" s="2"/>
      <c r="V122" s="19">
        <f t="shared" si="24"/>
        <v>0.36982878297618327</v>
      </c>
      <c r="W122" s="2"/>
      <c r="X122" s="2">
        <f t="shared" si="25"/>
        <v>-119826.68999999994</v>
      </c>
      <c r="Y122" s="2"/>
      <c r="Z122" s="19">
        <f t="shared" si="26"/>
        <v>-5.8381483756383308E-2</v>
      </c>
    </row>
    <row r="123" spans="1:26" s="24" customFormat="1" hidden="1" outlineLevel="1" x14ac:dyDescent="0.25">
      <c r="A123" s="44"/>
      <c r="B123" s="11" t="str">
        <f>CONCATENATE("          ", "5002", " - ", "PURCHASES @ COST-USED TEXT")</f>
        <v xml:space="preserve">          5002 - PURCHASES @ COST-USED TEXT</v>
      </c>
      <c r="C123" s="11"/>
      <c r="D123" s="2">
        <v>18830.57</v>
      </c>
      <c r="E123" s="2"/>
      <c r="F123" s="19">
        <f t="shared" si="19"/>
        <v>1.3379829783163726E-2</v>
      </c>
      <c r="G123" s="2"/>
      <c r="H123" s="2">
        <v>144475.76</v>
      </c>
      <c r="I123" s="2"/>
      <c r="J123" s="19">
        <f t="shared" si="20"/>
        <v>0.1036799466865054</v>
      </c>
      <c r="K123" s="2"/>
      <c r="L123" s="2">
        <f t="shared" si="21"/>
        <v>-125645.19</v>
      </c>
      <c r="M123" s="2"/>
      <c r="N123" s="19">
        <f t="shared" si="22"/>
        <v>-0.86966277249553836</v>
      </c>
      <c r="O123" s="11"/>
      <c r="P123" s="2">
        <v>353811.24</v>
      </c>
      <c r="Q123" s="2"/>
      <c r="R123" s="19">
        <f t="shared" si="23"/>
        <v>6.6329060225943842E-2</v>
      </c>
      <c r="S123" s="2"/>
      <c r="T123" s="2">
        <v>315050.18</v>
      </c>
      <c r="U123" s="2"/>
      <c r="V123" s="19">
        <f t="shared" si="24"/>
        <v>5.6767792435403815E-2</v>
      </c>
      <c r="W123" s="2"/>
      <c r="X123" s="2">
        <f t="shared" si="25"/>
        <v>38761.06</v>
      </c>
      <c r="Y123" s="2"/>
      <c r="Z123" s="19">
        <f t="shared" si="26"/>
        <v>0.1230313850320606</v>
      </c>
    </row>
    <row r="124" spans="1:26" s="24" customFormat="1" hidden="1" outlineLevel="1" x14ac:dyDescent="0.25">
      <c r="A124" s="44"/>
      <c r="B124" s="11" t="str">
        <f>CONCATENATE("          ", "5003", " - ", "PURCHASES @ COST-RENTAL TEXT")</f>
        <v xml:space="preserve">          5003 - PURCHASES @ COST-RENTAL TEXT</v>
      </c>
      <c r="C124" s="11"/>
      <c r="D124" s="2"/>
      <c r="E124" s="2"/>
      <c r="F124" s="19">
        <f t="shared" si="19"/>
        <v>0</v>
      </c>
      <c r="G124" s="2"/>
      <c r="H124" s="2">
        <v>-2966.4</v>
      </c>
      <c r="I124" s="2"/>
      <c r="J124" s="19">
        <f t="shared" si="20"/>
        <v>-2.1287736700665192E-3</v>
      </c>
      <c r="K124" s="2"/>
      <c r="L124" s="2">
        <f t="shared" si="21"/>
        <v>2966.4</v>
      </c>
      <c r="M124" s="2"/>
      <c r="N124" s="19">
        <f t="shared" si="22"/>
        <v>-1</v>
      </c>
      <c r="O124" s="11"/>
      <c r="P124" s="2">
        <v>-78.400000000000006</v>
      </c>
      <c r="Q124" s="2"/>
      <c r="R124" s="19">
        <f t="shared" si="23"/>
        <v>-1.4697662860326307E-5</v>
      </c>
      <c r="S124" s="2"/>
      <c r="T124" s="2">
        <v>-522.1</v>
      </c>
      <c r="U124" s="2"/>
      <c r="V124" s="19">
        <f t="shared" si="24"/>
        <v>-9.4075376914637315E-5</v>
      </c>
      <c r="W124" s="2"/>
      <c r="X124" s="2">
        <f t="shared" si="25"/>
        <v>443.70000000000005</v>
      </c>
      <c r="Y124" s="2"/>
      <c r="Z124" s="19">
        <f t="shared" si="26"/>
        <v>-0.84983719593947527</v>
      </c>
    </row>
    <row r="125" spans="1:26" s="24" customFormat="1" hidden="1" outlineLevel="1" x14ac:dyDescent="0.25">
      <c r="A125" s="44"/>
      <c r="B125" s="11" t="str">
        <f>CONCATENATE("          ", "5004", " - ", "PURCHASES @ COST-DIGITAL TEXT")</f>
        <v xml:space="preserve">          5004 - PURCHASES @ COST-DIGITAL TEXT</v>
      </c>
      <c r="C125" s="11"/>
      <c r="D125" s="2">
        <v>50761.9</v>
      </c>
      <c r="E125" s="2"/>
      <c r="F125" s="19">
        <f t="shared" si="19"/>
        <v>3.6068243365441337E-2</v>
      </c>
      <c r="G125" s="2"/>
      <c r="H125" s="2">
        <v>37466.380000000005</v>
      </c>
      <c r="I125" s="2"/>
      <c r="J125" s="19">
        <f t="shared" si="20"/>
        <v>2.688694823918111E-2</v>
      </c>
      <c r="K125" s="2"/>
      <c r="L125" s="2">
        <f t="shared" si="21"/>
        <v>13295.519999999997</v>
      </c>
      <c r="M125" s="2"/>
      <c r="N125" s="19">
        <f t="shared" si="22"/>
        <v>0.35486534861387714</v>
      </c>
      <c r="O125" s="11"/>
      <c r="P125" s="2">
        <v>353728.39</v>
      </c>
      <c r="Q125" s="2"/>
      <c r="R125" s="19">
        <f t="shared" si="23"/>
        <v>6.6313528320740042E-2</v>
      </c>
      <c r="S125" s="2"/>
      <c r="T125" s="2">
        <v>239679.49000000002</v>
      </c>
      <c r="U125" s="2"/>
      <c r="V125" s="19">
        <f t="shared" si="24"/>
        <v>4.3187010841712406E-2</v>
      </c>
      <c r="W125" s="2"/>
      <c r="X125" s="2">
        <f t="shared" si="25"/>
        <v>114048.9</v>
      </c>
      <c r="Y125" s="2"/>
      <c r="Z125" s="19">
        <f t="shared" si="26"/>
        <v>0.47583921344291907</v>
      </c>
    </row>
    <row r="126" spans="1:26" s="24" customFormat="1" hidden="1" outlineLevel="1" x14ac:dyDescent="0.25">
      <c r="A126" s="44"/>
      <c r="B126" s="11" t="str">
        <f>CONCATENATE("          ", "5011", " - ", "PURCHASES @ COST-NO VALUE TEXT")</f>
        <v xml:space="preserve">          5011 - PURCHASES @ COST-NO VALUE TEXT</v>
      </c>
      <c r="C126" s="11"/>
      <c r="D126" s="2">
        <v>2928</v>
      </c>
      <c r="E126" s="2"/>
      <c r="F126" s="19">
        <f t="shared" si="19"/>
        <v>2.0804543678233527E-3</v>
      </c>
      <c r="G126" s="2"/>
      <c r="H126" s="2">
        <v>126</v>
      </c>
      <c r="I126" s="2"/>
      <c r="J126" s="19">
        <f t="shared" si="20"/>
        <v>9.0421211713990503E-5</v>
      </c>
      <c r="K126" s="2"/>
      <c r="L126" s="2">
        <f t="shared" si="21"/>
        <v>2802</v>
      </c>
      <c r="M126" s="2"/>
      <c r="N126" s="19">
        <f t="shared" si="22"/>
        <v>22.238095238095237</v>
      </c>
      <c r="O126" s="11"/>
      <c r="P126" s="2">
        <v>3585</v>
      </c>
      <c r="Q126" s="2"/>
      <c r="R126" s="19">
        <f t="shared" si="23"/>
        <v>6.720806295187476E-4</v>
      </c>
      <c r="S126" s="2"/>
      <c r="T126" s="2">
        <v>1083</v>
      </c>
      <c r="U126" s="2"/>
      <c r="V126" s="19">
        <f t="shared" si="24"/>
        <v>1.9514199042051757E-4</v>
      </c>
      <c r="W126" s="2"/>
      <c r="X126" s="2">
        <f t="shared" si="25"/>
        <v>2502</v>
      </c>
      <c r="Y126" s="2"/>
      <c r="Z126" s="19">
        <f t="shared" si="26"/>
        <v>2.3102493074792245</v>
      </c>
    </row>
    <row r="127" spans="1:26" s="24" customFormat="1" hidden="1" outlineLevel="1" x14ac:dyDescent="0.25">
      <c r="A127" s="44"/>
      <c r="B127" s="11" t="str">
        <f>CONCATENATE("          ", "5013", " - ", "PURCHASES @ COST-TRADE BOOKS")</f>
        <v xml:space="preserve">          5013 - PURCHASES @ COST-TRADE BOOKS</v>
      </c>
      <c r="C127" s="11"/>
      <c r="D127" s="2">
        <v>269.89</v>
      </c>
      <c r="E127" s="2"/>
      <c r="F127" s="19">
        <f t="shared" si="19"/>
        <v>1.9176701821442779E-4</v>
      </c>
      <c r="G127" s="2"/>
      <c r="H127" s="2">
        <v>-1023.61</v>
      </c>
      <c r="I127" s="2"/>
      <c r="J127" s="19">
        <f t="shared" si="20"/>
        <v>-7.3457187716315727E-4</v>
      </c>
      <c r="K127" s="2"/>
      <c r="L127" s="2">
        <f t="shared" si="21"/>
        <v>1293.5</v>
      </c>
      <c r="M127" s="2"/>
      <c r="N127" s="19">
        <f t="shared" si="22"/>
        <v>-1.2636648723634978</v>
      </c>
      <c r="O127" s="11"/>
      <c r="P127" s="2">
        <v>474.79</v>
      </c>
      <c r="Q127" s="2"/>
      <c r="R127" s="19">
        <f t="shared" si="23"/>
        <v>8.9008971294060303E-5</v>
      </c>
      <c r="S127" s="2"/>
      <c r="T127" s="2">
        <v>579.38</v>
      </c>
      <c r="U127" s="2"/>
      <c r="V127" s="19">
        <f t="shared" si="24"/>
        <v>1.043964602122248E-4</v>
      </c>
      <c r="W127" s="2"/>
      <c r="X127" s="2">
        <f t="shared" si="25"/>
        <v>-104.58999999999997</v>
      </c>
      <c r="Y127" s="2"/>
      <c r="Z127" s="19">
        <f t="shared" si="26"/>
        <v>-0.18052055645690215</v>
      </c>
    </row>
    <row r="128" spans="1:26" s="24" customFormat="1" hidden="1" outlineLevel="1" x14ac:dyDescent="0.25">
      <c r="A128" s="44"/>
      <c r="B128" s="11" t="str">
        <f>CONCATENATE("          ", "5014", " - ", "PURCHASES @ COST-REMAINDERS")</f>
        <v xml:space="preserve">          5014 - PURCHASES @ COST-REMAINDERS</v>
      </c>
      <c r="C128" s="11"/>
      <c r="D128" s="2">
        <v>55.65</v>
      </c>
      <c r="E128" s="2"/>
      <c r="F128" s="19">
        <f t="shared" si="19"/>
        <v>3.9541422667134412E-5</v>
      </c>
      <c r="G128" s="2"/>
      <c r="H128" s="2">
        <v>197.26</v>
      </c>
      <c r="I128" s="2"/>
      <c r="J128" s="19">
        <f t="shared" si="20"/>
        <v>1.4155943033890289E-4</v>
      </c>
      <c r="K128" s="2"/>
      <c r="L128" s="2">
        <f t="shared" si="21"/>
        <v>-141.60999999999999</v>
      </c>
      <c r="M128" s="2"/>
      <c r="N128" s="19">
        <f t="shared" si="22"/>
        <v>-0.71788502484031225</v>
      </c>
      <c r="O128" s="11"/>
      <c r="P128" s="2">
        <v>289.97000000000003</v>
      </c>
      <c r="Q128" s="2"/>
      <c r="R128" s="19">
        <f t="shared" si="23"/>
        <v>5.4360730862357391E-5</v>
      </c>
      <c r="S128" s="2"/>
      <c r="T128" s="2">
        <v>401.26</v>
      </c>
      <c r="U128" s="2"/>
      <c r="V128" s="19">
        <f t="shared" si="24"/>
        <v>7.2301639036137467E-5</v>
      </c>
      <c r="W128" s="2"/>
      <c r="X128" s="2">
        <f t="shared" si="25"/>
        <v>-111.28999999999996</v>
      </c>
      <c r="Y128" s="2"/>
      <c r="Z128" s="19">
        <f t="shared" si="26"/>
        <v>-0.27735134326870348</v>
      </c>
    </row>
    <row r="129" spans="1:26" s="24" customFormat="1" hidden="1" outlineLevel="1" x14ac:dyDescent="0.25">
      <c r="A129" s="44"/>
      <c r="B129" s="11" t="str">
        <f>CONCATENATE("          ", "5017", " - ", "PURCHASES @ COST-DORM/HOUSEWAR")</f>
        <v xml:space="preserve">          5017 - PURCHASES @ COST-DORM/HOUSEWAR</v>
      </c>
      <c r="C129" s="11"/>
      <c r="D129" s="2">
        <v>-139.86000000000001</v>
      </c>
      <c r="E129" s="2"/>
      <c r="F129" s="19">
        <f t="shared" si="19"/>
        <v>-9.9375801872873674E-5</v>
      </c>
      <c r="G129" s="2"/>
      <c r="H129" s="2">
        <v>-959.6</v>
      </c>
      <c r="I129" s="2"/>
      <c r="J129" s="19">
        <f t="shared" si="20"/>
        <v>-6.8863646635512125E-4</v>
      </c>
      <c r="K129" s="2"/>
      <c r="L129" s="2">
        <f t="shared" si="21"/>
        <v>819.74</v>
      </c>
      <c r="M129" s="2"/>
      <c r="N129" s="19">
        <f t="shared" si="22"/>
        <v>-0.85425177157148813</v>
      </c>
      <c r="O129" s="11"/>
      <c r="P129" s="2">
        <v>0</v>
      </c>
      <c r="Q129" s="2"/>
      <c r="R129" s="19">
        <f t="shared" si="23"/>
        <v>0</v>
      </c>
      <c r="S129" s="2"/>
      <c r="T129" s="2">
        <v>0</v>
      </c>
      <c r="U129" s="2"/>
      <c r="V129" s="19">
        <f t="shared" si="24"/>
        <v>0</v>
      </c>
      <c r="W129" s="2"/>
      <c r="X129" s="2">
        <f t="shared" si="25"/>
        <v>0</v>
      </c>
      <c r="Y129" s="2"/>
      <c r="Z129" s="19">
        <f t="shared" si="26"/>
        <v>0</v>
      </c>
    </row>
    <row r="130" spans="1:26" s="24" customFormat="1" hidden="1" outlineLevel="1" x14ac:dyDescent="0.25">
      <c r="A130" s="44"/>
      <c r="B130" s="11" t="str">
        <f>CONCATENATE("          ", "5018", " - ", "PURCHASES @ COST-STUDY GUIDES")</f>
        <v xml:space="preserve">          5018 - PURCHASES @ COST-STUDY GUIDES</v>
      </c>
      <c r="C130" s="11"/>
      <c r="D130" s="2"/>
      <c r="E130" s="2"/>
      <c r="F130" s="19">
        <f t="shared" si="19"/>
        <v>0</v>
      </c>
      <c r="G130" s="2"/>
      <c r="H130" s="2">
        <v>216.04</v>
      </c>
      <c r="I130" s="2"/>
      <c r="J130" s="19">
        <f t="shared" si="20"/>
        <v>1.5503649665627386E-4</v>
      </c>
      <c r="K130" s="2"/>
      <c r="L130" s="2">
        <f t="shared" si="21"/>
        <v>-216.04</v>
      </c>
      <c r="M130" s="2"/>
      <c r="N130" s="19">
        <f t="shared" si="22"/>
        <v>-1</v>
      </c>
      <c r="O130" s="11"/>
      <c r="P130" s="2">
        <v>503.93</v>
      </c>
      <c r="Q130" s="2"/>
      <c r="R130" s="19">
        <f t="shared" si="23"/>
        <v>9.4471852617400968E-5</v>
      </c>
      <c r="S130" s="2"/>
      <c r="T130" s="2">
        <v>1034.67</v>
      </c>
      <c r="U130" s="2"/>
      <c r="V130" s="19">
        <f t="shared" si="24"/>
        <v>1.8643357638817813E-4</v>
      </c>
      <c r="W130" s="2"/>
      <c r="X130" s="2">
        <f t="shared" si="25"/>
        <v>-530.74</v>
      </c>
      <c r="Y130" s="2"/>
      <c r="Z130" s="19">
        <f t="shared" si="26"/>
        <v>-0.51295582166294562</v>
      </c>
    </row>
    <row r="131" spans="1:26" s="24" customFormat="1" hidden="1" outlineLevel="1" x14ac:dyDescent="0.25">
      <c r="A131" s="44"/>
      <c r="B131" s="11" t="str">
        <f>CONCATENATE("          ", "5025", " - ", "PURCHASES @ COST-TEST FORMS")</f>
        <v xml:space="preserve">          5025 - PURCHASES @ COST-TEST FORMS</v>
      </c>
      <c r="C131" s="11"/>
      <c r="D131" s="2">
        <v>1495.25</v>
      </c>
      <c r="E131" s="2"/>
      <c r="F131" s="19">
        <f t="shared" si="19"/>
        <v>1.0624314868469494E-3</v>
      </c>
      <c r="G131" s="2"/>
      <c r="H131" s="2">
        <v>0</v>
      </c>
      <c r="I131" s="2"/>
      <c r="J131" s="19">
        <f t="shared" si="20"/>
        <v>0</v>
      </c>
      <c r="K131" s="2"/>
      <c r="L131" s="2">
        <f t="shared" si="21"/>
        <v>1495.25</v>
      </c>
      <c r="M131" s="2"/>
      <c r="N131" s="19">
        <f t="shared" si="22"/>
        <v>0</v>
      </c>
      <c r="O131" s="11"/>
      <c r="P131" s="2">
        <v>3252.39</v>
      </c>
      <c r="Q131" s="2"/>
      <c r="R131" s="19">
        <f t="shared" si="23"/>
        <v>6.0972616977419231E-4</v>
      </c>
      <c r="S131" s="2"/>
      <c r="T131" s="2">
        <v>1050</v>
      </c>
      <c r="U131" s="2"/>
      <c r="V131" s="19">
        <f t="shared" si="24"/>
        <v>1.8919583558775941E-4</v>
      </c>
      <c r="W131" s="2"/>
      <c r="X131" s="2">
        <f t="shared" si="25"/>
        <v>2202.39</v>
      </c>
      <c r="Y131" s="2"/>
      <c r="Z131" s="19">
        <f t="shared" si="26"/>
        <v>2.0975142857142854</v>
      </c>
    </row>
    <row r="132" spans="1:26" s="24" customFormat="1" hidden="1" outlineLevel="1" x14ac:dyDescent="0.25">
      <c r="A132" s="44"/>
      <c r="B132" s="11" t="str">
        <f>CONCATENATE("          ", "5026", " - ", "PURCHASES @ COST-WRITING INSTR")</f>
        <v xml:space="preserve">          5026 - PURCHASES @ COST-WRITING INSTR</v>
      </c>
      <c r="C132" s="11"/>
      <c r="D132" s="2">
        <v>2250.85</v>
      </c>
      <c r="E132" s="2"/>
      <c r="F132" s="19">
        <f t="shared" si="19"/>
        <v>1.5993137683795058E-3</v>
      </c>
      <c r="G132" s="2"/>
      <c r="H132" s="2">
        <v>18243.670000000002</v>
      </c>
      <c r="I132" s="2"/>
      <c r="J132" s="19">
        <f t="shared" si="20"/>
        <v>1.3092180535795058E-2</v>
      </c>
      <c r="K132" s="2"/>
      <c r="L132" s="2">
        <f t="shared" si="21"/>
        <v>-15992.820000000002</v>
      </c>
      <c r="M132" s="2"/>
      <c r="N132" s="19">
        <f t="shared" si="22"/>
        <v>-0.87662296018290176</v>
      </c>
      <c r="O132" s="11"/>
      <c r="P132" s="2">
        <v>14787.38</v>
      </c>
      <c r="Q132" s="2"/>
      <c r="R132" s="19">
        <f t="shared" si="23"/>
        <v>2.7721929314736228E-3</v>
      </c>
      <c r="S132" s="2"/>
      <c r="T132" s="2">
        <v>22840.489999999998</v>
      </c>
      <c r="U132" s="2"/>
      <c r="V132" s="19">
        <f t="shared" si="24"/>
        <v>4.1155481816989165E-3</v>
      </c>
      <c r="W132" s="2"/>
      <c r="X132" s="2">
        <f t="shared" si="25"/>
        <v>-8053.1099999999988</v>
      </c>
      <c r="Y132" s="2"/>
      <c r="Z132" s="19">
        <f t="shared" si="26"/>
        <v>-0.3525804393863704</v>
      </c>
    </row>
    <row r="133" spans="1:26" s="24" customFormat="1" hidden="1" outlineLevel="1" x14ac:dyDescent="0.25">
      <c r="A133" s="44"/>
      <c r="B133" s="11" t="str">
        <f>CONCATENATE("          ", "5027", " - ", "PURCHASES @ COST-SCHOOL SUPPLI")</f>
        <v xml:space="preserve">          5027 - PURCHASES @ COST-SCHOOL SUPPLI</v>
      </c>
      <c r="C133" s="11"/>
      <c r="D133" s="2">
        <v>12655.95</v>
      </c>
      <c r="E133" s="2"/>
      <c r="F133" s="19">
        <f t="shared" si="19"/>
        <v>8.9925295274774462E-3</v>
      </c>
      <c r="G133" s="2"/>
      <c r="H133" s="2">
        <v>15062.04</v>
      </c>
      <c r="I133" s="2"/>
      <c r="J133" s="19">
        <f t="shared" si="20"/>
        <v>1.0808951648290425E-2</v>
      </c>
      <c r="K133" s="2"/>
      <c r="L133" s="2">
        <f t="shared" si="21"/>
        <v>-2406.09</v>
      </c>
      <c r="M133" s="2"/>
      <c r="N133" s="19">
        <f t="shared" si="22"/>
        <v>-0.15974529346622371</v>
      </c>
      <c r="O133" s="11"/>
      <c r="P133" s="2">
        <v>62182.680000000008</v>
      </c>
      <c r="Q133" s="2"/>
      <c r="R133" s="19">
        <f t="shared" si="23"/>
        <v>1.1657398806014739E-2</v>
      </c>
      <c r="S133" s="2"/>
      <c r="T133" s="2">
        <v>58732.23</v>
      </c>
      <c r="U133" s="2"/>
      <c r="V133" s="19">
        <f t="shared" si="24"/>
        <v>1.0582755553126162E-2</v>
      </c>
      <c r="W133" s="2"/>
      <c r="X133" s="2">
        <f t="shared" si="25"/>
        <v>3450.4500000000044</v>
      </c>
      <c r="Y133" s="2"/>
      <c r="Z133" s="19">
        <f t="shared" si="26"/>
        <v>5.8748833476951312E-2</v>
      </c>
    </row>
    <row r="134" spans="1:26" s="24" customFormat="1" hidden="1" outlineLevel="1" x14ac:dyDescent="0.25">
      <c r="A134" s="44"/>
      <c r="B134" s="11" t="str">
        <f>CONCATENATE("          ", "5028", " - ", "PURCHASES @ COST-ART/TECH")</f>
        <v xml:space="preserve">          5028 - PURCHASES @ COST-ART/TECH</v>
      </c>
      <c r="C134" s="11"/>
      <c r="D134" s="2">
        <v>14830.009999999998</v>
      </c>
      <c r="E134" s="2"/>
      <c r="F134" s="19">
        <f t="shared" si="19"/>
        <v>1.0537281106340161E-2</v>
      </c>
      <c r="G134" s="2"/>
      <c r="H134" s="2">
        <v>15579.26</v>
      </c>
      <c r="I134" s="2"/>
      <c r="J134" s="19">
        <f t="shared" si="20"/>
        <v>1.1180123546089712E-2</v>
      </c>
      <c r="K134" s="2"/>
      <c r="L134" s="2">
        <f t="shared" si="21"/>
        <v>-749.25000000000182</v>
      </c>
      <c r="M134" s="2"/>
      <c r="N134" s="19">
        <f t="shared" si="22"/>
        <v>-4.8092784894789728E-2</v>
      </c>
      <c r="O134" s="11"/>
      <c r="P134" s="2">
        <v>70844.78</v>
      </c>
      <c r="Q134" s="2"/>
      <c r="R134" s="19">
        <f t="shared" si="23"/>
        <v>1.3281284334872294E-2</v>
      </c>
      <c r="S134" s="2"/>
      <c r="T134" s="2">
        <v>53175.57</v>
      </c>
      <c r="U134" s="2"/>
      <c r="V134" s="19">
        <f t="shared" si="24"/>
        <v>9.5815203800051346E-3</v>
      </c>
      <c r="W134" s="2"/>
      <c r="X134" s="2">
        <f t="shared" si="25"/>
        <v>17669.21</v>
      </c>
      <c r="Y134" s="2"/>
      <c r="Z134" s="19">
        <f t="shared" si="26"/>
        <v>0.3322805942653741</v>
      </c>
    </row>
    <row r="135" spans="1:26" s="24" customFormat="1" hidden="1" outlineLevel="1" x14ac:dyDescent="0.25">
      <c r="A135" s="44"/>
      <c r="B135" s="11" t="str">
        <f>CONCATENATE("          ", "5031", " - ", "PURCHASES @ COST-FOOD")</f>
        <v xml:space="preserve">          5031 - PURCHASES @ COST-FOOD</v>
      </c>
      <c r="C135" s="11"/>
      <c r="D135" s="2">
        <v>5471.01</v>
      </c>
      <c r="E135" s="2"/>
      <c r="F135" s="19">
        <f t="shared" si="19"/>
        <v>3.8873588288610792E-3</v>
      </c>
      <c r="G135" s="2"/>
      <c r="H135" s="2">
        <v>4130.26</v>
      </c>
      <c r="I135" s="2"/>
      <c r="J135" s="19">
        <f t="shared" si="20"/>
        <v>2.9639929674113207E-3</v>
      </c>
      <c r="K135" s="2"/>
      <c r="L135" s="2">
        <f t="shared" si="21"/>
        <v>1340.75</v>
      </c>
      <c r="M135" s="2"/>
      <c r="N135" s="19">
        <f t="shared" si="22"/>
        <v>0.32461636797683435</v>
      </c>
      <c r="O135" s="11"/>
      <c r="P135" s="2">
        <v>8150.05</v>
      </c>
      <c r="Q135" s="2"/>
      <c r="R135" s="19">
        <f t="shared" si="23"/>
        <v>1.5278914183010513E-3</v>
      </c>
      <c r="S135" s="2"/>
      <c r="T135" s="2">
        <v>7093.43</v>
      </c>
      <c r="U135" s="2"/>
      <c r="V135" s="19">
        <f t="shared" si="24"/>
        <v>1.2781403962221717E-3</v>
      </c>
      <c r="W135" s="2"/>
      <c r="X135" s="2">
        <f t="shared" si="25"/>
        <v>1056.6199999999999</v>
      </c>
      <c r="Y135" s="2"/>
      <c r="Z135" s="19">
        <f t="shared" si="26"/>
        <v>0.14895755649946499</v>
      </c>
    </row>
    <row r="136" spans="1:26" s="24" customFormat="1" hidden="1" outlineLevel="1" x14ac:dyDescent="0.25">
      <c r="A136" s="44"/>
      <c r="B136" s="11" t="str">
        <f>CONCATENATE("          ", "5032", " - ", "PURCHASES @ COST-JUICE")</f>
        <v xml:space="preserve">          5032 - PURCHASES @ COST-JUICE</v>
      </c>
      <c r="C136" s="11"/>
      <c r="D136" s="2">
        <v>477.55</v>
      </c>
      <c r="E136" s="2"/>
      <c r="F136" s="19">
        <f t="shared" si="19"/>
        <v>3.3931727573567009E-4</v>
      </c>
      <c r="G136" s="2"/>
      <c r="H136" s="2">
        <v>1045.49</v>
      </c>
      <c r="I136" s="2"/>
      <c r="J136" s="19">
        <f t="shared" si="20"/>
        <v>7.5027359234015813E-4</v>
      </c>
      <c r="K136" s="2"/>
      <c r="L136" s="2">
        <f t="shared" si="21"/>
        <v>-567.94000000000005</v>
      </c>
      <c r="M136" s="2"/>
      <c r="N136" s="19">
        <f t="shared" si="22"/>
        <v>-0.54322853398884741</v>
      </c>
      <c r="O136" s="11"/>
      <c r="P136" s="2">
        <v>819.15</v>
      </c>
      <c r="Q136" s="2"/>
      <c r="R136" s="19">
        <f t="shared" si="23"/>
        <v>1.5356620576576906E-4</v>
      </c>
      <c r="S136" s="2"/>
      <c r="T136" s="2">
        <v>2027.58</v>
      </c>
      <c r="U136" s="2"/>
      <c r="V136" s="19">
        <f t="shared" si="24"/>
        <v>3.6534256411526589E-4</v>
      </c>
      <c r="W136" s="2"/>
      <c r="X136" s="2">
        <f t="shared" si="25"/>
        <v>-1208.4299999999998</v>
      </c>
      <c r="Y136" s="2"/>
      <c r="Z136" s="19">
        <f t="shared" si="26"/>
        <v>-0.59599621223330268</v>
      </c>
    </row>
    <row r="137" spans="1:26" s="24" customFormat="1" hidden="1" outlineLevel="1" x14ac:dyDescent="0.25">
      <c r="A137" s="44"/>
      <c r="B137" s="11" t="str">
        <f>CONCATENATE("          ", "5033", " - ", "PURCHASES @ COST-CANDY")</f>
        <v xml:space="preserve">          5033 - PURCHASES @ COST-CANDY</v>
      </c>
      <c r="C137" s="11"/>
      <c r="D137" s="2">
        <v>1366.65</v>
      </c>
      <c r="E137" s="2"/>
      <c r="F137" s="19">
        <f t="shared" si="19"/>
        <v>9.710563394077134E-4</v>
      </c>
      <c r="G137" s="2"/>
      <c r="H137" s="2">
        <v>682.94</v>
      </c>
      <c r="I137" s="2"/>
      <c r="J137" s="19">
        <f t="shared" si="20"/>
        <v>4.9009732006311652E-4</v>
      </c>
      <c r="K137" s="2"/>
      <c r="L137" s="2">
        <f t="shared" si="21"/>
        <v>683.71</v>
      </c>
      <c r="M137" s="2"/>
      <c r="N137" s="19">
        <f t="shared" si="22"/>
        <v>1.0011274782557764</v>
      </c>
      <c r="O137" s="11"/>
      <c r="P137" s="2">
        <v>2353.11</v>
      </c>
      <c r="Q137" s="2"/>
      <c r="R137" s="19">
        <f t="shared" si="23"/>
        <v>4.4113797772018414E-4</v>
      </c>
      <c r="S137" s="2"/>
      <c r="T137" s="2">
        <v>1772.86</v>
      </c>
      <c r="U137" s="2"/>
      <c r="V137" s="19">
        <f t="shared" si="24"/>
        <v>3.1944545626677628E-4</v>
      </c>
      <c r="W137" s="2"/>
      <c r="X137" s="2">
        <f t="shared" si="25"/>
        <v>580.25000000000023</v>
      </c>
      <c r="Y137" s="2"/>
      <c r="Z137" s="19">
        <f t="shared" si="26"/>
        <v>0.32729600758097099</v>
      </c>
    </row>
    <row r="138" spans="1:26" s="24" customFormat="1" hidden="1" outlineLevel="1" x14ac:dyDescent="0.25">
      <c r="A138" s="44"/>
      <c r="B138" s="11" t="str">
        <f>CONCATENATE("          ", "5034", " - ", "PURCHASES @ COST-SODA")</f>
        <v xml:space="preserve">          5034 - PURCHASES @ COST-SODA</v>
      </c>
      <c r="C138" s="11"/>
      <c r="D138" s="2">
        <v>330.04</v>
      </c>
      <c r="E138" s="2"/>
      <c r="F138" s="19">
        <f t="shared" si="19"/>
        <v>2.3450586050424157E-4</v>
      </c>
      <c r="G138" s="2"/>
      <c r="H138" s="2">
        <v>148.22</v>
      </c>
      <c r="I138" s="2"/>
      <c r="J138" s="19">
        <f t="shared" si="20"/>
        <v>1.0636692063688628E-4</v>
      </c>
      <c r="K138" s="2"/>
      <c r="L138" s="2">
        <f t="shared" si="21"/>
        <v>181.82000000000002</v>
      </c>
      <c r="M138" s="2"/>
      <c r="N138" s="19">
        <f t="shared" si="22"/>
        <v>1.2266900553231683</v>
      </c>
      <c r="O138" s="11"/>
      <c r="P138" s="2">
        <v>618.54</v>
      </c>
      <c r="Q138" s="2"/>
      <c r="R138" s="19">
        <f t="shared" si="23"/>
        <v>1.1595781104115093E-4</v>
      </c>
      <c r="S138" s="2"/>
      <c r="T138" s="2">
        <v>687.16</v>
      </c>
      <c r="U138" s="2"/>
      <c r="V138" s="19">
        <f t="shared" si="24"/>
        <v>1.238169622690331E-4</v>
      </c>
      <c r="W138" s="2"/>
      <c r="X138" s="2">
        <f t="shared" si="25"/>
        <v>-68.62</v>
      </c>
      <c r="Y138" s="2"/>
      <c r="Z138" s="19">
        <f t="shared" si="26"/>
        <v>-9.9860294545666237E-2</v>
      </c>
    </row>
    <row r="139" spans="1:26" s="24" customFormat="1" hidden="1" outlineLevel="1" x14ac:dyDescent="0.25">
      <c r="A139" s="44"/>
      <c r="B139" s="11" t="str">
        <f>CONCATENATE("          ", "5035", " - ", "PURCHASES @ COST-HEALTH &amp; BEAU")</f>
        <v xml:space="preserve">          5035 - PURCHASES @ COST-HEALTH &amp; BEAU</v>
      </c>
      <c r="C139" s="11"/>
      <c r="D139" s="2">
        <v>210.83</v>
      </c>
      <c r="E139" s="2"/>
      <c r="F139" s="19">
        <f t="shared" si="19"/>
        <v>1.4980266201099638E-4</v>
      </c>
      <c r="G139" s="2"/>
      <c r="H139" s="2">
        <v>81.03</v>
      </c>
      <c r="I139" s="2"/>
      <c r="J139" s="19">
        <f t="shared" si="20"/>
        <v>5.814945067606865E-5</v>
      </c>
      <c r="K139" s="2"/>
      <c r="L139" s="2">
        <f t="shared" si="21"/>
        <v>129.80000000000001</v>
      </c>
      <c r="M139" s="2"/>
      <c r="N139" s="19">
        <f t="shared" si="22"/>
        <v>1.601875848451191</v>
      </c>
      <c r="O139" s="11"/>
      <c r="P139" s="2">
        <v>287.56</v>
      </c>
      <c r="Q139" s="2"/>
      <c r="R139" s="19">
        <f t="shared" si="23"/>
        <v>5.3908927705553992E-5</v>
      </c>
      <c r="S139" s="2"/>
      <c r="T139" s="2">
        <v>125.52</v>
      </c>
      <c r="U139" s="2"/>
      <c r="V139" s="19">
        <f t="shared" si="24"/>
        <v>2.2617010745691009E-5</v>
      </c>
      <c r="W139" s="2"/>
      <c r="X139" s="2">
        <f t="shared" si="25"/>
        <v>162.04000000000002</v>
      </c>
      <c r="Y139" s="2"/>
      <c r="Z139" s="19">
        <f t="shared" si="26"/>
        <v>1.290949649458254</v>
      </c>
    </row>
    <row r="140" spans="1:26" s="24" customFormat="1" hidden="1" outlineLevel="1" x14ac:dyDescent="0.25">
      <c r="A140" s="44"/>
      <c r="B140" s="11" t="str">
        <f>CONCATENATE("          ", "5037", " - ", "PURCHASES @ COST-WATER")</f>
        <v xml:space="preserve">          5037 - PURCHASES @ COST-WATER</v>
      </c>
      <c r="C140" s="11"/>
      <c r="D140" s="2">
        <v>896.64</v>
      </c>
      <c r="E140" s="2"/>
      <c r="F140" s="19">
        <f t="shared" si="19"/>
        <v>6.3709651788426593E-4</v>
      </c>
      <c r="G140" s="2"/>
      <c r="H140" s="2">
        <v>615.67999999999995</v>
      </c>
      <c r="I140" s="2"/>
      <c r="J140" s="19">
        <f t="shared" si="20"/>
        <v>4.41829616095791E-4</v>
      </c>
      <c r="K140" s="2"/>
      <c r="L140" s="2">
        <f t="shared" si="21"/>
        <v>280.96000000000004</v>
      </c>
      <c r="M140" s="2"/>
      <c r="N140" s="19">
        <f t="shared" si="22"/>
        <v>0.45634095634095645</v>
      </c>
      <c r="O140" s="11"/>
      <c r="P140" s="2">
        <v>1392.58</v>
      </c>
      <c r="Q140" s="2"/>
      <c r="R140" s="19">
        <f t="shared" si="23"/>
        <v>2.6106723655654603E-4</v>
      </c>
      <c r="S140" s="2"/>
      <c r="T140" s="2">
        <v>1206.74</v>
      </c>
      <c r="U140" s="2"/>
      <c r="V140" s="19">
        <f t="shared" si="24"/>
        <v>2.1743826917825979E-4</v>
      </c>
      <c r="W140" s="2"/>
      <c r="X140" s="2">
        <f t="shared" si="25"/>
        <v>185.83999999999992</v>
      </c>
      <c r="Y140" s="2"/>
      <c r="Z140" s="19">
        <f t="shared" si="26"/>
        <v>0.15400169050499687</v>
      </c>
    </row>
    <row r="141" spans="1:26" s="24" customFormat="1" hidden="1" outlineLevel="1" x14ac:dyDescent="0.25">
      <c r="A141" s="44"/>
      <c r="B141" s="11" t="str">
        <f>CONCATENATE("          ", "5040", " - ", "PURCHASES @ COST-LOGO CLOTHING")</f>
        <v xml:space="preserve">          5040 - PURCHASES @ COST-LOGO CLOTHING</v>
      </c>
      <c r="C141" s="11"/>
      <c r="D141" s="2">
        <v>150282.89000000001</v>
      </c>
      <c r="E141" s="2"/>
      <c r="F141" s="19">
        <f t="shared" si="19"/>
        <v>0.10678165809754661</v>
      </c>
      <c r="G141" s="2"/>
      <c r="H141" s="2">
        <v>126875.2</v>
      </c>
      <c r="I141" s="2"/>
      <c r="J141" s="19">
        <f t="shared" si="20"/>
        <v>9.1049280321070528E-2</v>
      </c>
      <c r="K141" s="2"/>
      <c r="L141" s="2">
        <f t="shared" si="21"/>
        <v>23407.690000000017</v>
      </c>
      <c r="M141" s="2"/>
      <c r="N141" s="19">
        <f t="shared" si="22"/>
        <v>0.1844938175466917</v>
      </c>
      <c r="O141" s="11"/>
      <c r="P141" s="2">
        <v>335851.86000000004</v>
      </c>
      <c r="Q141" s="2"/>
      <c r="R141" s="19">
        <f t="shared" si="23"/>
        <v>6.2962211853233557E-2</v>
      </c>
      <c r="S141" s="2"/>
      <c r="T141" s="2">
        <v>295122.42</v>
      </c>
      <c r="U141" s="2"/>
      <c r="V141" s="19">
        <f t="shared" si="24"/>
        <v>5.3177078907220642E-2</v>
      </c>
      <c r="W141" s="2"/>
      <c r="X141" s="2">
        <f t="shared" si="25"/>
        <v>40729.440000000061</v>
      </c>
      <c r="Y141" s="2"/>
      <c r="Z141" s="19">
        <f t="shared" si="26"/>
        <v>0.13800862706398268</v>
      </c>
    </row>
    <row r="142" spans="1:26" s="24" customFormat="1" hidden="1" outlineLevel="1" x14ac:dyDescent="0.25">
      <c r="A142" s="44"/>
      <c r="B142" s="11" t="str">
        <f>CONCATENATE("          ", "5041", " - ", "PURCHASES @ COST-LOGO GIFTS")</f>
        <v xml:space="preserve">          5041 - PURCHASES @ COST-LOGO GIFTS</v>
      </c>
      <c r="C142" s="11"/>
      <c r="D142" s="2">
        <v>14167.32</v>
      </c>
      <c r="E142" s="2"/>
      <c r="F142" s="19">
        <f t="shared" si="19"/>
        <v>1.0066414881950526E-2</v>
      </c>
      <c r="G142" s="2"/>
      <c r="H142" s="2">
        <v>2643.64</v>
      </c>
      <c r="I142" s="2"/>
      <c r="J142" s="19">
        <f t="shared" si="20"/>
        <v>1.8971518423458241E-3</v>
      </c>
      <c r="K142" s="2"/>
      <c r="L142" s="2">
        <f t="shared" si="21"/>
        <v>11523.68</v>
      </c>
      <c r="M142" s="2"/>
      <c r="N142" s="19">
        <f t="shared" si="22"/>
        <v>4.359020138899397</v>
      </c>
      <c r="O142" s="11"/>
      <c r="P142" s="2">
        <v>42696.480000000003</v>
      </c>
      <c r="Q142" s="2"/>
      <c r="R142" s="19">
        <f t="shared" si="23"/>
        <v>8.0043171985033808E-3</v>
      </c>
      <c r="S142" s="2"/>
      <c r="T142" s="2">
        <v>43498.54</v>
      </c>
      <c r="U142" s="2"/>
      <c r="V142" s="19">
        <f t="shared" si="24"/>
        <v>7.837850116331025E-3</v>
      </c>
      <c r="W142" s="2"/>
      <c r="X142" s="2">
        <f t="shared" si="25"/>
        <v>-802.05999999999767</v>
      </c>
      <c r="Y142" s="2"/>
      <c r="Z142" s="19">
        <f t="shared" si="26"/>
        <v>-1.8438779784332938E-2</v>
      </c>
    </row>
    <row r="143" spans="1:26" s="24" customFormat="1" hidden="1" outlineLevel="1" x14ac:dyDescent="0.25">
      <c r="A143" s="44"/>
      <c r="B143" s="11" t="str">
        <f>CONCATENATE("          ", "5042", " - ", "PURCHASES @ COST-EVERYDAY GIFT")</f>
        <v xml:space="preserve">          5042 - PURCHASES @ COST-EVERYDAY GIFT</v>
      </c>
      <c r="C143" s="11"/>
      <c r="D143" s="2">
        <v>11559.46</v>
      </c>
      <c r="E143" s="2"/>
      <c r="F143" s="19">
        <f t="shared" si="19"/>
        <v>8.2134320514615188E-3</v>
      </c>
      <c r="G143" s="2"/>
      <c r="H143" s="2">
        <v>11737.22</v>
      </c>
      <c r="I143" s="2"/>
      <c r="J143" s="19">
        <f t="shared" si="20"/>
        <v>8.4229655123308211E-3</v>
      </c>
      <c r="K143" s="2"/>
      <c r="L143" s="2">
        <f t="shared" si="21"/>
        <v>-177.76000000000022</v>
      </c>
      <c r="M143" s="2"/>
      <c r="N143" s="19">
        <f t="shared" si="22"/>
        <v>-1.5144983224306968E-2</v>
      </c>
      <c r="O143" s="11"/>
      <c r="P143" s="2">
        <v>35291.68</v>
      </c>
      <c r="Q143" s="2"/>
      <c r="R143" s="19">
        <f t="shared" si="23"/>
        <v>6.6161379389607236E-3</v>
      </c>
      <c r="S143" s="2"/>
      <c r="T143" s="2">
        <v>35271.049999999996</v>
      </c>
      <c r="U143" s="2"/>
      <c r="V143" s="19">
        <f t="shared" si="24"/>
        <v>6.3553674064834673E-3</v>
      </c>
      <c r="W143" s="2"/>
      <c r="X143" s="2">
        <f t="shared" si="25"/>
        <v>20.630000000004657</v>
      </c>
      <c r="Y143" s="2"/>
      <c r="Z143" s="19">
        <f t="shared" si="26"/>
        <v>5.8489894687015719E-4</v>
      </c>
    </row>
    <row r="144" spans="1:26" s="24" customFormat="1" hidden="1" outlineLevel="1" x14ac:dyDescent="0.25">
      <c r="A144" s="44"/>
      <c r="B144" s="11" t="str">
        <f>CONCATENATE("          ", "5043", " - ", "PURCHASES @ COST-CARDS")</f>
        <v xml:space="preserve">          5043 - PURCHASES @ COST-CARDS</v>
      </c>
      <c r="C144" s="11"/>
      <c r="D144" s="2">
        <v>495.49</v>
      </c>
      <c r="E144" s="2"/>
      <c r="F144" s="19">
        <f t="shared" si="19"/>
        <v>3.520643219647517E-4</v>
      </c>
      <c r="G144" s="2"/>
      <c r="H144" s="2">
        <v>674.24</v>
      </c>
      <c r="I144" s="2"/>
      <c r="J144" s="19">
        <f t="shared" si="20"/>
        <v>4.838539506828647E-4</v>
      </c>
      <c r="K144" s="2"/>
      <c r="L144" s="2">
        <f t="shared" si="21"/>
        <v>-178.75</v>
      </c>
      <c r="M144" s="2"/>
      <c r="N144" s="19">
        <f t="shared" si="22"/>
        <v>-0.26511331276696726</v>
      </c>
      <c r="O144" s="11"/>
      <c r="P144" s="2">
        <v>1008.99</v>
      </c>
      <c r="Q144" s="2"/>
      <c r="R144" s="19">
        <f t="shared" si="23"/>
        <v>1.8915554654898775E-4</v>
      </c>
      <c r="S144" s="2"/>
      <c r="T144" s="2">
        <v>1138.05</v>
      </c>
      <c r="U144" s="2"/>
      <c r="V144" s="19">
        <f t="shared" si="24"/>
        <v>2.0506125780061864E-4</v>
      </c>
      <c r="W144" s="2"/>
      <c r="X144" s="2">
        <f t="shared" si="25"/>
        <v>-129.05999999999995</v>
      </c>
      <c r="Y144" s="2"/>
      <c r="Z144" s="19">
        <f t="shared" si="26"/>
        <v>-0.11340450771055749</v>
      </c>
    </row>
    <row r="145" spans="1:26" s="24" customFormat="1" hidden="1" outlineLevel="1" x14ac:dyDescent="0.25">
      <c r="A145" s="44"/>
      <c r="B145" s="11" t="str">
        <f>CONCATENATE("          ", "5044", " - ", "PURCHASES @ COST-ACCESSORIES")</f>
        <v xml:space="preserve">          5044 - PURCHASES @ COST-ACCESSORIES</v>
      </c>
      <c r="C145" s="11"/>
      <c r="D145" s="2">
        <v>2315.5300000000002</v>
      </c>
      <c r="E145" s="2"/>
      <c r="F145" s="19">
        <f t="shared" si="19"/>
        <v>1.6452713464228169E-3</v>
      </c>
      <c r="G145" s="2"/>
      <c r="H145" s="2">
        <v>5340.7</v>
      </c>
      <c r="I145" s="2"/>
      <c r="J145" s="19">
        <f t="shared" si="20"/>
        <v>3.8326394079437227E-3</v>
      </c>
      <c r="K145" s="2"/>
      <c r="L145" s="2">
        <f t="shared" si="21"/>
        <v>-3025.1699999999996</v>
      </c>
      <c r="M145" s="2"/>
      <c r="N145" s="19">
        <f t="shared" si="22"/>
        <v>-0.56643698391596597</v>
      </c>
      <c r="O145" s="11"/>
      <c r="P145" s="2">
        <v>20403.649999999998</v>
      </c>
      <c r="Q145" s="2"/>
      <c r="R145" s="19">
        <f t="shared" si="23"/>
        <v>3.8250761329093981E-3</v>
      </c>
      <c r="S145" s="2"/>
      <c r="T145" s="2">
        <v>13536.29</v>
      </c>
      <c r="U145" s="2"/>
      <c r="V145" s="19">
        <f t="shared" si="24"/>
        <v>2.4390568545792682E-3</v>
      </c>
      <c r="W145" s="2"/>
      <c r="X145" s="2">
        <f t="shared" si="25"/>
        <v>6867.3599999999969</v>
      </c>
      <c r="Y145" s="2"/>
      <c r="Z145" s="19">
        <f t="shared" si="26"/>
        <v>0.50732955632599452</v>
      </c>
    </row>
    <row r="146" spans="1:26" s="24" customFormat="1" hidden="1" outlineLevel="1" x14ac:dyDescent="0.25">
      <c r="A146" s="44"/>
      <c r="B146" s="11" t="str">
        <f>CONCATENATE("          ", "5045", " - ", "PURCHASES @ COST-SPECIAL ORDER")</f>
        <v xml:space="preserve">          5045 - PURCHASES @ COST-SPECIAL ORDER</v>
      </c>
      <c r="C146" s="11"/>
      <c r="D146" s="2">
        <v>4318.3999999999996</v>
      </c>
      <c r="E146" s="2"/>
      <c r="F146" s="19">
        <f t="shared" si="19"/>
        <v>3.0683859774618735E-3</v>
      </c>
      <c r="G146" s="2"/>
      <c r="H146" s="2">
        <v>3127.05</v>
      </c>
      <c r="I146" s="2"/>
      <c r="J146" s="19">
        <f t="shared" si="20"/>
        <v>2.2440607150018572E-3</v>
      </c>
      <c r="K146" s="2"/>
      <c r="L146" s="2">
        <f t="shared" si="21"/>
        <v>1191.3499999999995</v>
      </c>
      <c r="M146" s="2"/>
      <c r="N146" s="19">
        <f t="shared" si="22"/>
        <v>0.38098207575830234</v>
      </c>
      <c r="O146" s="11"/>
      <c r="P146" s="2">
        <v>24464.030000000002</v>
      </c>
      <c r="Q146" s="2"/>
      <c r="R146" s="19">
        <f t="shared" si="23"/>
        <v>4.5862763411340388E-3</v>
      </c>
      <c r="S146" s="2"/>
      <c r="T146" s="2">
        <v>33137.03</v>
      </c>
      <c r="U146" s="2"/>
      <c r="V146" s="19">
        <f t="shared" si="24"/>
        <v>5.9708457902349051E-3</v>
      </c>
      <c r="W146" s="2"/>
      <c r="X146" s="2">
        <f t="shared" si="25"/>
        <v>-8672.9999999999964</v>
      </c>
      <c r="Y146" s="2"/>
      <c r="Z146" s="19">
        <f t="shared" si="26"/>
        <v>-0.26173136216492537</v>
      </c>
    </row>
    <row r="147" spans="1:26" s="24" customFormat="1" hidden="1" outlineLevel="1" x14ac:dyDescent="0.25">
      <c r="A147" s="44"/>
      <c r="B147" s="11" t="str">
        <f>CONCATENATE("          ", "5081", " - ", "PURCHASES @ COST-ELECTRONICS")</f>
        <v xml:space="preserve">          5081 - PURCHASES @ COST-ELECTRONICS</v>
      </c>
      <c r="C147" s="11"/>
      <c r="D147" s="2">
        <v>66395.33</v>
      </c>
      <c r="E147" s="2"/>
      <c r="F147" s="19">
        <f t="shared" si="19"/>
        <v>4.7176384665837734E-2</v>
      </c>
      <c r="G147" s="2"/>
      <c r="H147" s="2">
        <v>43838.79</v>
      </c>
      <c r="I147" s="2"/>
      <c r="J147" s="19">
        <f t="shared" si="20"/>
        <v>3.1459972316469603E-2</v>
      </c>
      <c r="K147" s="2"/>
      <c r="L147" s="2">
        <f t="shared" si="21"/>
        <v>22556.54</v>
      </c>
      <c r="M147" s="2"/>
      <c r="N147" s="19">
        <f t="shared" si="22"/>
        <v>0.51453381810948706</v>
      </c>
      <c r="O147" s="11"/>
      <c r="P147" s="2">
        <v>150158.17000000001</v>
      </c>
      <c r="Q147" s="2"/>
      <c r="R147" s="19">
        <f t="shared" si="23"/>
        <v>2.8150180591627091E-2</v>
      </c>
      <c r="S147" s="2"/>
      <c r="T147" s="2">
        <v>132544.62</v>
      </c>
      <c r="U147" s="2"/>
      <c r="V147" s="19">
        <f t="shared" si="24"/>
        <v>2.3882752508154328E-2</v>
      </c>
      <c r="W147" s="2"/>
      <c r="X147" s="2">
        <f t="shared" si="25"/>
        <v>17613.550000000017</v>
      </c>
      <c r="Y147" s="2"/>
      <c r="Z147" s="19">
        <f t="shared" si="26"/>
        <v>0.13288770226962074</v>
      </c>
    </row>
    <row r="148" spans="1:26" s="24" customFormat="1" hidden="1" outlineLevel="1" x14ac:dyDescent="0.25">
      <c r="A148" s="44"/>
      <c r="B148" s="11" t="str">
        <f>CONCATENATE("          ", "5082", " - ", "PURCHASES @ COST-COMPUTER HARD")</f>
        <v xml:space="preserve">          5082 - PURCHASES @ COST-COMPUTER HARD</v>
      </c>
      <c r="C148" s="11"/>
      <c r="D148" s="2">
        <v>127439.07</v>
      </c>
      <c r="E148" s="2"/>
      <c r="F148" s="19">
        <f t="shared" si="19"/>
        <v>9.0550262914223356E-2</v>
      </c>
      <c r="G148" s="2"/>
      <c r="H148" s="2">
        <v>175609.33000000002</v>
      </c>
      <c r="I148" s="2"/>
      <c r="J148" s="19">
        <f t="shared" si="20"/>
        <v>0.12602228894350814</v>
      </c>
      <c r="K148" s="2"/>
      <c r="L148" s="2">
        <f t="shared" si="21"/>
        <v>-48170.260000000009</v>
      </c>
      <c r="M148" s="2"/>
      <c r="N148" s="19">
        <f t="shared" si="22"/>
        <v>-0.27430353501149402</v>
      </c>
      <c r="O148" s="11"/>
      <c r="P148" s="2">
        <v>801192.57</v>
      </c>
      <c r="Q148" s="2"/>
      <c r="R148" s="19">
        <f t="shared" si="23"/>
        <v>0.15019972295992837</v>
      </c>
      <c r="S148" s="2"/>
      <c r="T148" s="2">
        <v>580605.89</v>
      </c>
      <c r="U148" s="2"/>
      <c r="V148" s="19">
        <f t="shared" si="24"/>
        <v>0.10461734905307117</v>
      </c>
      <c r="W148" s="2"/>
      <c r="X148" s="2">
        <f t="shared" si="25"/>
        <v>220586.67999999993</v>
      </c>
      <c r="Y148" s="2"/>
      <c r="Z148" s="19">
        <f t="shared" si="26"/>
        <v>0.37992497802597203</v>
      </c>
    </row>
    <row r="149" spans="1:26" s="24" customFormat="1" hidden="1" outlineLevel="1" x14ac:dyDescent="0.25">
      <c r="A149" s="44"/>
      <c r="B149" s="11" t="str">
        <f>CONCATENATE("          ", "5083", " - ", "PURCHASES @ COST-COMPUTER EQUI")</f>
        <v xml:space="preserve">          5083 - PURCHASES @ COST-COMPUTER EQUI</v>
      </c>
      <c r="C149" s="11"/>
      <c r="D149" s="2">
        <v>10594.52</v>
      </c>
      <c r="E149" s="2"/>
      <c r="F149" s="19">
        <f t="shared" si="19"/>
        <v>7.5278058090819215E-3</v>
      </c>
      <c r="G149" s="2"/>
      <c r="H149" s="2">
        <v>16464.099999999999</v>
      </c>
      <c r="I149" s="2"/>
      <c r="J149" s="19">
        <f t="shared" si="20"/>
        <v>1.181511009349453E-2</v>
      </c>
      <c r="K149" s="2"/>
      <c r="L149" s="2">
        <f t="shared" si="21"/>
        <v>-5869.5799999999981</v>
      </c>
      <c r="M149" s="2"/>
      <c r="N149" s="19">
        <f t="shared" si="22"/>
        <v>-0.35650779574953984</v>
      </c>
      <c r="O149" s="11"/>
      <c r="P149" s="2">
        <v>27868.41</v>
      </c>
      <c r="Q149" s="2"/>
      <c r="R149" s="19">
        <f t="shared" si="23"/>
        <v>5.2244961050171715E-3</v>
      </c>
      <c r="S149" s="2"/>
      <c r="T149" s="2">
        <v>30972.47</v>
      </c>
      <c r="U149" s="2"/>
      <c r="V149" s="19">
        <f t="shared" si="24"/>
        <v>5.5808212779683911E-3</v>
      </c>
      <c r="W149" s="2"/>
      <c r="X149" s="2">
        <f t="shared" si="25"/>
        <v>-3104.0600000000013</v>
      </c>
      <c r="Y149" s="2"/>
      <c r="Z149" s="19">
        <f t="shared" si="26"/>
        <v>-0.10021996954069215</v>
      </c>
    </row>
    <row r="150" spans="1:26" s="24" customFormat="1" hidden="1" outlineLevel="1" x14ac:dyDescent="0.25">
      <c r="A150" s="44"/>
      <c r="B150" s="11" t="str">
        <f>CONCATENATE("          ", "5084", " - ", "PURCHASES @ COST-SOFTWARE LICE")</f>
        <v xml:space="preserve">          5084 - PURCHASES @ COST-SOFTWARE LICE</v>
      </c>
      <c r="C150" s="11"/>
      <c r="D150" s="2"/>
      <c r="E150" s="2"/>
      <c r="F150" s="19">
        <f t="shared" si="19"/>
        <v>0</v>
      </c>
      <c r="G150" s="2"/>
      <c r="H150" s="2"/>
      <c r="I150" s="2"/>
      <c r="J150" s="19">
        <f t="shared" si="20"/>
        <v>0</v>
      </c>
      <c r="K150" s="2"/>
      <c r="L150" s="2">
        <f t="shared" si="21"/>
        <v>0</v>
      </c>
      <c r="M150" s="2"/>
      <c r="N150" s="19">
        <f t="shared" si="22"/>
        <v>0</v>
      </c>
      <c r="O150" s="11"/>
      <c r="P150" s="2">
        <v>1522</v>
      </c>
      <c r="Q150" s="2"/>
      <c r="R150" s="19">
        <f t="shared" si="23"/>
        <v>2.8532962848745714E-4</v>
      </c>
      <c r="S150" s="2"/>
      <c r="T150" s="2">
        <v>99</v>
      </c>
      <c r="U150" s="2"/>
      <c r="V150" s="19">
        <f t="shared" si="24"/>
        <v>1.7838464498274457E-5</v>
      </c>
      <c r="W150" s="2"/>
      <c r="X150" s="2">
        <f t="shared" si="25"/>
        <v>1423</v>
      </c>
      <c r="Y150" s="2"/>
      <c r="Z150" s="19">
        <f t="shared" si="26"/>
        <v>14.373737373737374</v>
      </c>
    </row>
    <row r="151" spans="1:26" s="24" customFormat="1" hidden="1" outlineLevel="1" x14ac:dyDescent="0.25">
      <c r="A151" s="44"/>
      <c r="B151" s="11" t="str">
        <f>CONCATENATE("          ", "5085", " - ", "PURCHASES @ COST-SOFTWARE")</f>
        <v xml:space="preserve">          5085 - PURCHASES @ COST-SOFTWARE</v>
      </c>
      <c r="C151" s="11"/>
      <c r="D151" s="2">
        <v>3058</v>
      </c>
      <c r="E151" s="2"/>
      <c r="F151" s="19">
        <f t="shared" si="19"/>
        <v>2.1728242680340887E-3</v>
      </c>
      <c r="G151" s="2"/>
      <c r="H151" s="2">
        <v>2564.75</v>
      </c>
      <c r="I151" s="2"/>
      <c r="J151" s="19">
        <f t="shared" si="20"/>
        <v>1.8405381170115646E-3</v>
      </c>
      <c r="K151" s="2"/>
      <c r="L151" s="2">
        <f t="shared" si="21"/>
        <v>493.25</v>
      </c>
      <c r="M151" s="2"/>
      <c r="N151" s="19">
        <f t="shared" si="22"/>
        <v>0.19231893946778439</v>
      </c>
      <c r="O151" s="11"/>
      <c r="P151" s="2">
        <v>6426</v>
      </c>
      <c r="Q151" s="2"/>
      <c r="R151" s="19">
        <f t="shared" si="23"/>
        <v>1.2046834380160312E-3</v>
      </c>
      <c r="S151" s="2"/>
      <c r="T151" s="2">
        <v>4619.63</v>
      </c>
      <c r="U151" s="2"/>
      <c r="V151" s="19">
        <f t="shared" si="24"/>
        <v>8.3239500757741048E-4</v>
      </c>
      <c r="W151" s="2"/>
      <c r="X151" s="2">
        <f t="shared" si="25"/>
        <v>1806.37</v>
      </c>
      <c r="Y151" s="2"/>
      <c r="Z151" s="19">
        <f t="shared" si="26"/>
        <v>0.39102049298320424</v>
      </c>
    </row>
    <row r="152" spans="1:26" s="24" customFormat="1" hidden="1" outlineLevel="1" x14ac:dyDescent="0.25">
      <c r="A152" s="44"/>
      <c r="B152" s="11" t="str">
        <f>CONCATENATE("          ", "5086", " - ", "PURCHASES @ COST-COMPUTER SUPP")</f>
        <v xml:space="preserve">          5086 - PURCHASES @ COST-COMPUTER SUPP</v>
      </c>
      <c r="C152" s="11"/>
      <c r="D152" s="2">
        <v>6301.87</v>
      </c>
      <c r="E152" s="2"/>
      <c r="F152" s="19">
        <f t="shared" si="19"/>
        <v>4.4777161772387129E-3</v>
      </c>
      <c r="G152" s="2"/>
      <c r="H152" s="2">
        <v>7954.65</v>
      </c>
      <c r="I152" s="2"/>
      <c r="J152" s="19">
        <f t="shared" si="20"/>
        <v>5.7084848552436066E-3</v>
      </c>
      <c r="K152" s="2"/>
      <c r="L152" s="2">
        <f t="shared" si="21"/>
        <v>-1652.7799999999997</v>
      </c>
      <c r="M152" s="2"/>
      <c r="N152" s="19">
        <f t="shared" si="22"/>
        <v>-0.20777532638142468</v>
      </c>
      <c r="O152" s="11"/>
      <c r="P152" s="2">
        <v>12566.75</v>
      </c>
      <c r="Q152" s="2"/>
      <c r="R152" s="19">
        <f t="shared" si="23"/>
        <v>2.3558910044643574E-3</v>
      </c>
      <c r="S152" s="2"/>
      <c r="T152" s="2">
        <v>14158.63</v>
      </c>
      <c r="U152" s="2"/>
      <c r="V152" s="19">
        <f t="shared" si="24"/>
        <v>2.5511941272646837E-3</v>
      </c>
      <c r="W152" s="2"/>
      <c r="X152" s="2">
        <f t="shared" si="25"/>
        <v>-1591.8799999999992</v>
      </c>
      <c r="Y152" s="2"/>
      <c r="Z152" s="19">
        <f t="shared" si="26"/>
        <v>-0.11243178188850188</v>
      </c>
    </row>
    <row r="153" spans="1:26" s="24" customFormat="1" hidden="1" outlineLevel="1" x14ac:dyDescent="0.25">
      <c r="A153" s="44"/>
      <c r="B153" s="11" t="str">
        <f>CONCATENATE("          ", "5088", " - ", "PURCHASES @ COST-MUSIC")</f>
        <v xml:space="preserve">          5088 - PURCHASES @ COST-MUSIC</v>
      </c>
      <c r="C153" s="11"/>
      <c r="D153" s="2">
        <v>6.75</v>
      </c>
      <c r="E153" s="2"/>
      <c r="F153" s="19">
        <f t="shared" si="19"/>
        <v>4.7961294340189993E-6</v>
      </c>
      <c r="G153" s="2"/>
      <c r="H153" s="2">
        <v>-84.74</v>
      </c>
      <c r="I153" s="2"/>
      <c r="J153" s="19">
        <f t="shared" si="20"/>
        <v>-6.081185302098059E-5</v>
      </c>
      <c r="K153" s="2"/>
      <c r="L153" s="2">
        <f t="shared" si="21"/>
        <v>91.49</v>
      </c>
      <c r="M153" s="2"/>
      <c r="N153" s="19">
        <f t="shared" si="22"/>
        <v>-1.0796554165683268</v>
      </c>
      <c r="O153" s="11"/>
      <c r="P153" s="2">
        <v>88.75</v>
      </c>
      <c r="Q153" s="2"/>
      <c r="R153" s="19">
        <f t="shared" si="23"/>
        <v>1.6637979322116833E-5</v>
      </c>
      <c r="S153" s="2"/>
      <c r="T153" s="2">
        <v>0</v>
      </c>
      <c r="U153" s="2"/>
      <c r="V153" s="19">
        <f t="shared" si="24"/>
        <v>0</v>
      </c>
      <c r="W153" s="2"/>
      <c r="X153" s="2">
        <f t="shared" si="25"/>
        <v>88.75</v>
      </c>
      <c r="Y153" s="2"/>
      <c r="Z153" s="19">
        <f t="shared" si="26"/>
        <v>0</v>
      </c>
    </row>
    <row r="154" spans="1:26" s="24" customFormat="1" hidden="1" outlineLevel="1" x14ac:dyDescent="0.25">
      <c r="A154" s="44"/>
      <c r="B154" s="11" t="str">
        <f>CONCATENATE("          ", "5092", " - ", "PURCHASES @ COST-GRAD MERCH")</f>
        <v xml:space="preserve">          5092 - PURCHASES @ COST-GRAD MERCH</v>
      </c>
      <c r="C154" s="11"/>
      <c r="D154" s="2">
        <v>-628</v>
      </c>
      <c r="E154" s="2"/>
      <c r="F154" s="19">
        <f t="shared" si="19"/>
        <v>-4.4621767178724909E-4</v>
      </c>
      <c r="G154" s="2"/>
      <c r="H154" s="2">
        <v>-525.4</v>
      </c>
      <c r="I154" s="2"/>
      <c r="J154" s="19">
        <f t="shared" si="20"/>
        <v>-3.7704210027405242E-4</v>
      </c>
      <c r="K154" s="2"/>
      <c r="L154" s="2">
        <f t="shared" si="21"/>
        <v>-102.60000000000002</v>
      </c>
      <c r="M154" s="2"/>
      <c r="N154" s="19">
        <f t="shared" si="22"/>
        <v>0.19527978682908265</v>
      </c>
      <c r="O154" s="11"/>
      <c r="P154" s="2">
        <v>0</v>
      </c>
      <c r="Q154" s="2"/>
      <c r="R154" s="19">
        <f t="shared" si="23"/>
        <v>0</v>
      </c>
      <c r="S154" s="2"/>
      <c r="T154" s="2">
        <v>-3270.44</v>
      </c>
      <c r="U154" s="2"/>
      <c r="V154" s="19">
        <f t="shared" si="24"/>
        <v>-5.8928917003774463E-4</v>
      </c>
      <c r="W154" s="2"/>
      <c r="X154" s="2">
        <f t="shared" si="25"/>
        <v>3270.44</v>
      </c>
      <c r="Y154" s="2"/>
      <c r="Z154" s="19">
        <f t="shared" si="26"/>
        <v>-1</v>
      </c>
    </row>
    <row r="155" spans="1:26" s="24" customFormat="1" hidden="1" outlineLevel="1" x14ac:dyDescent="0.25">
      <c r="A155" s="44"/>
      <c r="B155" s="11" t="str">
        <f>CONCATENATE("          ", "5095", " - ", "PURCHASES @ COST-CUSTOMER SERV")</f>
        <v xml:space="preserve">          5095 - PURCHASES @ COST-CUSTOMER SERV</v>
      </c>
      <c r="C155" s="11"/>
      <c r="D155" s="2"/>
      <c r="E155" s="2"/>
      <c r="F155" s="19">
        <f t="shared" si="19"/>
        <v>0</v>
      </c>
      <c r="G155" s="2"/>
      <c r="H155" s="2"/>
      <c r="I155" s="2"/>
      <c r="J155" s="19">
        <f t="shared" si="20"/>
        <v>0</v>
      </c>
      <c r="K155" s="2"/>
      <c r="L155" s="2">
        <f t="shared" si="21"/>
        <v>0</v>
      </c>
      <c r="M155" s="2"/>
      <c r="N155" s="19">
        <f t="shared" si="22"/>
        <v>0</v>
      </c>
      <c r="O155" s="11"/>
      <c r="P155" s="2">
        <v>0</v>
      </c>
      <c r="Q155" s="2"/>
      <c r="R155" s="19">
        <f t="shared" si="23"/>
        <v>0</v>
      </c>
      <c r="S155" s="2"/>
      <c r="T155" s="2"/>
      <c r="U155" s="2"/>
      <c r="V155" s="19">
        <f t="shared" si="24"/>
        <v>0</v>
      </c>
      <c r="W155" s="2"/>
      <c r="X155" s="2">
        <f t="shared" si="25"/>
        <v>0</v>
      </c>
      <c r="Y155" s="2"/>
      <c r="Z155" s="19">
        <f t="shared" si="26"/>
        <v>0</v>
      </c>
    </row>
    <row r="156" spans="1:26" s="24" customFormat="1" hidden="1" outlineLevel="1" x14ac:dyDescent="0.25">
      <c r="A156" s="44"/>
      <c r="B156" s="11" t="str">
        <f>CONCATENATE("          ", "5200", " - ", "PURCHASES OFFSET")</f>
        <v xml:space="preserve">          5200 - PURCHASES OFFSET</v>
      </c>
      <c r="C156" s="11"/>
      <c r="D156" s="2">
        <v>-493649</v>
      </c>
      <c r="E156" s="2"/>
      <c r="F156" s="19">
        <f t="shared" si="19"/>
        <v>-0.35075622207022888</v>
      </c>
      <c r="G156" s="2"/>
      <c r="H156" s="2">
        <v>-785832</v>
      </c>
      <c r="I156" s="2"/>
      <c r="J156" s="19">
        <f t="shared" si="20"/>
        <v>-0.56393556860022687</v>
      </c>
      <c r="K156" s="2"/>
      <c r="L156" s="2">
        <f t="shared" si="21"/>
        <v>292183</v>
      </c>
      <c r="M156" s="2"/>
      <c r="N156" s="19">
        <f t="shared" si="22"/>
        <v>-0.37181356829449552</v>
      </c>
      <c r="O156" s="11"/>
      <c r="P156" s="2">
        <v>-3635482</v>
      </c>
      <c r="Q156" s="2"/>
      <c r="R156" s="19">
        <f t="shared" si="23"/>
        <v>-0.68154449962735719</v>
      </c>
      <c r="S156" s="2"/>
      <c r="T156" s="2">
        <v>-3197674</v>
      </c>
      <c r="U156" s="2"/>
      <c r="V156" s="19">
        <f t="shared" si="24"/>
        <v>-0.57617771844500276</v>
      </c>
      <c r="W156" s="2"/>
      <c r="X156" s="2">
        <f t="shared" si="25"/>
        <v>-437808</v>
      </c>
      <c r="Y156" s="2"/>
      <c r="Z156" s="19">
        <f t="shared" si="26"/>
        <v>0.13691451974153712</v>
      </c>
    </row>
    <row r="157" spans="1:26" s="24" customFormat="1" hidden="1" outlineLevel="1" x14ac:dyDescent="0.25">
      <c r="A157" s="44"/>
      <c r="B157" s="11" t="str">
        <f>CONCATENATE("          ", "5300", " - ", "COG$ OFFSET")</f>
        <v xml:space="preserve">          5300 - COG$ OFFSET</v>
      </c>
      <c r="C157" s="11"/>
      <c r="D157" s="2">
        <v>777079</v>
      </c>
      <c r="E157" s="2"/>
      <c r="F157" s="19">
        <f t="shared" si="19"/>
        <v>0.55214392066045181</v>
      </c>
      <c r="G157" s="2"/>
      <c r="H157" s="2">
        <v>750412</v>
      </c>
      <c r="I157" s="2"/>
      <c r="J157" s="19">
        <f t="shared" si="20"/>
        <v>0.53851716130729399</v>
      </c>
      <c r="K157" s="2"/>
      <c r="L157" s="2">
        <f t="shared" si="21"/>
        <v>26667</v>
      </c>
      <c r="M157" s="2"/>
      <c r="N157" s="19">
        <f t="shared" si="22"/>
        <v>3.5536478627740495E-2</v>
      </c>
      <c r="O157" s="11"/>
      <c r="P157" s="2">
        <v>3003907</v>
      </c>
      <c r="Q157" s="2"/>
      <c r="R157" s="19">
        <f t="shared" si="23"/>
        <v>0.56314301466548744</v>
      </c>
      <c r="S157" s="2"/>
      <c r="T157" s="2">
        <v>3022350</v>
      </c>
      <c r="U157" s="2"/>
      <c r="V157" s="19">
        <f t="shared" si="24"/>
        <v>0.54458669875110921</v>
      </c>
      <c r="W157" s="2"/>
      <c r="X157" s="2">
        <f t="shared" si="25"/>
        <v>-18443</v>
      </c>
      <c r="Y157" s="2"/>
      <c r="Z157" s="19">
        <f t="shared" si="26"/>
        <v>-6.1022052376462025E-3</v>
      </c>
    </row>
    <row r="158" spans="1:26" s="24" customFormat="1" hidden="1" outlineLevel="1" x14ac:dyDescent="0.25">
      <c r="A158" s="44"/>
      <c r="B158" s="11" t="str">
        <f>CONCATENATE("          ", "5500", " - ", "FREIGHT-IN")</f>
        <v xml:space="preserve">          5500 - FREIGHT-IN</v>
      </c>
      <c r="C158" s="11"/>
      <c r="D158" s="2">
        <v>-49</v>
      </c>
      <c r="E158" s="2"/>
      <c r="F158" s="19">
        <f t="shared" si="19"/>
        <v>-3.4816347002508291E-5</v>
      </c>
      <c r="G158" s="2"/>
      <c r="H158" s="2">
        <v>103.39</v>
      </c>
      <c r="I158" s="2"/>
      <c r="J158" s="19">
        <f t="shared" si="20"/>
        <v>7.4195627611979982E-5</v>
      </c>
      <c r="K158" s="2"/>
      <c r="L158" s="2">
        <f t="shared" si="21"/>
        <v>-152.38999999999999</v>
      </c>
      <c r="M158" s="2"/>
      <c r="N158" s="19">
        <f t="shared" si="22"/>
        <v>-1.4739336492890993</v>
      </c>
      <c r="O158" s="11"/>
      <c r="P158" s="2">
        <v>0</v>
      </c>
      <c r="Q158" s="2"/>
      <c r="R158" s="19">
        <f t="shared" si="23"/>
        <v>0</v>
      </c>
      <c r="S158" s="2"/>
      <c r="T158" s="2">
        <v>317.36</v>
      </c>
      <c r="U158" s="2"/>
      <c r="V158" s="19">
        <f t="shared" si="24"/>
        <v>5.7183990840125074E-5</v>
      </c>
      <c r="W158" s="2"/>
      <c r="X158" s="2">
        <f t="shared" si="25"/>
        <v>-317.36</v>
      </c>
      <c r="Y158" s="2"/>
      <c r="Z158" s="19">
        <f t="shared" si="26"/>
        <v>-1</v>
      </c>
    </row>
    <row r="159" spans="1:26" s="24" customFormat="1" hidden="1" outlineLevel="1" x14ac:dyDescent="0.25">
      <c r="A159" s="44"/>
      <c r="B159" s="11" t="str">
        <f>CONCATENATE("          ", "5501", " - ", "FREIGHT-IN-NEW TEXT")</f>
        <v xml:space="preserve">          5501 - FREIGHT-IN-NEW TEXT</v>
      </c>
      <c r="C159" s="11"/>
      <c r="D159" s="2">
        <v>13859.22</v>
      </c>
      <c r="E159" s="2"/>
      <c r="F159" s="19">
        <f t="shared" si="19"/>
        <v>9.8474982184510798E-3</v>
      </c>
      <c r="G159" s="2"/>
      <c r="H159" s="2">
        <v>17256.72</v>
      </c>
      <c r="I159" s="2"/>
      <c r="J159" s="19">
        <f t="shared" si="20"/>
        <v>1.2383916925468684E-2</v>
      </c>
      <c r="K159" s="2"/>
      <c r="L159" s="2">
        <f t="shared" si="21"/>
        <v>-3397.5000000000018</v>
      </c>
      <c r="M159" s="2"/>
      <c r="N159" s="19">
        <f t="shared" si="22"/>
        <v>-0.19687982420761313</v>
      </c>
      <c r="O159" s="11"/>
      <c r="P159" s="2">
        <v>26583.46</v>
      </c>
      <c r="Q159" s="2"/>
      <c r="R159" s="19">
        <f t="shared" si="23"/>
        <v>4.9836062849613512E-3</v>
      </c>
      <c r="S159" s="2"/>
      <c r="T159" s="2">
        <v>26255.8</v>
      </c>
      <c r="U159" s="2"/>
      <c r="V159" s="19">
        <f t="shared" si="24"/>
        <v>4.73094097145247E-3</v>
      </c>
      <c r="W159" s="2"/>
      <c r="X159" s="2">
        <f t="shared" si="25"/>
        <v>327.65999999999985</v>
      </c>
      <c r="Y159" s="2"/>
      <c r="Z159" s="19">
        <f t="shared" si="26"/>
        <v>1.2479528332787418E-2</v>
      </c>
    </row>
    <row r="160" spans="1:26" s="24" customFormat="1" hidden="1" outlineLevel="1" x14ac:dyDescent="0.25">
      <c r="A160" s="44"/>
      <c r="B160" s="11" t="str">
        <f>CONCATENATE("          ", "5502", " - ", "FREIGHT-IN-USED TEXT")</f>
        <v xml:space="preserve">          5502 - FREIGHT-IN-USED TEXT</v>
      </c>
      <c r="C160" s="11"/>
      <c r="D160" s="2">
        <v>1998.66</v>
      </c>
      <c r="E160" s="2"/>
      <c r="F160" s="19">
        <f t="shared" si="19"/>
        <v>1.4201232673476168E-3</v>
      </c>
      <c r="G160" s="2"/>
      <c r="H160" s="2">
        <v>4462.3100000000004</v>
      </c>
      <c r="I160" s="2"/>
      <c r="J160" s="19">
        <f t="shared" si="20"/>
        <v>3.2022815654242616E-3</v>
      </c>
      <c r="K160" s="2"/>
      <c r="L160" s="2">
        <f t="shared" si="21"/>
        <v>-2463.6500000000005</v>
      </c>
      <c r="M160" s="2"/>
      <c r="N160" s="19">
        <f t="shared" si="22"/>
        <v>-0.55210193823378484</v>
      </c>
      <c r="O160" s="11"/>
      <c r="P160" s="2">
        <v>6261.17</v>
      </c>
      <c r="Q160" s="2"/>
      <c r="R160" s="19">
        <f t="shared" si="23"/>
        <v>1.1737827266733324E-3</v>
      </c>
      <c r="S160" s="2"/>
      <c r="T160" s="2">
        <v>6257.15</v>
      </c>
      <c r="U160" s="2"/>
      <c r="V160" s="19">
        <f t="shared" si="24"/>
        <v>1.1274540215694749E-3</v>
      </c>
      <c r="W160" s="2"/>
      <c r="X160" s="2">
        <f t="shared" si="25"/>
        <v>4.0200000000004366</v>
      </c>
      <c r="Y160" s="2"/>
      <c r="Z160" s="19">
        <f t="shared" si="26"/>
        <v>6.4246502001717026E-4</v>
      </c>
    </row>
    <row r="161" spans="1:26" s="24" customFormat="1" hidden="1" outlineLevel="1" x14ac:dyDescent="0.25">
      <c r="A161" s="44"/>
      <c r="B161" s="11" t="str">
        <f>CONCATENATE("          ", "5504", " - ", "FREIGHT-IN-DIGITAL TEXT")</f>
        <v xml:space="preserve">          5504 - FREIGHT-IN-DIGITAL TEXT</v>
      </c>
      <c r="C161" s="11"/>
      <c r="D161" s="2"/>
      <c r="E161" s="2"/>
      <c r="F161" s="19">
        <f t="shared" si="19"/>
        <v>0</v>
      </c>
      <c r="G161" s="2"/>
      <c r="H161" s="2">
        <v>163.72</v>
      </c>
      <c r="I161" s="2"/>
      <c r="J161" s="19">
        <f t="shared" si="20"/>
        <v>1.1749016493503591E-4</v>
      </c>
      <c r="K161" s="2"/>
      <c r="L161" s="2">
        <f t="shared" si="21"/>
        <v>-163.72</v>
      </c>
      <c r="M161" s="2"/>
      <c r="N161" s="19">
        <f t="shared" si="22"/>
        <v>-1</v>
      </c>
      <c r="O161" s="11"/>
      <c r="P161" s="2">
        <v>7.03</v>
      </c>
      <c r="Q161" s="2"/>
      <c r="R161" s="19">
        <f t="shared" si="23"/>
        <v>1.3179154325011983E-6</v>
      </c>
      <c r="S161" s="2"/>
      <c r="T161" s="2">
        <v>166.22</v>
      </c>
      <c r="U161" s="2"/>
      <c r="V161" s="19">
        <f t="shared" si="24"/>
        <v>2.995060170609273E-5</v>
      </c>
      <c r="W161" s="2"/>
      <c r="X161" s="2">
        <f t="shared" si="25"/>
        <v>-159.19</v>
      </c>
      <c r="Y161" s="2"/>
      <c r="Z161" s="19">
        <f t="shared" si="26"/>
        <v>-0.95770665383227049</v>
      </c>
    </row>
    <row r="162" spans="1:26" s="24" customFormat="1" hidden="1" outlineLevel="1" x14ac:dyDescent="0.25">
      <c r="A162" s="44"/>
      <c r="B162" s="11" t="str">
        <f>CONCATENATE("          ", "5513", " - ", "FREIGHT-IN-TRADE BOOKS")</f>
        <v xml:space="preserve">          5513 - FREIGHT-IN-TRADE BOOKS</v>
      </c>
      <c r="C162" s="11"/>
      <c r="D162" s="2"/>
      <c r="E162" s="2"/>
      <c r="F162" s="19">
        <f t="shared" si="19"/>
        <v>0</v>
      </c>
      <c r="G162" s="2"/>
      <c r="H162" s="2">
        <v>4.95</v>
      </c>
      <c r="I162" s="2"/>
      <c r="J162" s="19">
        <f t="shared" si="20"/>
        <v>3.5522618887639124E-6</v>
      </c>
      <c r="K162" s="2"/>
      <c r="L162" s="2">
        <f t="shared" si="21"/>
        <v>-4.95</v>
      </c>
      <c r="M162" s="2"/>
      <c r="N162" s="19">
        <f t="shared" si="22"/>
        <v>-1</v>
      </c>
      <c r="O162" s="11"/>
      <c r="P162" s="2"/>
      <c r="Q162" s="2"/>
      <c r="R162" s="19">
        <f t="shared" si="23"/>
        <v>0</v>
      </c>
      <c r="S162" s="2"/>
      <c r="T162" s="2">
        <v>12.22</v>
      </c>
      <c r="U162" s="2"/>
      <c r="V162" s="19">
        <f t="shared" si="24"/>
        <v>2.2018791532213523E-6</v>
      </c>
      <c r="W162" s="2"/>
      <c r="X162" s="2">
        <f t="shared" si="25"/>
        <v>-12.22</v>
      </c>
      <c r="Y162" s="2"/>
      <c r="Z162" s="19">
        <f t="shared" si="26"/>
        <v>-1</v>
      </c>
    </row>
    <row r="163" spans="1:26" s="24" customFormat="1" hidden="1" outlineLevel="1" x14ac:dyDescent="0.25">
      <c r="A163" s="44"/>
      <c r="B163" s="11" t="str">
        <f>CONCATENATE("          ", "5526", " - ", "FREIGHT-IN-WRITING INSTRUMENTS")</f>
        <v xml:space="preserve">          5526 - FREIGHT-IN-WRITING INSTRUMENTS</v>
      </c>
      <c r="C163" s="11"/>
      <c r="D163" s="2"/>
      <c r="E163" s="2"/>
      <c r="F163" s="19">
        <f t="shared" si="19"/>
        <v>0</v>
      </c>
      <c r="G163" s="2"/>
      <c r="H163" s="2"/>
      <c r="I163" s="2"/>
      <c r="J163" s="19">
        <f t="shared" si="20"/>
        <v>0</v>
      </c>
      <c r="K163" s="2"/>
      <c r="L163" s="2">
        <f t="shared" si="21"/>
        <v>0</v>
      </c>
      <c r="M163" s="2"/>
      <c r="N163" s="19">
        <f t="shared" si="22"/>
        <v>0</v>
      </c>
      <c r="O163" s="11"/>
      <c r="P163" s="2">
        <v>56.57</v>
      </c>
      <c r="Q163" s="2"/>
      <c r="R163" s="19">
        <f t="shared" si="23"/>
        <v>1.0605188622559428E-5</v>
      </c>
      <c r="S163" s="2"/>
      <c r="T163" s="2">
        <v>42.74</v>
      </c>
      <c r="U163" s="2"/>
      <c r="V163" s="19">
        <f t="shared" si="24"/>
        <v>7.7011714409722259E-6</v>
      </c>
      <c r="W163" s="2"/>
      <c r="X163" s="2">
        <f t="shared" si="25"/>
        <v>13.829999999999998</v>
      </c>
      <c r="Y163" s="2"/>
      <c r="Z163" s="19">
        <f t="shared" si="26"/>
        <v>0.32358446420215248</v>
      </c>
    </row>
    <row r="164" spans="1:26" s="24" customFormat="1" hidden="1" outlineLevel="1" x14ac:dyDescent="0.25">
      <c r="A164" s="44"/>
      <c r="B164" s="11" t="str">
        <f>CONCATENATE("          ", "5527", " - ", "FREIGHT-IN-SCHOOL SUPPLIES")</f>
        <v xml:space="preserve">          5527 - FREIGHT-IN-SCHOOL SUPPLIES</v>
      </c>
      <c r="C164" s="11"/>
      <c r="D164" s="2">
        <v>133.38999999999999</v>
      </c>
      <c r="E164" s="2"/>
      <c r="F164" s="19">
        <f t="shared" si="19"/>
        <v>9.4778622993154697E-5</v>
      </c>
      <c r="G164" s="2"/>
      <c r="H164" s="2">
        <v>444.43</v>
      </c>
      <c r="I164" s="2"/>
      <c r="J164" s="19">
        <f t="shared" si="20"/>
        <v>3.1893570731784758E-4</v>
      </c>
      <c r="K164" s="2"/>
      <c r="L164" s="2">
        <f t="shared" si="21"/>
        <v>-311.04000000000002</v>
      </c>
      <c r="M164" s="2"/>
      <c r="N164" s="19">
        <f t="shared" si="22"/>
        <v>-0.69986274553923011</v>
      </c>
      <c r="O164" s="11"/>
      <c r="P164" s="2">
        <v>393.9</v>
      </c>
      <c r="Q164" s="2"/>
      <c r="R164" s="19">
        <f t="shared" si="23"/>
        <v>7.3844507661766987E-5</v>
      </c>
      <c r="S164" s="2"/>
      <c r="T164" s="2">
        <v>725.1</v>
      </c>
      <c r="U164" s="2"/>
      <c r="V164" s="19">
        <f t="shared" si="24"/>
        <v>1.3065323846160414E-4</v>
      </c>
      <c r="W164" s="2"/>
      <c r="X164" s="2">
        <f t="shared" si="25"/>
        <v>-331.20000000000005</v>
      </c>
      <c r="Y164" s="2"/>
      <c r="Z164" s="19">
        <f t="shared" si="26"/>
        <v>-0.45676458419528349</v>
      </c>
    </row>
    <row r="165" spans="1:26" s="24" customFormat="1" hidden="1" outlineLevel="1" x14ac:dyDescent="0.25">
      <c r="A165" s="44"/>
      <c r="B165" s="11" t="str">
        <f>CONCATENATE("          ", "5528", " - ", "FREIGHT-IN-ART/TECH")</f>
        <v xml:space="preserve">          5528 - FREIGHT-IN-ART/TECH</v>
      </c>
      <c r="C165" s="11"/>
      <c r="D165" s="2">
        <v>332.97</v>
      </c>
      <c r="E165" s="2"/>
      <c r="F165" s="19">
        <f t="shared" si="19"/>
        <v>2.3658773594745279E-4</v>
      </c>
      <c r="G165" s="2"/>
      <c r="H165" s="2">
        <v>330.52</v>
      </c>
      <c r="I165" s="2"/>
      <c r="J165" s="19">
        <f t="shared" si="20"/>
        <v>2.371906261564138E-4</v>
      </c>
      <c r="K165" s="2"/>
      <c r="L165" s="2">
        <f t="shared" si="21"/>
        <v>2.4500000000000455</v>
      </c>
      <c r="M165" s="2"/>
      <c r="N165" s="19">
        <f t="shared" si="22"/>
        <v>7.4125620234782932E-3</v>
      </c>
      <c r="O165" s="11"/>
      <c r="P165" s="2">
        <v>632.77</v>
      </c>
      <c r="Q165" s="2"/>
      <c r="R165" s="19">
        <f t="shared" si="23"/>
        <v>1.1862551183837597E-4</v>
      </c>
      <c r="S165" s="2"/>
      <c r="T165" s="2">
        <v>557.78</v>
      </c>
      <c r="U165" s="2"/>
      <c r="V165" s="19">
        <f t="shared" si="24"/>
        <v>1.0050443159441946E-4</v>
      </c>
      <c r="W165" s="2"/>
      <c r="X165" s="2">
        <f t="shared" si="25"/>
        <v>74.990000000000009</v>
      </c>
      <c r="Y165" s="2"/>
      <c r="Z165" s="19">
        <f t="shared" si="26"/>
        <v>0.13444368747534874</v>
      </c>
    </row>
    <row r="166" spans="1:26" s="24" customFormat="1" hidden="1" outlineLevel="1" x14ac:dyDescent="0.25">
      <c r="A166" s="44"/>
      <c r="B166" s="11" t="str">
        <f>CONCATENATE("          ", "5540", " - ", "FREIGHT-IN-LOGO CLOTHING")</f>
        <v xml:space="preserve">          5540 - FREIGHT-IN-LOGO CLOTHING</v>
      </c>
      <c r="C166" s="11"/>
      <c r="D166" s="2">
        <v>2672.92</v>
      </c>
      <c r="E166" s="2"/>
      <c r="F166" s="19">
        <f t="shared" si="19"/>
        <v>1.8992104128560095E-3</v>
      </c>
      <c r="G166" s="2"/>
      <c r="H166" s="2">
        <v>2773.09</v>
      </c>
      <c r="I166" s="2"/>
      <c r="J166" s="19">
        <f t="shared" si="20"/>
        <v>1.9900488729519836E-3</v>
      </c>
      <c r="K166" s="2"/>
      <c r="L166" s="2">
        <f t="shared" si="21"/>
        <v>-100.17000000000007</v>
      </c>
      <c r="M166" s="2"/>
      <c r="N166" s="19">
        <f t="shared" si="22"/>
        <v>-3.6122159756805612E-2</v>
      </c>
      <c r="O166" s="11"/>
      <c r="P166" s="2">
        <v>5004.8599999999997</v>
      </c>
      <c r="Q166" s="2"/>
      <c r="R166" s="19">
        <f t="shared" si="23"/>
        <v>9.3826205284608052E-4</v>
      </c>
      <c r="S166" s="2"/>
      <c r="T166" s="2">
        <v>5693.24</v>
      </c>
      <c r="U166" s="2"/>
      <c r="V166" s="19">
        <f t="shared" si="24"/>
        <v>1.0258450466682431E-3</v>
      </c>
      <c r="W166" s="2"/>
      <c r="X166" s="2">
        <f t="shared" si="25"/>
        <v>-688.38000000000011</v>
      </c>
      <c r="Y166" s="2"/>
      <c r="Z166" s="19">
        <f t="shared" si="26"/>
        <v>-0.12091181822652833</v>
      </c>
    </row>
    <row r="167" spans="1:26" s="24" customFormat="1" hidden="1" outlineLevel="1" x14ac:dyDescent="0.25">
      <c r="A167" s="44"/>
      <c r="B167" s="11" t="str">
        <f>CONCATENATE("          ", "5541", " - ", "FREIGHT-IN-LOGO GIFTS")</f>
        <v xml:space="preserve">          5541 - FREIGHT-IN-LOGO GIFTS</v>
      </c>
      <c r="C167" s="11"/>
      <c r="D167" s="2">
        <v>97.6</v>
      </c>
      <c r="E167" s="2"/>
      <c r="F167" s="19">
        <f t="shared" si="19"/>
        <v>6.934847892744508E-5</v>
      </c>
      <c r="G167" s="2"/>
      <c r="H167" s="2">
        <v>929.59</v>
      </c>
      <c r="I167" s="2"/>
      <c r="J167" s="19">
        <f t="shared" si="20"/>
        <v>6.671004301365748E-4</v>
      </c>
      <c r="K167" s="2"/>
      <c r="L167" s="2">
        <f t="shared" si="21"/>
        <v>-831.99</v>
      </c>
      <c r="M167" s="2"/>
      <c r="N167" s="19">
        <f t="shared" si="22"/>
        <v>-0.8950074764143332</v>
      </c>
      <c r="O167" s="11"/>
      <c r="P167" s="2">
        <v>818.01</v>
      </c>
      <c r="Q167" s="2"/>
      <c r="R167" s="19">
        <f t="shared" si="23"/>
        <v>1.5335248974968779E-4</v>
      </c>
      <c r="S167" s="2"/>
      <c r="T167" s="2">
        <v>2171.12</v>
      </c>
      <c r="U167" s="2"/>
      <c r="V167" s="19">
        <f t="shared" si="24"/>
        <v>3.9120653577266301E-4</v>
      </c>
      <c r="W167" s="2"/>
      <c r="X167" s="2">
        <f t="shared" si="25"/>
        <v>-1353.11</v>
      </c>
      <c r="Y167" s="2"/>
      <c r="Z167" s="19">
        <f t="shared" si="26"/>
        <v>-0.62323132760971289</v>
      </c>
    </row>
    <row r="168" spans="1:26" s="24" customFormat="1" hidden="1" outlineLevel="1" x14ac:dyDescent="0.25">
      <c r="A168" s="44"/>
      <c r="B168" s="11" t="str">
        <f>CONCATENATE("          ", "5542", " - ", "FREIGHT-IN-EVERYDAY GIFTS")</f>
        <v xml:space="preserve">          5542 - FREIGHT-IN-EVERYDAY GIFTS</v>
      </c>
      <c r="C168" s="11"/>
      <c r="D168" s="2">
        <v>58.91</v>
      </c>
      <c r="E168" s="2"/>
      <c r="F168" s="19">
        <f t="shared" si="19"/>
        <v>4.1857775549342109E-5</v>
      </c>
      <c r="G168" s="2"/>
      <c r="H168" s="2">
        <v>54.74</v>
      </c>
      <c r="I168" s="2"/>
      <c r="J168" s="19">
        <f t="shared" si="20"/>
        <v>3.9282993089078095E-5</v>
      </c>
      <c r="K168" s="2"/>
      <c r="L168" s="2">
        <f t="shared" si="21"/>
        <v>4.1699999999999946</v>
      </c>
      <c r="M168" s="2"/>
      <c r="N168" s="19">
        <f t="shared" si="22"/>
        <v>7.6178297405918791E-2</v>
      </c>
      <c r="O168" s="11"/>
      <c r="P168" s="2">
        <v>171.68</v>
      </c>
      <c r="Q168" s="2"/>
      <c r="R168" s="19">
        <f t="shared" si="23"/>
        <v>3.2184882141081891E-5</v>
      </c>
      <c r="S168" s="2"/>
      <c r="T168" s="2">
        <v>477.53</v>
      </c>
      <c r="U168" s="2"/>
      <c r="V168" s="19">
        <f t="shared" si="24"/>
        <v>8.6044464160212129E-5</v>
      </c>
      <c r="W168" s="2"/>
      <c r="X168" s="2">
        <f t="shared" si="25"/>
        <v>-305.84999999999997</v>
      </c>
      <c r="Y168" s="2"/>
      <c r="Z168" s="19">
        <f t="shared" si="26"/>
        <v>-0.6404833204196595</v>
      </c>
    </row>
    <row r="169" spans="1:26" s="24" customFormat="1" hidden="1" outlineLevel="1" x14ac:dyDescent="0.25">
      <c r="A169" s="44"/>
      <c r="B169" s="11" t="str">
        <f>CONCATENATE("          ", "5543", " - ", "FREIGHT-IN-CARDS")</f>
        <v xml:space="preserve">          5543 - FREIGHT-IN-CARDS</v>
      </c>
      <c r="C169" s="11"/>
      <c r="D169" s="2"/>
      <c r="E169" s="2"/>
      <c r="F169" s="19">
        <f t="shared" si="19"/>
        <v>0</v>
      </c>
      <c r="G169" s="2"/>
      <c r="H169" s="2"/>
      <c r="I169" s="2"/>
      <c r="J169" s="19">
        <f t="shared" si="20"/>
        <v>0</v>
      </c>
      <c r="K169" s="2"/>
      <c r="L169" s="2">
        <f t="shared" si="21"/>
        <v>0</v>
      </c>
      <c r="M169" s="2"/>
      <c r="N169" s="19">
        <f t="shared" si="22"/>
        <v>0</v>
      </c>
      <c r="O169" s="11"/>
      <c r="P169" s="2">
        <v>4.58</v>
      </c>
      <c r="Q169" s="2"/>
      <c r="R169" s="19">
        <f t="shared" si="23"/>
        <v>8.5861346811600113E-7</v>
      </c>
      <c r="S169" s="2"/>
      <c r="T169" s="2"/>
      <c r="U169" s="2"/>
      <c r="V169" s="19">
        <f t="shared" si="24"/>
        <v>0</v>
      </c>
      <c r="W169" s="2"/>
      <c r="X169" s="2">
        <f t="shared" si="25"/>
        <v>4.58</v>
      </c>
      <c r="Y169" s="2"/>
      <c r="Z169" s="19">
        <f t="shared" si="26"/>
        <v>0</v>
      </c>
    </row>
    <row r="170" spans="1:26" s="24" customFormat="1" hidden="1" outlineLevel="1" x14ac:dyDescent="0.25">
      <c r="A170" s="44"/>
      <c r="B170" s="11" t="str">
        <f>CONCATENATE("          ", "5544", " - ", "FREIGHT-IN-ACCESSORIES")</f>
        <v xml:space="preserve">          5544 - FREIGHT-IN-ACCESSORIES</v>
      </c>
      <c r="C170" s="11"/>
      <c r="D170" s="2">
        <v>34.18</v>
      </c>
      <c r="E170" s="2"/>
      <c r="F170" s="19">
        <f t="shared" si="19"/>
        <v>2.4286178378484354E-5</v>
      </c>
      <c r="G170" s="2"/>
      <c r="H170" s="2">
        <v>317.79000000000002</v>
      </c>
      <c r="I170" s="2"/>
      <c r="J170" s="19">
        <f t="shared" si="20"/>
        <v>2.280552132586432E-4</v>
      </c>
      <c r="K170" s="2"/>
      <c r="L170" s="2">
        <f t="shared" si="21"/>
        <v>-283.61</v>
      </c>
      <c r="M170" s="2"/>
      <c r="N170" s="19">
        <f t="shared" si="22"/>
        <v>-0.89244469618301392</v>
      </c>
      <c r="O170" s="11"/>
      <c r="P170" s="2">
        <v>135.84</v>
      </c>
      <c r="Q170" s="2"/>
      <c r="R170" s="19">
        <f t="shared" si="23"/>
        <v>2.5465950547789868E-5</v>
      </c>
      <c r="S170" s="2"/>
      <c r="T170" s="2">
        <v>470.64</v>
      </c>
      <c r="U170" s="2"/>
      <c r="V170" s="19">
        <f t="shared" si="24"/>
        <v>8.4802979105736272E-5</v>
      </c>
      <c r="W170" s="2"/>
      <c r="X170" s="2">
        <f t="shared" si="25"/>
        <v>-334.79999999999995</v>
      </c>
      <c r="Y170" s="2"/>
      <c r="Z170" s="19">
        <f t="shared" si="26"/>
        <v>-0.71137174910759804</v>
      </c>
    </row>
    <row r="171" spans="1:26" s="24" customFormat="1" hidden="1" outlineLevel="1" x14ac:dyDescent="0.25">
      <c r="A171" s="44"/>
      <c r="B171" s="11" t="str">
        <f>CONCATENATE("          ", "5545", " - ", "FREIGHT-IN-SPECIAL ORDERS")</f>
        <v xml:space="preserve">          5545 - FREIGHT-IN-SPECIAL ORDERS</v>
      </c>
      <c r="C171" s="11"/>
      <c r="D171" s="2">
        <v>26.56</v>
      </c>
      <c r="E171" s="2"/>
      <c r="F171" s="19">
        <f t="shared" si="19"/>
        <v>1.8871881150747351E-5</v>
      </c>
      <c r="G171" s="2"/>
      <c r="H171" s="2">
        <v>31.52</v>
      </c>
      <c r="I171" s="2"/>
      <c r="J171" s="19">
        <f t="shared" si="20"/>
        <v>2.261965550178556E-5</v>
      </c>
      <c r="K171" s="2"/>
      <c r="L171" s="2">
        <f t="shared" si="21"/>
        <v>-4.9600000000000009</v>
      </c>
      <c r="M171" s="2"/>
      <c r="N171" s="19">
        <f t="shared" si="22"/>
        <v>-0.15736040609137059</v>
      </c>
      <c r="O171" s="11"/>
      <c r="P171" s="2">
        <v>262.51</v>
      </c>
      <c r="Q171" s="2"/>
      <c r="R171" s="19">
        <f t="shared" si="23"/>
        <v>4.9212799457452281E-5</v>
      </c>
      <c r="S171" s="2"/>
      <c r="T171" s="2">
        <v>1186.56</v>
      </c>
      <c r="U171" s="2"/>
      <c r="V171" s="19">
        <f t="shared" si="24"/>
        <v>2.1380210540477312E-4</v>
      </c>
      <c r="W171" s="2"/>
      <c r="X171" s="2">
        <f t="shared" si="25"/>
        <v>-924.05</v>
      </c>
      <c r="Y171" s="2"/>
      <c r="Z171" s="19">
        <f t="shared" si="26"/>
        <v>-0.77876382146709822</v>
      </c>
    </row>
    <row r="172" spans="1:26" s="24" customFormat="1" hidden="1" outlineLevel="1" x14ac:dyDescent="0.25">
      <c r="A172" s="44"/>
      <c r="B172" s="11" t="str">
        <f>CONCATENATE("          ", "5581", " - ", "FREIGHT-IN-ELECTRONICS")</f>
        <v xml:space="preserve">          5581 - FREIGHT-IN-ELECTRONICS</v>
      </c>
      <c r="C172" s="11"/>
      <c r="D172" s="2">
        <v>92.95</v>
      </c>
      <c r="E172" s="2"/>
      <c r="F172" s="19">
        <f t="shared" si="19"/>
        <v>6.6044478650676447E-5</v>
      </c>
      <c r="G172" s="2"/>
      <c r="H172" s="2"/>
      <c r="I172" s="2"/>
      <c r="J172" s="19">
        <f t="shared" si="20"/>
        <v>0</v>
      </c>
      <c r="K172" s="2"/>
      <c r="L172" s="2">
        <f t="shared" si="21"/>
        <v>92.95</v>
      </c>
      <c r="M172" s="2"/>
      <c r="N172" s="19">
        <f t="shared" si="22"/>
        <v>0</v>
      </c>
      <c r="O172" s="11"/>
      <c r="P172" s="2">
        <v>92.95</v>
      </c>
      <c r="Q172" s="2"/>
      <c r="R172" s="19">
        <f t="shared" si="23"/>
        <v>1.7425354118205743E-5</v>
      </c>
      <c r="S172" s="2"/>
      <c r="T172" s="2"/>
      <c r="U172" s="2"/>
      <c r="V172" s="19">
        <f t="shared" si="24"/>
        <v>0</v>
      </c>
      <c r="W172" s="2"/>
      <c r="X172" s="2">
        <f t="shared" si="25"/>
        <v>92.95</v>
      </c>
      <c r="Y172" s="2"/>
      <c r="Z172" s="19">
        <f t="shared" si="26"/>
        <v>0</v>
      </c>
    </row>
    <row r="173" spans="1:26" s="24" customFormat="1" hidden="1" outlineLevel="1" x14ac:dyDescent="0.25">
      <c r="A173" s="44"/>
      <c r="B173" s="11" t="str">
        <f>CONCATENATE("          ", "5582", " - ", "FREIGHT-IN-COMPUTER HARDWARE")</f>
        <v xml:space="preserve">          5582 - FREIGHT-IN-COMPUTER HARDWARE</v>
      </c>
      <c r="C173" s="11"/>
      <c r="D173" s="2">
        <v>4.84</v>
      </c>
      <c r="E173" s="2"/>
      <c r="F173" s="19">
        <f t="shared" si="19"/>
        <v>3.4390024386151045E-6</v>
      </c>
      <c r="G173" s="2"/>
      <c r="H173" s="2"/>
      <c r="I173" s="2"/>
      <c r="J173" s="19">
        <f t="shared" si="20"/>
        <v>0</v>
      </c>
      <c r="K173" s="2"/>
      <c r="L173" s="2">
        <f t="shared" si="21"/>
        <v>4.84</v>
      </c>
      <c r="M173" s="2"/>
      <c r="N173" s="19">
        <f t="shared" si="22"/>
        <v>0</v>
      </c>
      <c r="O173" s="11"/>
      <c r="P173" s="2">
        <v>4.84</v>
      </c>
      <c r="Q173" s="2"/>
      <c r="R173" s="19">
        <f t="shared" si="23"/>
        <v>9.0735571739769538E-7</v>
      </c>
      <c r="S173" s="2"/>
      <c r="T173" s="2"/>
      <c r="U173" s="2"/>
      <c r="V173" s="19">
        <f t="shared" si="24"/>
        <v>0</v>
      </c>
      <c r="W173" s="2"/>
      <c r="X173" s="2">
        <f t="shared" si="25"/>
        <v>4.84</v>
      </c>
      <c r="Y173" s="2"/>
      <c r="Z173" s="19">
        <f t="shared" si="26"/>
        <v>0</v>
      </c>
    </row>
    <row r="174" spans="1:26" s="24" customFormat="1" hidden="1" outlineLevel="1" x14ac:dyDescent="0.25">
      <c r="A174" s="44"/>
      <c r="B174" s="11" t="str">
        <f>CONCATENATE("          ", "5583", " - ", "FREIGHT-IN-COMPUTER EQUIPMENT")</f>
        <v xml:space="preserve">          5583 - FREIGHT-IN-COMPUTER EQUIPMENT</v>
      </c>
      <c r="C174" s="11"/>
      <c r="D174" s="2">
        <v>7.86</v>
      </c>
      <c r="E174" s="2"/>
      <c r="F174" s="19">
        <f t="shared" si="19"/>
        <v>5.5848262742799017E-6</v>
      </c>
      <c r="G174" s="2"/>
      <c r="H174" s="2"/>
      <c r="I174" s="2"/>
      <c r="J174" s="19">
        <f t="shared" si="20"/>
        <v>0</v>
      </c>
      <c r="K174" s="2"/>
      <c r="L174" s="2">
        <f t="shared" si="21"/>
        <v>7.86</v>
      </c>
      <c r="M174" s="2"/>
      <c r="N174" s="19">
        <f t="shared" si="22"/>
        <v>0</v>
      </c>
      <c r="O174" s="11"/>
      <c r="P174" s="2">
        <v>41</v>
      </c>
      <c r="Q174" s="2"/>
      <c r="R174" s="19">
        <f t="shared" si="23"/>
        <v>7.6862777713441143E-6</v>
      </c>
      <c r="S174" s="2"/>
      <c r="T174" s="2">
        <v>8.27</v>
      </c>
      <c r="U174" s="2"/>
      <c r="V174" s="19">
        <f t="shared" si="24"/>
        <v>1.4901424383912097E-6</v>
      </c>
      <c r="W174" s="2"/>
      <c r="X174" s="2">
        <f t="shared" si="25"/>
        <v>32.730000000000004</v>
      </c>
      <c r="Y174" s="2"/>
      <c r="Z174" s="19">
        <f t="shared" si="26"/>
        <v>3.9576783555018147</v>
      </c>
    </row>
    <row r="175" spans="1:26" s="24" customFormat="1" hidden="1" outlineLevel="1" x14ac:dyDescent="0.25">
      <c r="A175" s="44"/>
      <c r="B175" s="11" t="str">
        <f>CONCATENATE("          ", "5586", " - ", "FREIGHT-IN-COMPUTER SUPPLIES")</f>
        <v xml:space="preserve">          5586 - FREIGHT-IN-COMPUTER SUPPLIES</v>
      </c>
      <c r="C175" s="11"/>
      <c r="D175" s="2">
        <v>65.36</v>
      </c>
      <c r="E175" s="2"/>
      <c r="F175" s="19">
        <f t="shared" si="19"/>
        <v>4.6440743675182487E-5</v>
      </c>
      <c r="G175" s="2"/>
      <c r="H175" s="2">
        <v>55.6</v>
      </c>
      <c r="I175" s="2"/>
      <c r="J175" s="19">
        <f t="shared" si="20"/>
        <v>3.9900153740459302E-5</v>
      </c>
      <c r="K175" s="2"/>
      <c r="L175" s="2">
        <f t="shared" si="21"/>
        <v>9.759999999999998</v>
      </c>
      <c r="M175" s="2"/>
      <c r="N175" s="19">
        <f t="shared" si="22"/>
        <v>0.17553956834532369</v>
      </c>
      <c r="O175" s="11"/>
      <c r="P175" s="2">
        <v>102.39</v>
      </c>
      <c r="Q175" s="2"/>
      <c r="R175" s="19">
        <f t="shared" si="23"/>
        <v>1.9195072707510339E-5</v>
      </c>
      <c r="S175" s="2"/>
      <c r="T175" s="2">
        <v>104.29</v>
      </c>
      <c r="U175" s="2"/>
      <c r="V175" s="19">
        <f t="shared" si="24"/>
        <v>1.87916511366166E-5</v>
      </c>
      <c r="W175" s="2"/>
      <c r="X175" s="2">
        <f t="shared" si="25"/>
        <v>-1.9000000000000057</v>
      </c>
      <c r="Y175" s="2"/>
      <c r="Z175" s="19">
        <f t="shared" si="26"/>
        <v>-1.8218429379614591E-2</v>
      </c>
    </row>
    <row r="176" spans="1:26" s="24" customFormat="1" hidden="1" outlineLevel="1" x14ac:dyDescent="0.25">
      <c r="A176" s="44"/>
      <c r="B176" s="11" t="str">
        <f>CONCATENATE("          ", "5592", " - ", "FREIGHT-IN-GRAD MERCH")</f>
        <v xml:space="preserve">          5592 - FREIGHT-IN-GRAD MERCH</v>
      </c>
      <c r="C176" s="11"/>
      <c r="D176" s="2">
        <v>11.21</v>
      </c>
      <c r="E176" s="2"/>
      <c r="F176" s="19">
        <f t="shared" si="19"/>
        <v>7.9651275489411838E-6</v>
      </c>
      <c r="G176" s="2"/>
      <c r="H176" s="2">
        <v>5.61</v>
      </c>
      <c r="I176" s="2"/>
      <c r="J176" s="19">
        <f t="shared" si="20"/>
        <v>4.0258968072657674E-6</v>
      </c>
      <c r="K176" s="2"/>
      <c r="L176" s="2">
        <f t="shared" si="21"/>
        <v>5.6000000000000005</v>
      </c>
      <c r="M176" s="2"/>
      <c r="N176" s="19">
        <f t="shared" si="22"/>
        <v>0.99821746880570417</v>
      </c>
      <c r="O176" s="11"/>
      <c r="P176" s="2">
        <v>70.78</v>
      </c>
      <c r="Q176" s="2"/>
      <c r="R176" s="19">
        <f t="shared" si="23"/>
        <v>1.3269140015993572E-5</v>
      </c>
      <c r="S176" s="2"/>
      <c r="T176" s="2">
        <v>114.3</v>
      </c>
      <c r="U176" s="2"/>
      <c r="V176" s="19">
        <f t="shared" si="24"/>
        <v>2.0595318102553239E-5</v>
      </c>
      <c r="W176" s="2"/>
      <c r="X176" s="2">
        <f t="shared" si="25"/>
        <v>-43.519999999999996</v>
      </c>
      <c r="Y176" s="2"/>
      <c r="Z176" s="19">
        <f t="shared" si="26"/>
        <v>-0.3807524059492563</v>
      </c>
    </row>
    <row r="177" spans="1:26" x14ac:dyDescent="0.25">
      <c r="A177" s="9"/>
      <c r="B177" s="10"/>
      <c r="C177" s="10"/>
      <c r="D177" s="3"/>
      <c r="E177" s="3"/>
      <c r="F177" s="8"/>
      <c r="G177" s="3"/>
      <c r="H177" s="3"/>
      <c r="I177" s="3"/>
      <c r="J177" s="8"/>
      <c r="K177" s="3"/>
      <c r="L177" s="3"/>
      <c r="M177" s="3"/>
      <c r="N177" s="8"/>
      <c r="O177" s="10"/>
      <c r="P177" s="3"/>
      <c r="Q177" s="3"/>
      <c r="R177" s="8"/>
      <c r="S177" s="3"/>
      <c r="T177" s="3"/>
      <c r="U177" s="3"/>
      <c r="V177" s="8"/>
      <c r="W177" s="3"/>
      <c r="X177" s="3"/>
      <c r="Y177" s="3"/>
      <c r="Z177" s="8"/>
    </row>
    <row r="178" spans="1:26" s="23" customFormat="1" x14ac:dyDescent="0.25">
      <c r="A178" s="10"/>
      <c r="B178" s="26" t="s">
        <v>6</v>
      </c>
      <c r="C178" s="26"/>
      <c r="D178" s="21">
        <f>D12-D121</f>
        <v>490717.42999999924</v>
      </c>
      <c r="E178" s="13"/>
      <c r="F178" s="20">
        <f>IF(D$12=0,0,D178/D$12)</f>
        <v>0.34867323108283765</v>
      </c>
      <c r="G178" s="13"/>
      <c r="H178" s="21">
        <f>H12-H121</f>
        <v>475317.72999999963</v>
      </c>
      <c r="I178" s="13"/>
      <c r="J178" s="20">
        <f>IF(H$12=0,0,H178/H$12)</f>
        <v>0.34110162774399477</v>
      </c>
      <c r="K178" s="15"/>
      <c r="L178" s="21">
        <f>+D178-H178</f>
        <v>15399.699999999604</v>
      </c>
      <c r="M178" s="15"/>
      <c r="N178" s="20">
        <f>IF(H178=0,0,L178/H178)</f>
        <v>3.2398749358665026E-2</v>
      </c>
      <c r="O178" s="25"/>
      <c r="P178" s="21">
        <f>P12-P121</f>
        <v>1655918.6399999997</v>
      </c>
      <c r="Q178" s="13"/>
      <c r="R178" s="20">
        <f>IF(P$12=0,0,P178/P$12)</f>
        <v>0.31043538131186277</v>
      </c>
      <c r="S178" s="13"/>
      <c r="T178" s="21">
        <f>T12-T121</f>
        <v>1740640.4299999992</v>
      </c>
      <c r="U178" s="13"/>
      <c r="V178" s="20">
        <f>IF(T$12=0,0,T178/T$12)</f>
        <v>0.31363992439208255</v>
      </c>
      <c r="W178" s="15"/>
      <c r="X178" s="21">
        <f>+P178-T178</f>
        <v>-84721.789999999572</v>
      </c>
      <c r="Y178" s="15"/>
      <c r="Z178" s="20">
        <f>IF(T178=0,0,X178/T178)</f>
        <v>-4.8672769251946885E-2</v>
      </c>
    </row>
    <row r="179" spans="1:26" x14ac:dyDescent="0.25">
      <c r="A179" s="9"/>
      <c r="B179" s="10"/>
      <c r="C179" s="9"/>
      <c r="D179" s="1"/>
      <c r="E179" s="1"/>
      <c r="F179" s="5"/>
      <c r="G179" s="1"/>
      <c r="H179" s="1"/>
      <c r="I179" s="1"/>
      <c r="J179" s="5"/>
      <c r="K179" s="1"/>
      <c r="L179" s="1"/>
      <c r="M179" s="1"/>
      <c r="N179" s="5"/>
      <c r="O179" s="37"/>
      <c r="P179" s="1"/>
      <c r="Q179" s="1"/>
      <c r="R179" s="5"/>
      <c r="S179" s="1"/>
      <c r="T179" s="1"/>
      <c r="U179" s="1"/>
      <c r="V179" s="5"/>
      <c r="W179" s="1"/>
      <c r="X179" s="1"/>
      <c r="Y179" s="1"/>
      <c r="Z179" s="5"/>
    </row>
    <row r="180" spans="1:26" s="23" customFormat="1" x14ac:dyDescent="0.25">
      <c r="A180" s="10"/>
      <c r="B180" s="25" t="s">
        <v>9</v>
      </c>
      <c r="C180" s="10"/>
      <c r="D180" s="22">
        <f>SUM(OSRRefD22x_0)</f>
        <v>366282.53000000009</v>
      </c>
      <c r="E180" s="22"/>
      <c r="F180" s="34">
        <f t="shared" ref="F180:F190" si="27">IF(D$12=0,0,D180/D$12)</f>
        <v>0.26025754419258484</v>
      </c>
      <c r="G180" s="22"/>
      <c r="H180" s="22">
        <f>SUM(OSRRefH22x_0)</f>
        <v>401116.07000000012</v>
      </c>
      <c r="I180" s="22"/>
      <c r="J180" s="34">
        <f t="shared" ref="J180:J190" si="28">IF(H$12=0,0,H180/H$12)</f>
        <v>0.28785238958217335</v>
      </c>
      <c r="K180" s="4"/>
      <c r="L180" s="22">
        <f t="shared" ref="L180:L190" si="29">+D180-H180</f>
        <v>-34833.540000000037</v>
      </c>
      <c r="M180" s="4"/>
      <c r="N180" s="34">
        <f t="shared" ref="N180:N190" si="30">IF(H180=0,0,L180/H180)</f>
        <v>-8.6841546886914867E-2</v>
      </c>
      <c r="O180" s="10"/>
      <c r="P180" s="22">
        <f>SUM(OSRRefP22x_0)</f>
        <v>1222286.8400000001</v>
      </c>
      <c r="Q180" s="22"/>
      <c r="R180" s="34">
        <f t="shared" ref="R180:R190" si="31">IF(P$12=0,0,P180/P$12)</f>
        <v>0.22914234557313271</v>
      </c>
      <c r="S180" s="22"/>
      <c r="T180" s="22">
        <f>SUM(OSRRefT22x_0)</f>
        <v>1318616.4699999995</v>
      </c>
      <c r="U180" s="22"/>
      <c r="V180" s="34">
        <f t="shared" ref="V180:V190" si="32">IF(T$12=0,0,T180/T$12)</f>
        <v>0.23759689986803006</v>
      </c>
      <c r="W180" s="4"/>
      <c r="X180" s="22">
        <f t="shared" ref="X180:X190" si="33">+P180-T180</f>
        <v>-96329.629999999423</v>
      </c>
      <c r="Y180" s="4"/>
      <c r="Z180" s="34">
        <f t="shared" ref="Z180:Z190" si="34">IF(T180=0,0,X180/T180)</f>
        <v>-7.3053561965595246E-2</v>
      </c>
    </row>
    <row r="181" spans="1:26" s="29" customFormat="1" outlineLevel="1" collapsed="1" x14ac:dyDescent="0.25">
      <c r="A181" s="27"/>
      <c r="B181" s="14" t="str">
        <f>CONCATENATE("     ","*Benefits                                         ")</f>
        <v xml:space="preserve">     *Benefits                                         </v>
      </c>
      <c r="C181" s="14"/>
      <c r="D181" s="1">
        <f>SUM(OSRRefD22_0x_0)</f>
        <v>52271.06</v>
      </c>
      <c r="E181" s="1"/>
      <c r="F181" s="5">
        <f t="shared" si="27"/>
        <v>3.7140558431610834E-2</v>
      </c>
      <c r="G181" s="1"/>
      <c r="H181" s="1">
        <f>SUM(OSRRefH22_0x_0)</f>
        <v>48058.23000000001</v>
      </c>
      <c r="I181" s="1"/>
      <c r="J181" s="5">
        <f t="shared" si="28"/>
        <v>3.4487963408171833E-2</v>
      </c>
      <c r="K181" s="1"/>
      <c r="L181" s="1">
        <f t="shared" si="29"/>
        <v>4212.8299999999872</v>
      </c>
      <c r="M181" s="1"/>
      <c r="N181" s="5">
        <f t="shared" si="30"/>
        <v>8.7660947979149181E-2</v>
      </c>
      <c r="O181" s="14"/>
      <c r="P181" s="1">
        <f>SUM(OSRRefP22_0x_0)</f>
        <v>165346.23999999999</v>
      </c>
      <c r="Q181" s="1"/>
      <c r="R181" s="5">
        <f t="shared" si="31"/>
        <v>3.0997490953349489E-2</v>
      </c>
      <c r="S181" s="1"/>
      <c r="T181" s="1">
        <f>SUM(OSRRefT22_0x_0)</f>
        <v>155508.20000000001</v>
      </c>
      <c r="U181" s="1"/>
      <c r="V181" s="5">
        <f t="shared" si="32"/>
        <v>2.8020479847379438E-2</v>
      </c>
      <c r="W181" s="1"/>
      <c r="X181" s="1">
        <f t="shared" si="33"/>
        <v>9838.039999999979</v>
      </c>
      <c r="Y181" s="1"/>
      <c r="Z181" s="5">
        <f t="shared" si="34"/>
        <v>6.3263802166059271E-2</v>
      </c>
    </row>
    <row r="182" spans="1:26" s="24" customFormat="1" hidden="1" outlineLevel="2" x14ac:dyDescent="0.25">
      <c r="A182" s="28"/>
      <c r="B182" s="11" t="str">
        <f>CONCATENATE("          ", "6111", " - ", "F.I.C.A.")</f>
        <v xml:space="preserve">          6111 - F.I.C.A.</v>
      </c>
      <c r="C182" s="11"/>
      <c r="D182" s="6">
        <v>8095.17</v>
      </c>
      <c r="E182" s="2"/>
      <c r="F182" s="7">
        <f t="shared" si="27"/>
        <v>5.7519234237611233E-3</v>
      </c>
      <c r="G182" s="2"/>
      <c r="H182" s="6">
        <v>8376.35</v>
      </c>
      <c r="I182" s="2"/>
      <c r="J182" s="7">
        <f t="shared" si="28"/>
        <v>6.0111088630197167E-3</v>
      </c>
      <c r="K182" s="2"/>
      <c r="L182" s="6">
        <f t="shared" si="29"/>
        <v>-281.18000000000029</v>
      </c>
      <c r="M182" s="2"/>
      <c r="N182" s="7">
        <f t="shared" si="30"/>
        <v>-3.3568320330454232E-2</v>
      </c>
      <c r="O182" s="11"/>
      <c r="P182" s="6">
        <v>34170.81</v>
      </c>
      <c r="Q182" s="2"/>
      <c r="R182" s="7">
        <f t="shared" si="31"/>
        <v>6.4060082276054427E-3</v>
      </c>
      <c r="S182" s="2"/>
      <c r="T182" s="6">
        <v>33843.97</v>
      </c>
      <c r="U182" s="2"/>
      <c r="V182" s="7">
        <f t="shared" si="32"/>
        <v>6.0982268416733924E-3</v>
      </c>
      <c r="W182" s="2"/>
      <c r="X182" s="6">
        <f t="shared" si="33"/>
        <v>326.83999999999651</v>
      </c>
      <c r="Y182" s="2"/>
      <c r="Z182" s="7">
        <f t="shared" si="34"/>
        <v>9.6572594763556542E-3</v>
      </c>
    </row>
    <row r="183" spans="1:26" s="24" customFormat="1" hidden="1" outlineLevel="2" x14ac:dyDescent="0.25">
      <c r="A183" s="28"/>
      <c r="B183" s="11" t="str">
        <f>CONCATENATE("          ", "6112", " - ", "COMPENSATION INSURANCE")</f>
        <v xml:space="preserve">          6112 - COMPENSATION INSURANCE</v>
      </c>
      <c r="C183" s="11"/>
      <c r="D183" s="6">
        <v>3489.11</v>
      </c>
      <c r="E183" s="2"/>
      <c r="F183" s="7">
        <f t="shared" si="27"/>
        <v>2.4791441732637085E-3</v>
      </c>
      <c r="G183" s="2"/>
      <c r="H183" s="6"/>
      <c r="I183" s="2"/>
      <c r="J183" s="7">
        <f t="shared" si="28"/>
        <v>0</v>
      </c>
      <c r="K183" s="2"/>
      <c r="L183" s="6">
        <f t="shared" si="29"/>
        <v>3489.11</v>
      </c>
      <c r="M183" s="2"/>
      <c r="N183" s="7">
        <f t="shared" si="30"/>
        <v>0</v>
      </c>
      <c r="O183" s="11"/>
      <c r="P183" s="6">
        <v>8623.59</v>
      </c>
      <c r="Q183" s="2"/>
      <c r="R183" s="7">
        <f t="shared" si="31"/>
        <v>1.6166660518581804E-3</v>
      </c>
      <c r="S183" s="2"/>
      <c r="T183" s="6">
        <v>3782.44</v>
      </c>
      <c r="U183" s="2"/>
      <c r="V183" s="7">
        <f t="shared" si="32"/>
        <v>6.8154466320053775E-4</v>
      </c>
      <c r="W183" s="2"/>
      <c r="X183" s="6">
        <f t="shared" si="33"/>
        <v>4841.1499999999996</v>
      </c>
      <c r="Y183" s="2"/>
      <c r="Z183" s="7">
        <f t="shared" si="34"/>
        <v>1.2799013335307368</v>
      </c>
    </row>
    <row r="184" spans="1:26" s="24" customFormat="1" hidden="1" outlineLevel="2" x14ac:dyDescent="0.25">
      <c r="A184" s="28"/>
      <c r="B184" s="11" t="str">
        <f>CONCATENATE("          ", "6113", " - ", "GROUP INSURANCE")</f>
        <v xml:space="preserve">          6113 - GROUP INSURANCE</v>
      </c>
      <c r="C184" s="11"/>
      <c r="D184" s="6">
        <v>20000.43</v>
      </c>
      <c r="E184" s="2"/>
      <c r="F184" s="7">
        <f t="shared" si="27"/>
        <v>1.4211059409783202E-2</v>
      </c>
      <c r="G184" s="2"/>
      <c r="H184" s="6">
        <v>21759.870000000003</v>
      </c>
      <c r="I184" s="2"/>
      <c r="J184" s="7">
        <f t="shared" si="28"/>
        <v>1.561550644554691E-2</v>
      </c>
      <c r="K184" s="2"/>
      <c r="L184" s="6">
        <f t="shared" si="29"/>
        <v>-1759.4400000000023</v>
      </c>
      <c r="M184" s="2"/>
      <c r="N184" s="7">
        <f t="shared" si="30"/>
        <v>-8.0857100708781909E-2</v>
      </c>
      <c r="O184" s="11"/>
      <c r="P184" s="6">
        <v>59458.74</v>
      </c>
      <c r="Q184" s="2"/>
      <c r="R184" s="7">
        <f t="shared" si="31"/>
        <v>1.1146741257905589E-2</v>
      </c>
      <c r="S184" s="2"/>
      <c r="T184" s="6">
        <v>51468.35</v>
      </c>
      <c r="U184" s="2"/>
      <c r="V184" s="7">
        <f t="shared" si="32"/>
        <v>9.2739023662602449E-3</v>
      </c>
      <c r="W184" s="2"/>
      <c r="X184" s="6">
        <f t="shared" si="33"/>
        <v>7990.3899999999994</v>
      </c>
      <c r="Y184" s="2"/>
      <c r="Z184" s="7">
        <f t="shared" si="34"/>
        <v>0.15524861395401252</v>
      </c>
    </row>
    <row r="185" spans="1:26" s="24" customFormat="1" hidden="1" outlineLevel="2" x14ac:dyDescent="0.25">
      <c r="A185" s="28"/>
      <c r="B185" s="11" t="str">
        <f>CONCATENATE("          ", "6114", " - ", "STATE UNEMPLOYMENT INSURANCE")</f>
        <v xml:space="preserve">          6114 - STATE UNEMPLOYMENT INSURANCE</v>
      </c>
      <c r="C185" s="11"/>
      <c r="D185" s="6">
        <v>582.83000000000004</v>
      </c>
      <c r="E185" s="2"/>
      <c r="F185" s="7">
        <f t="shared" si="27"/>
        <v>4.1412268415248792E-4</v>
      </c>
      <c r="G185" s="2"/>
      <c r="H185" s="6">
        <v>574.36</v>
      </c>
      <c r="I185" s="2"/>
      <c r="J185" s="7">
        <f t="shared" si="28"/>
        <v>4.1217719968291734E-4</v>
      </c>
      <c r="K185" s="2"/>
      <c r="L185" s="6">
        <f t="shared" si="29"/>
        <v>8.4700000000000273</v>
      </c>
      <c r="M185" s="2"/>
      <c r="N185" s="7">
        <f t="shared" si="30"/>
        <v>1.4746848666341714E-2</v>
      </c>
      <c r="O185" s="11"/>
      <c r="P185" s="6">
        <v>1467.86</v>
      </c>
      <c r="Q185" s="2"/>
      <c r="R185" s="7">
        <f t="shared" si="31"/>
        <v>2.7517999242549195E-4</v>
      </c>
      <c r="S185" s="2"/>
      <c r="T185" s="6">
        <v>1629.36</v>
      </c>
      <c r="U185" s="2"/>
      <c r="V185" s="7">
        <f t="shared" si="32"/>
        <v>2.9358869206978251E-4</v>
      </c>
      <c r="W185" s="2"/>
      <c r="X185" s="6">
        <f t="shared" si="33"/>
        <v>-161.5</v>
      </c>
      <c r="Y185" s="2"/>
      <c r="Z185" s="7">
        <f t="shared" si="34"/>
        <v>-9.9118672362154478E-2</v>
      </c>
    </row>
    <row r="186" spans="1:26" s="24" customFormat="1" hidden="1" outlineLevel="2" x14ac:dyDescent="0.25">
      <c r="A186" s="28"/>
      <c r="B186" s="11" t="str">
        <f>CONCATENATE("          ", "6115", " - ", "P.E.R.S.")</f>
        <v xml:space="preserve">          6115 - P.E.R.S.</v>
      </c>
      <c r="C186" s="11"/>
      <c r="D186" s="6">
        <v>6581.04</v>
      </c>
      <c r="E186" s="2"/>
      <c r="F186" s="7">
        <f t="shared" si="27"/>
        <v>4.676076985252799E-3</v>
      </c>
      <c r="G186" s="2"/>
      <c r="H186" s="6">
        <v>5770.27</v>
      </c>
      <c r="I186" s="2"/>
      <c r="J186" s="7">
        <f t="shared" si="28"/>
        <v>4.1409111533086346E-3</v>
      </c>
      <c r="K186" s="2"/>
      <c r="L186" s="6">
        <f t="shared" si="29"/>
        <v>810.76999999999953</v>
      </c>
      <c r="M186" s="2"/>
      <c r="N186" s="7">
        <f t="shared" si="30"/>
        <v>0.14050815646408218</v>
      </c>
      <c r="O186" s="11"/>
      <c r="P186" s="6">
        <v>19253.009999999998</v>
      </c>
      <c r="Q186" s="2"/>
      <c r="R186" s="7">
        <f t="shared" si="31"/>
        <v>3.6093654340113644E-3</v>
      </c>
      <c r="S186" s="2"/>
      <c r="T186" s="6">
        <v>20111.939999999999</v>
      </c>
      <c r="U186" s="2"/>
      <c r="V186" s="7">
        <f t="shared" si="32"/>
        <v>3.6239002796103633E-3</v>
      </c>
      <c r="W186" s="2"/>
      <c r="X186" s="6">
        <f t="shared" si="33"/>
        <v>-858.93000000000029</v>
      </c>
      <c r="Y186" s="2"/>
      <c r="Z186" s="7">
        <f t="shared" si="34"/>
        <v>-4.2707466311057034E-2</v>
      </c>
    </row>
    <row r="187" spans="1:26" s="24" customFormat="1" hidden="1" outlineLevel="2" x14ac:dyDescent="0.25">
      <c r="A187" s="28"/>
      <c r="B187" s="11" t="str">
        <f>CONCATENATE("          ", "6117", " - ", "RETIREMENT STAFF HOURLY")</f>
        <v xml:space="preserve">          6117 - RETIREMENT STAFF HOURLY</v>
      </c>
      <c r="C187" s="11"/>
      <c r="D187" s="6">
        <v>447.04</v>
      </c>
      <c r="E187" s="2"/>
      <c r="F187" s="7">
        <f t="shared" si="27"/>
        <v>3.1763877069390423E-4</v>
      </c>
      <c r="G187" s="2"/>
      <c r="H187" s="6">
        <v>790.01</v>
      </c>
      <c r="I187" s="2"/>
      <c r="J187" s="7">
        <f t="shared" si="28"/>
        <v>5.669338211600765E-4</v>
      </c>
      <c r="K187" s="2"/>
      <c r="L187" s="6">
        <f t="shared" si="29"/>
        <v>-342.96999999999997</v>
      </c>
      <c r="M187" s="2"/>
      <c r="N187" s="7">
        <f t="shared" si="30"/>
        <v>-0.4341337451424665</v>
      </c>
      <c r="O187" s="11"/>
      <c r="P187" s="6">
        <v>1013.39</v>
      </c>
      <c r="Q187" s="2"/>
      <c r="R187" s="7">
        <f t="shared" si="31"/>
        <v>1.8998041538298565E-4</v>
      </c>
      <c r="S187" s="2"/>
      <c r="T187" s="6">
        <v>1685.65</v>
      </c>
      <c r="U187" s="2"/>
      <c r="V187" s="7">
        <f t="shared" si="32"/>
        <v>3.0373139072238729E-4</v>
      </c>
      <c r="W187" s="2"/>
      <c r="X187" s="6">
        <f t="shared" si="33"/>
        <v>-672.2600000000001</v>
      </c>
      <c r="Y187" s="2"/>
      <c r="Z187" s="7">
        <f t="shared" si="34"/>
        <v>-0.39881351407468935</v>
      </c>
    </row>
    <row r="188" spans="1:26" s="24" customFormat="1" hidden="1" outlineLevel="2" x14ac:dyDescent="0.25">
      <c r="A188" s="28"/>
      <c r="B188" s="11" t="str">
        <f>CONCATENATE("          ", "6118", " - ", "VACATION")</f>
        <v xml:space="preserve">          6118 - VACATION</v>
      </c>
      <c r="C188" s="11"/>
      <c r="D188" s="6">
        <v>5998.1</v>
      </c>
      <c r="E188" s="2"/>
      <c r="F188" s="7">
        <f t="shared" si="27"/>
        <v>4.2618761419539793E-3</v>
      </c>
      <c r="G188" s="2"/>
      <c r="H188" s="6">
        <v>5167.3999999999996</v>
      </c>
      <c r="I188" s="2"/>
      <c r="J188" s="7">
        <f t="shared" si="28"/>
        <v>3.7082743604037655E-3</v>
      </c>
      <c r="K188" s="2"/>
      <c r="L188" s="6">
        <f t="shared" si="29"/>
        <v>830.70000000000073</v>
      </c>
      <c r="M188" s="2"/>
      <c r="N188" s="7">
        <f t="shared" si="30"/>
        <v>0.16075782792119844</v>
      </c>
      <c r="O188" s="11"/>
      <c r="P188" s="6">
        <v>18502.489999999998</v>
      </c>
      <c r="Q188" s="2"/>
      <c r="R188" s="7">
        <f t="shared" si="31"/>
        <v>3.4686653073540672E-3</v>
      </c>
      <c r="S188" s="2"/>
      <c r="T188" s="6">
        <v>19394.990000000002</v>
      </c>
      <c r="U188" s="2"/>
      <c r="V188" s="7">
        <f t="shared" si="32"/>
        <v>3.4947155612059409E-3</v>
      </c>
      <c r="W188" s="2"/>
      <c r="X188" s="6">
        <f t="shared" si="33"/>
        <v>-892.50000000000364</v>
      </c>
      <c r="Y188" s="2"/>
      <c r="Z188" s="7">
        <f t="shared" si="34"/>
        <v>-4.6017038420746982E-2</v>
      </c>
    </row>
    <row r="189" spans="1:26" s="24" customFormat="1" hidden="1" outlineLevel="2" x14ac:dyDescent="0.25">
      <c r="A189" s="28"/>
      <c r="B189" s="11" t="str">
        <f>CONCATENATE("          ", "6119", " - ", "SICK LEAVE")</f>
        <v xml:space="preserve">          6119 - SICK LEAVE</v>
      </c>
      <c r="C189" s="11"/>
      <c r="D189" s="6">
        <v>4755.8100000000004</v>
      </c>
      <c r="E189" s="2"/>
      <c r="F189" s="7">
        <f t="shared" si="27"/>
        <v>3.3791822701632443E-3</v>
      </c>
      <c r="G189" s="2"/>
      <c r="H189" s="6">
        <v>3455.89</v>
      </c>
      <c r="I189" s="2"/>
      <c r="J189" s="7">
        <f t="shared" si="28"/>
        <v>2.4800457250020841E-3</v>
      </c>
      <c r="K189" s="2"/>
      <c r="L189" s="6">
        <f t="shared" si="29"/>
        <v>1299.9200000000005</v>
      </c>
      <c r="M189" s="2"/>
      <c r="N189" s="7">
        <f t="shared" si="30"/>
        <v>0.37614623150621129</v>
      </c>
      <c r="O189" s="11"/>
      <c r="P189" s="6">
        <v>16587.79</v>
      </c>
      <c r="Q189" s="2"/>
      <c r="R189" s="7">
        <f t="shared" si="31"/>
        <v>3.1097161354322975E-3</v>
      </c>
      <c r="S189" s="2"/>
      <c r="T189" s="6">
        <v>16890.63</v>
      </c>
      <c r="U189" s="2"/>
      <c r="V189" s="7">
        <f t="shared" si="32"/>
        <v>3.0434636728130255E-3</v>
      </c>
      <c r="W189" s="2"/>
      <c r="X189" s="6">
        <f t="shared" si="33"/>
        <v>-302.84000000000015</v>
      </c>
      <c r="Y189" s="2"/>
      <c r="Z189" s="7">
        <f t="shared" si="34"/>
        <v>-1.7929467402932876E-2</v>
      </c>
    </row>
    <row r="190" spans="1:26" s="24" customFormat="1" hidden="1" outlineLevel="2" x14ac:dyDescent="0.25">
      <c r="A190" s="28"/>
      <c r="B190" s="11" t="str">
        <f>CONCATENATE("          ", "6156", " - ", "EMPLOYEE MEALS")</f>
        <v xml:space="preserve">          6156 - EMPLOYEE MEALS</v>
      </c>
      <c r="C190" s="11"/>
      <c r="D190" s="6">
        <v>2321.5300000000002</v>
      </c>
      <c r="E190" s="2"/>
      <c r="F190" s="7">
        <f t="shared" si="27"/>
        <v>1.6495345725863894E-3</v>
      </c>
      <c r="G190" s="2"/>
      <c r="H190" s="6">
        <v>2164.08</v>
      </c>
      <c r="I190" s="2"/>
      <c r="J190" s="7">
        <f t="shared" si="28"/>
        <v>1.5530058400477188E-3</v>
      </c>
      <c r="K190" s="2"/>
      <c r="L190" s="6">
        <f t="shared" si="29"/>
        <v>157.45000000000027</v>
      </c>
      <c r="M190" s="2"/>
      <c r="N190" s="7">
        <f t="shared" si="30"/>
        <v>7.2756090347861582E-2</v>
      </c>
      <c r="O190" s="11"/>
      <c r="P190" s="6">
        <v>6268.56</v>
      </c>
      <c r="Q190" s="2"/>
      <c r="R190" s="7">
        <f t="shared" si="31"/>
        <v>1.1751681313740699E-3</v>
      </c>
      <c r="S190" s="2"/>
      <c r="T190" s="6">
        <v>6700.87</v>
      </c>
      <c r="U190" s="2"/>
      <c r="V190" s="7">
        <f t="shared" si="32"/>
        <v>1.2074063798237613E-3</v>
      </c>
      <c r="W190" s="2"/>
      <c r="X190" s="6">
        <f t="shared" si="33"/>
        <v>-432.30999999999949</v>
      </c>
      <c r="Y190" s="2"/>
      <c r="Z190" s="7">
        <f t="shared" si="34"/>
        <v>-6.4515503210777037E-2</v>
      </c>
    </row>
    <row r="191" spans="1:26" s="29" customFormat="1" outlineLevel="1" collapsed="1" x14ac:dyDescent="0.25">
      <c r="A191" s="27"/>
      <c r="B191" s="14" t="str">
        <f>CONCATENATE("     ","*Payroll                                          ")</f>
        <v xml:space="preserve">     *Payroll                                          </v>
      </c>
      <c r="C191" s="14"/>
      <c r="D191" s="1">
        <f>SUM(OSRRefD22_1x_0)</f>
        <v>182683.1</v>
      </c>
      <c r="E191" s="1"/>
      <c r="F191" s="5">
        <f t="shared" ref="F191:F198" si="35">IF(D$12=0,0,D191/D$12)</f>
        <v>0.12980322859375351</v>
      </c>
      <c r="G191" s="1"/>
      <c r="H191" s="1">
        <f>SUM(OSRRefH22_1x_0)</f>
        <v>174832.06</v>
      </c>
      <c r="I191" s="1"/>
      <c r="J191" s="5">
        <f t="shared" ref="J191:J198" si="36">IF(H$12=0,0,H191/H$12)</f>
        <v>0.12546449771153245</v>
      </c>
      <c r="K191" s="1"/>
      <c r="L191" s="1">
        <f t="shared" ref="L191:L198" si="37">+D191-H191</f>
        <v>7851.0400000000081</v>
      </c>
      <c r="M191" s="1"/>
      <c r="N191" s="5">
        <f t="shared" ref="N191:N198" si="38">IF(H191=0,0,L191/H191)</f>
        <v>4.4906180250921988E-2</v>
      </c>
      <c r="O191" s="14"/>
      <c r="P191" s="1">
        <f>SUM(OSRRefP22_1x_0)</f>
        <v>594103.36</v>
      </c>
      <c r="Q191" s="1"/>
      <c r="R191" s="5">
        <f t="shared" ref="R191:R198" si="39">IF(P$12=0,0,P191/P$12)</f>
        <v>0.11137666950850854</v>
      </c>
      <c r="S191" s="1"/>
      <c r="T191" s="1">
        <f>SUM(OSRRefT22_1x_0)</f>
        <v>579132.04</v>
      </c>
      <c r="U191" s="1"/>
      <c r="V191" s="5">
        <f t="shared" ref="V191:V198" si="40">IF(T$12=0,0,T191/T$12)</f>
        <v>0.10435178116518448</v>
      </c>
      <c r="W191" s="1"/>
      <c r="X191" s="1">
        <f t="shared" ref="X191:X198" si="41">+P191-T191</f>
        <v>14971.319999999949</v>
      </c>
      <c r="Y191" s="1"/>
      <c r="Z191" s="5">
        <f t="shared" ref="Z191:Z198" si="42">IF(T191=0,0,X191/T191)</f>
        <v>2.5851306724456045E-2</v>
      </c>
    </row>
    <row r="192" spans="1:26" s="24" customFormat="1" hidden="1" outlineLevel="2" x14ac:dyDescent="0.25">
      <c r="A192" s="28"/>
      <c r="B192" s="11" t="str">
        <f>CONCATENATE("          ", "6001", " - ", "ADMINISTRATIVE SALARIES")</f>
        <v xml:space="preserve">          6001 - ADMINISTRATIVE SALARIES</v>
      </c>
      <c r="C192" s="11"/>
      <c r="D192" s="6">
        <v>10717.14</v>
      </c>
      <c r="E192" s="2"/>
      <c r="F192" s="7">
        <f t="shared" si="35"/>
        <v>7.6149319411114632E-3</v>
      </c>
      <c r="G192" s="2"/>
      <c r="H192" s="6">
        <v>9884.75</v>
      </c>
      <c r="I192" s="2"/>
      <c r="J192" s="7">
        <f t="shared" si="36"/>
        <v>7.0935799403957743E-3</v>
      </c>
      <c r="K192" s="2"/>
      <c r="L192" s="6">
        <f t="shared" si="37"/>
        <v>832.38999999999942</v>
      </c>
      <c r="M192" s="2"/>
      <c r="N192" s="7">
        <f t="shared" si="38"/>
        <v>8.420951465641513E-2</v>
      </c>
      <c r="O192" s="11"/>
      <c r="P192" s="6">
        <v>33758.700000000004</v>
      </c>
      <c r="Q192" s="2"/>
      <c r="R192" s="7">
        <f t="shared" si="39"/>
        <v>6.3287498877920628E-3</v>
      </c>
      <c r="S192" s="2"/>
      <c r="T192" s="6">
        <v>33295.75</v>
      </c>
      <c r="U192" s="2"/>
      <c r="V192" s="7">
        <f t="shared" si="40"/>
        <v>5.9994449931153717E-3</v>
      </c>
      <c r="W192" s="2"/>
      <c r="X192" s="6">
        <f t="shared" si="41"/>
        <v>462.95000000000437</v>
      </c>
      <c r="Y192" s="2"/>
      <c r="Z192" s="7">
        <f t="shared" si="42"/>
        <v>1.3904176959521992E-2</v>
      </c>
    </row>
    <row r="193" spans="1:26" s="24" customFormat="1" hidden="1" outlineLevel="2" x14ac:dyDescent="0.25">
      <c r="A193" s="28"/>
      <c r="B193" s="11" t="str">
        <f>CONCATENATE("          ", "6002", " - ", "STAFF SALARIES")</f>
        <v xml:space="preserve">          6002 - STAFF SALARIES</v>
      </c>
      <c r="C193" s="11"/>
      <c r="D193" s="6">
        <v>62140.639999999999</v>
      </c>
      <c r="E193" s="2"/>
      <c r="F193" s="7">
        <f t="shared" si="35"/>
        <v>4.4153267044856059E-2</v>
      </c>
      <c r="G193" s="2"/>
      <c r="H193" s="6">
        <v>55111.61</v>
      </c>
      <c r="I193" s="2"/>
      <c r="J193" s="7">
        <f t="shared" si="36"/>
        <v>3.9549671077054573E-2</v>
      </c>
      <c r="K193" s="2"/>
      <c r="L193" s="6">
        <f t="shared" si="37"/>
        <v>7029.0299999999988</v>
      </c>
      <c r="M193" s="2"/>
      <c r="N193" s="7">
        <f t="shared" si="38"/>
        <v>0.12754172850330445</v>
      </c>
      <c r="O193" s="11"/>
      <c r="P193" s="6">
        <v>188552.8</v>
      </c>
      <c r="Q193" s="2"/>
      <c r="R193" s="7">
        <f t="shared" si="39"/>
        <v>3.5348029155236403E-2</v>
      </c>
      <c r="S193" s="2"/>
      <c r="T193" s="6">
        <v>175065.44</v>
      </c>
      <c r="U193" s="2"/>
      <c r="V193" s="7">
        <f t="shared" si="40"/>
        <v>3.1544430669846434E-2</v>
      </c>
      <c r="W193" s="2"/>
      <c r="X193" s="6">
        <f t="shared" si="41"/>
        <v>13487.359999999986</v>
      </c>
      <c r="Y193" s="2"/>
      <c r="Z193" s="7">
        <f t="shared" si="42"/>
        <v>7.7041819333387482E-2</v>
      </c>
    </row>
    <row r="194" spans="1:26" s="24" customFormat="1" hidden="1" outlineLevel="2" x14ac:dyDescent="0.25">
      <c r="A194" s="28"/>
      <c r="B194" s="11" t="str">
        <f>CONCATENATE("          ", "6004", " - ", "STAFF HOURLY")</f>
        <v xml:space="preserve">          6004 - STAFF HOURLY</v>
      </c>
      <c r="C194" s="11"/>
      <c r="D194" s="6">
        <v>1265.96</v>
      </c>
      <c r="E194" s="2"/>
      <c r="F194" s="7">
        <f t="shared" si="35"/>
        <v>8.9951229900602848E-4</v>
      </c>
      <c r="G194" s="2"/>
      <c r="H194" s="6">
        <v>6196.2</v>
      </c>
      <c r="I194" s="2"/>
      <c r="J194" s="7">
        <f t="shared" si="36"/>
        <v>4.4465707303351426E-3</v>
      </c>
      <c r="K194" s="2"/>
      <c r="L194" s="6">
        <f t="shared" si="37"/>
        <v>-4930.24</v>
      </c>
      <c r="M194" s="2"/>
      <c r="N194" s="7">
        <f t="shared" si="38"/>
        <v>-0.79568767954552788</v>
      </c>
      <c r="O194" s="11"/>
      <c r="P194" s="6">
        <v>6102.21</v>
      </c>
      <c r="Q194" s="2"/>
      <c r="R194" s="7">
        <f t="shared" si="39"/>
        <v>1.1439824653432626E-3</v>
      </c>
      <c r="S194" s="2"/>
      <c r="T194" s="6">
        <v>17597.710000000003</v>
      </c>
      <c r="U194" s="2"/>
      <c r="V194" s="7">
        <f t="shared" si="40"/>
        <v>3.170869950362924E-3</v>
      </c>
      <c r="W194" s="2"/>
      <c r="X194" s="6">
        <f t="shared" si="41"/>
        <v>-11495.500000000004</v>
      </c>
      <c r="Y194" s="2"/>
      <c r="Z194" s="7">
        <f t="shared" si="42"/>
        <v>-0.65323840431510705</v>
      </c>
    </row>
    <row r="195" spans="1:26" s="24" customFormat="1" hidden="1" outlineLevel="2" x14ac:dyDescent="0.25">
      <c r="A195" s="28"/>
      <c r="B195" s="11" t="str">
        <f>CONCATENATE("          ", "6005", " - ", "TEMPORARY WAGES-HOURLY")</f>
        <v xml:space="preserve">          6005 - TEMPORARY WAGES-HOURLY</v>
      </c>
      <c r="C195" s="11"/>
      <c r="D195" s="6">
        <v>20170.329999999998</v>
      </c>
      <c r="E195" s="2"/>
      <c r="F195" s="7">
        <f t="shared" si="35"/>
        <v>1.4331779763981693E-2</v>
      </c>
      <c r="G195" s="2"/>
      <c r="H195" s="6">
        <v>24971.119999999999</v>
      </c>
      <c r="I195" s="2"/>
      <c r="J195" s="7">
        <f t="shared" si="36"/>
        <v>1.7919991494090969E-2</v>
      </c>
      <c r="K195" s="2"/>
      <c r="L195" s="6">
        <f t="shared" si="37"/>
        <v>-4800.7900000000009</v>
      </c>
      <c r="M195" s="2"/>
      <c r="N195" s="7">
        <f t="shared" si="38"/>
        <v>-0.19225369146437971</v>
      </c>
      <c r="O195" s="11"/>
      <c r="P195" s="6">
        <v>60183.91</v>
      </c>
      <c r="Q195" s="2"/>
      <c r="R195" s="7">
        <f t="shared" si="39"/>
        <v>1.1282689015257922E-2</v>
      </c>
      <c r="S195" s="2"/>
      <c r="T195" s="6">
        <v>61520.07</v>
      </c>
      <c r="U195" s="2"/>
      <c r="V195" s="7">
        <f t="shared" si="40"/>
        <v>1.1085086713397571E-2</v>
      </c>
      <c r="W195" s="2"/>
      <c r="X195" s="6">
        <f t="shared" si="41"/>
        <v>-1336.1599999999962</v>
      </c>
      <c r="Y195" s="2"/>
      <c r="Z195" s="7">
        <f t="shared" si="42"/>
        <v>-2.1719091021840452E-2</v>
      </c>
    </row>
    <row r="196" spans="1:26" s="24" customFormat="1" hidden="1" outlineLevel="2" x14ac:dyDescent="0.25">
      <c r="A196" s="28"/>
      <c r="B196" s="11" t="str">
        <f>CONCATENATE("          ", "6006", " - ", "TEMPORARY PART TIME")</f>
        <v xml:space="preserve">          6006 - TEMPORARY PART TIME</v>
      </c>
      <c r="C196" s="11"/>
      <c r="D196" s="6">
        <v>8044.72</v>
      </c>
      <c r="E196" s="2"/>
      <c r="F196" s="7">
        <f t="shared" si="35"/>
        <v>5.7160767971024184E-3</v>
      </c>
      <c r="G196" s="2"/>
      <c r="H196" s="6">
        <v>11137.76</v>
      </c>
      <c r="I196" s="2"/>
      <c r="J196" s="7">
        <f t="shared" si="36"/>
        <v>7.9927758331715462E-3</v>
      </c>
      <c r="K196" s="2"/>
      <c r="L196" s="6">
        <f t="shared" si="37"/>
        <v>-3093.04</v>
      </c>
      <c r="M196" s="2"/>
      <c r="N196" s="7">
        <f t="shared" si="38"/>
        <v>-0.27770754622114319</v>
      </c>
      <c r="O196" s="11"/>
      <c r="P196" s="6">
        <v>19270.54</v>
      </c>
      <c r="Q196" s="2"/>
      <c r="R196" s="7">
        <f t="shared" si="39"/>
        <v>3.6126517864340881E-3</v>
      </c>
      <c r="S196" s="2"/>
      <c r="T196" s="6">
        <v>30626.05</v>
      </c>
      <c r="U196" s="2"/>
      <c r="V196" s="7">
        <f t="shared" si="40"/>
        <v>5.5184010671452365E-3</v>
      </c>
      <c r="W196" s="2"/>
      <c r="X196" s="6">
        <f t="shared" si="41"/>
        <v>-11355.509999999998</v>
      </c>
      <c r="Y196" s="2"/>
      <c r="Z196" s="7">
        <f t="shared" si="42"/>
        <v>-0.37077945082699199</v>
      </c>
    </row>
    <row r="197" spans="1:26" s="24" customFormat="1" hidden="1" outlineLevel="2" x14ac:dyDescent="0.25">
      <c r="A197" s="28"/>
      <c r="B197" s="11" t="str">
        <f>CONCATENATE("          ", "6007", " - ", "STUDENT HOURLY")</f>
        <v xml:space="preserve">          6007 - STUDENT HOURLY</v>
      </c>
      <c r="C197" s="11"/>
      <c r="D197" s="6">
        <v>78682.31</v>
      </c>
      <c r="E197" s="2"/>
      <c r="F197" s="7">
        <f t="shared" si="35"/>
        <v>5.5906747100386289E-2</v>
      </c>
      <c r="G197" s="2"/>
      <c r="H197" s="6">
        <v>64640.37</v>
      </c>
      <c r="I197" s="2"/>
      <c r="J197" s="7">
        <f t="shared" si="36"/>
        <v>4.6387782389211749E-2</v>
      </c>
      <c r="K197" s="2"/>
      <c r="L197" s="6">
        <f t="shared" si="37"/>
        <v>14041.939999999995</v>
      </c>
      <c r="M197" s="2"/>
      <c r="N197" s="7">
        <f t="shared" si="38"/>
        <v>0.21723173923664105</v>
      </c>
      <c r="O197" s="11"/>
      <c r="P197" s="6">
        <v>282611.20000000001</v>
      </c>
      <c r="Q197" s="2"/>
      <c r="R197" s="7">
        <f t="shared" si="39"/>
        <v>5.2981175231533804E-2</v>
      </c>
      <c r="S197" s="2"/>
      <c r="T197" s="6">
        <v>253577.27000000002</v>
      </c>
      <c r="U197" s="2"/>
      <c r="V197" s="7">
        <f t="shared" si="40"/>
        <v>4.5691203317821789E-2</v>
      </c>
      <c r="W197" s="2"/>
      <c r="X197" s="6">
        <f t="shared" si="41"/>
        <v>29033.929999999993</v>
      </c>
      <c r="Y197" s="2"/>
      <c r="Z197" s="7">
        <f t="shared" si="42"/>
        <v>0.11449736800147739</v>
      </c>
    </row>
    <row r="198" spans="1:26" s="24" customFormat="1" hidden="1" outlineLevel="2" x14ac:dyDescent="0.25">
      <c r="A198" s="28"/>
      <c r="B198" s="11" t="str">
        <f>CONCATENATE("          ", "6008", " - ", "STUDENT HOURLY-FICA EXEMPT")</f>
        <v xml:space="preserve">          6008 - STUDENT HOURLY-FICA EXEMPT</v>
      </c>
      <c r="C198" s="11"/>
      <c r="D198" s="6">
        <v>1662</v>
      </c>
      <c r="E198" s="2"/>
      <c r="F198" s="7">
        <f t="shared" si="35"/>
        <v>1.1809136473095669E-3</v>
      </c>
      <c r="G198" s="2"/>
      <c r="H198" s="6">
        <v>2890.25</v>
      </c>
      <c r="I198" s="2"/>
      <c r="J198" s="7">
        <f t="shared" si="36"/>
        <v>2.0741262472727066E-3</v>
      </c>
      <c r="K198" s="2"/>
      <c r="L198" s="6">
        <f t="shared" si="37"/>
        <v>-1228.25</v>
      </c>
      <c r="M198" s="2"/>
      <c r="N198" s="7">
        <f t="shared" si="38"/>
        <v>-0.42496323847418044</v>
      </c>
      <c r="O198" s="11"/>
      <c r="P198" s="6">
        <v>3624</v>
      </c>
      <c r="Q198" s="2"/>
      <c r="R198" s="7">
        <f t="shared" si="39"/>
        <v>6.7939196691100168E-4</v>
      </c>
      <c r="S198" s="2"/>
      <c r="T198" s="6">
        <v>7449.75</v>
      </c>
      <c r="U198" s="2"/>
      <c r="V198" s="7">
        <f t="shared" si="40"/>
        <v>1.342344453495153E-3</v>
      </c>
      <c r="W198" s="2"/>
      <c r="X198" s="6">
        <f t="shared" si="41"/>
        <v>-3825.75</v>
      </c>
      <c r="Y198" s="2"/>
      <c r="Z198" s="7">
        <f t="shared" si="42"/>
        <v>-0.51354072284304841</v>
      </c>
    </row>
    <row r="199" spans="1:26" s="29" customFormat="1" outlineLevel="1" collapsed="1" x14ac:dyDescent="0.25">
      <c r="A199" s="27"/>
      <c r="B199" s="14" t="str">
        <f>CONCATENATE("     ","Advertising/Promo                                 ")</f>
        <v xml:space="preserve">     Advertising/Promo                                 </v>
      </c>
      <c r="C199" s="14"/>
      <c r="D199" s="1">
        <f>SUM(OSRRefD22_2x_0)</f>
        <v>-84.58</v>
      </c>
      <c r="E199" s="1"/>
      <c r="F199" s="5">
        <f t="shared" ref="F199:F207" si="43">IF(D$12=0,0,D199/D$12)</f>
        <v>-6.0097278152492884E-5</v>
      </c>
      <c r="G199" s="1"/>
      <c r="H199" s="1">
        <f>SUM(OSRRefH22_2x_0)</f>
        <v>3518.04</v>
      </c>
      <c r="I199" s="1"/>
      <c r="J199" s="5">
        <f t="shared" ref="J199:J207" si="44">IF(H$12=0,0,H199/H$12)</f>
        <v>2.5246463464943425E-3</v>
      </c>
      <c r="K199" s="1"/>
      <c r="L199" s="1">
        <f t="shared" ref="L199:L207" si="45">+D199-H199</f>
        <v>-3602.62</v>
      </c>
      <c r="M199" s="1"/>
      <c r="N199" s="5">
        <f t="shared" ref="N199:N207" si="46">IF(H199=0,0,L199/H199)</f>
        <v>-1.0240417960000454</v>
      </c>
      <c r="O199" s="14"/>
      <c r="P199" s="1">
        <f>SUM(OSRRefP22_2x_0)</f>
        <v>7808.08</v>
      </c>
      <c r="Q199" s="1"/>
      <c r="R199" s="5">
        <f t="shared" ref="R199:R207" si="47">IF(P$12=0,0,P199/P$12)</f>
        <v>1.4637822375823549E-3</v>
      </c>
      <c r="S199" s="1"/>
      <c r="T199" s="1">
        <f>SUM(OSRRefT22_2x_0)</f>
        <v>12456.65</v>
      </c>
      <c r="U199" s="1"/>
      <c r="V199" s="5">
        <f t="shared" ref="V199:V207" si="48">IF(T$12=0,0,T199/T$12)</f>
        <v>2.2445202908326317E-3</v>
      </c>
      <c r="W199" s="1"/>
      <c r="X199" s="1">
        <f t="shared" ref="X199:X207" si="49">+P199-T199</f>
        <v>-4648.57</v>
      </c>
      <c r="Y199" s="1"/>
      <c r="Z199" s="5">
        <f t="shared" ref="Z199:Z207" si="50">IF(T199=0,0,X199/T199)</f>
        <v>-0.37317978750306058</v>
      </c>
    </row>
    <row r="200" spans="1:26" s="24" customFormat="1" hidden="1" outlineLevel="2" x14ac:dyDescent="0.25">
      <c r="A200" s="28"/>
      <c r="B200" s="11" t="str">
        <f>CONCATENATE("          ", "6362", " - ", "ADVERTISING EXPENSE")</f>
        <v xml:space="preserve">          6362 - ADVERTISING EXPENSE</v>
      </c>
      <c r="C200" s="11"/>
      <c r="D200" s="6">
        <v>-84.58</v>
      </c>
      <c r="E200" s="2"/>
      <c r="F200" s="7">
        <f t="shared" si="43"/>
        <v>-6.0097278152492884E-5</v>
      </c>
      <c r="G200" s="2"/>
      <c r="H200" s="6">
        <v>3518.04</v>
      </c>
      <c r="I200" s="2"/>
      <c r="J200" s="7">
        <f t="shared" si="44"/>
        <v>2.5246463464943425E-3</v>
      </c>
      <c r="K200" s="2"/>
      <c r="L200" s="6">
        <f t="shared" si="45"/>
        <v>-3602.62</v>
      </c>
      <c r="M200" s="2"/>
      <c r="N200" s="7">
        <f t="shared" si="46"/>
        <v>-1.0240417960000454</v>
      </c>
      <c r="O200" s="11"/>
      <c r="P200" s="6">
        <v>7808.08</v>
      </c>
      <c r="Q200" s="2"/>
      <c r="R200" s="7">
        <f t="shared" si="47"/>
        <v>1.4637822375823549E-3</v>
      </c>
      <c r="S200" s="2"/>
      <c r="T200" s="6">
        <v>12456.65</v>
      </c>
      <c r="U200" s="2"/>
      <c r="V200" s="7">
        <f t="shared" si="48"/>
        <v>2.2445202908326317E-3</v>
      </c>
      <c r="W200" s="2"/>
      <c r="X200" s="6">
        <f t="shared" si="49"/>
        <v>-4648.57</v>
      </c>
      <c r="Y200" s="2"/>
      <c r="Z200" s="7">
        <f t="shared" si="50"/>
        <v>-0.37317978750306058</v>
      </c>
    </row>
    <row r="201" spans="1:26" s="29" customFormat="1" outlineLevel="1" collapsed="1" x14ac:dyDescent="0.25">
      <c r="A201" s="27"/>
      <c r="B201" s="14" t="str">
        <f>CONCATENATE("     ","Bad Debts/Over/Short                              ")</f>
        <v xml:space="preserve">     Bad Debts/Over/Short                              </v>
      </c>
      <c r="C201" s="14"/>
      <c r="D201" s="1">
        <f>SUM(OSRRefD22_3x_0)</f>
        <v>-82.82</v>
      </c>
      <c r="E201" s="1"/>
      <c r="F201" s="5">
        <f t="shared" si="43"/>
        <v>-5.8846731811178292E-5</v>
      </c>
      <c r="G201" s="1"/>
      <c r="H201" s="1">
        <f>SUM(OSRRefH22_3x_0)</f>
        <v>53.43</v>
      </c>
      <c r="I201" s="1"/>
      <c r="J201" s="5">
        <f t="shared" si="44"/>
        <v>3.8342899538718354E-5</v>
      </c>
      <c r="K201" s="1"/>
      <c r="L201" s="1">
        <f t="shared" si="45"/>
        <v>-136.25</v>
      </c>
      <c r="M201" s="1"/>
      <c r="N201" s="5">
        <f t="shared" si="46"/>
        <v>-2.550065506269886</v>
      </c>
      <c r="O201" s="14"/>
      <c r="P201" s="1">
        <f>SUM(OSRRefP22_3x_0)</f>
        <v>-165.15</v>
      </c>
      <c r="Q201" s="1"/>
      <c r="R201" s="5">
        <f t="shared" si="47"/>
        <v>-3.0960701803353185E-5</v>
      </c>
      <c r="S201" s="1"/>
      <c r="T201" s="1">
        <f>SUM(OSRRefT22_3x_0)</f>
        <v>92.72</v>
      </c>
      <c r="U201" s="1"/>
      <c r="V201" s="5">
        <f t="shared" si="48"/>
        <v>1.6706893214949574E-5</v>
      </c>
      <c r="W201" s="1"/>
      <c r="X201" s="1">
        <f t="shared" si="49"/>
        <v>-257.87</v>
      </c>
      <c r="Y201" s="1"/>
      <c r="Z201" s="5">
        <f t="shared" si="50"/>
        <v>-2.7811691113028472</v>
      </c>
    </row>
    <row r="202" spans="1:26" s="24" customFormat="1" hidden="1" outlineLevel="2" x14ac:dyDescent="0.25">
      <c r="A202" s="28"/>
      <c r="B202" s="11" t="str">
        <f>CONCATENATE("          ", "6272", " - ", "CASH (OVER/SHORT)")</f>
        <v xml:space="preserve">          6272 - CASH (OVER/SHORT)</v>
      </c>
      <c r="C202" s="11"/>
      <c r="D202" s="6">
        <v>-82.82</v>
      </c>
      <c r="E202" s="2"/>
      <c r="F202" s="7">
        <f t="shared" si="43"/>
        <v>-5.8846731811178292E-5</v>
      </c>
      <c r="G202" s="2"/>
      <c r="H202" s="6">
        <v>53.43</v>
      </c>
      <c r="I202" s="2"/>
      <c r="J202" s="7">
        <f t="shared" si="44"/>
        <v>3.8342899538718354E-5</v>
      </c>
      <c r="K202" s="2"/>
      <c r="L202" s="6">
        <f t="shared" si="45"/>
        <v>-136.25</v>
      </c>
      <c r="M202" s="2"/>
      <c r="N202" s="7">
        <f t="shared" si="46"/>
        <v>-2.550065506269886</v>
      </c>
      <c r="O202" s="11"/>
      <c r="P202" s="6">
        <v>-165.15</v>
      </c>
      <c r="Q202" s="2"/>
      <c r="R202" s="7">
        <f t="shared" si="47"/>
        <v>-3.0960701803353185E-5</v>
      </c>
      <c r="S202" s="2"/>
      <c r="T202" s="6">
        <v>92.72</v>
      </c>
      <c r="U202" s="2"/>
      <c r="V202" s="7">
        <f t="shared" si="48"/>
        <v>1.6706893214949574E-5</v>
      </c>
      <c r="W202" s="2"/>
      <c r="X202" s="6">
        <f t="shared" si="49"/>
        <v>-257.87</v>
      </c>
      <c r="Y202" s="2"/>
      <c r="Z202" s="7">
        <f t="shared" si="50"/>
        <v>-2.7811691113028472</v>
      </c>
    </row>
    <row r="203" spans="1:26" s="29" customFormat="1" outlineLevel="1" collapsed="1" x14ac:dyDescent="0.25">
      <c r="A203" s="27"/>
      <c r="B203" s="14" t="str">
        <f>CONCATENATE("     ","Bank/card Fees                                    ")</f>
        <v xml:space="preserve">     Bank/card Fees                                    </v>
      </c>
      <c r="C203" s="14"/>
      <c r="D203" s="1">
        <f>SUM(OSRRefD22_4x_0)</f>
        <v>20801.550000000003</v>
      </c>
      <c r="E203" s="1"/>
      <c r="F203" s="5">
        <f t="shared" si="43"/>
        <v>1.4780285367143396E-2</v>
      </c>
      <c r="G203" s="1"/>
      <c r="H203" s="1">
        <f>SUM(OSRRefH22_4x_0)</f>
        <v>24922.080000000002</v>
      </c>
      <c r="I203" s="1"/>
      <c r="J203" s="5">
        <f t="shared" si="44"/>
        <v>1.7884798984388956E-2</v>
      </c>
      <c r="K203" s="1"/>
      <c r="L203" s="1">
        <f t="shared" si="45"/>
        <v>-4120.5299999999988</v>
      </c>
      <c r="M203" s="1"/>
      <c r="N203" s="5">
        <f t="shared" si="46"/>
        <v>-0.16533652086824208</v>
      </c>
      <c r="O203" s="14"/>
      <c r="P203" s="1">
        <f>SUM(OSRRefP22_4x_0)</f>
        <v>60257.06</v>
      </c>
      <c r="Q203" s="1"/>
      <c r="R203" s="5">
        <f t="shared" si="47"/>
        <v>1.1296402459623135E-2</v>
      </c>
      <c r="S203" s="1"/>
      <c r="T203" s="1">
        <f>SUM(OSRRefT22_4x_0)</f>
        <v>60959.33</v>
      </c>
      <c r="U203" s="1"/>
      <c r="V203" s="5">
        <f t="shared" si="48"/>
        <v>1.0984048929733304E-2</v>
      </c>
      <c r="W203" s="1"/>
      <c r="X203" s="1">
        <f t="shared" si="49"/>
        <v>-702.27000000000407</v>
      </c>
      <c r="Y203" s="1"/>
      <c r="Z203" s="5">
        <f t="shared" si="50"/>
        <v>-1.1520303782866446E-2</v>
      </c>
    </row>
    <row r="204" spans="1:26" s="24" customFormat="1" hidden="1" outlineLevel="2" x14ac:dyDescent="0.25">
      <c r="A204" s="28"/>
      <c r="B204" s="11" t="str">
        <f>CONCATENATE("          ", "6381", " - ", "BANK/CREDIT CARD FEES")</f>
        <v xml:space="preserve">          6381 - BANK/CREDIT CARD FEES</v>
      </c>
      <c r="C204" s="11"/>
      <c r="D204" s="6">
        <v>20801.550000000003</v>
      </c>
      <c r="E204" s="2"/>
      <c r="F204" s="7">
        <f t="shared" si="43"/>
        <v>1.4780285367143396E-2</v>
      </c>
      <c r="G204" s="2"/>
      <c r="H204" s="6">
        <v>24922.080000000002</v>
      </c>
      <c r="I204" s="2"/>
      <c r="J204" s="7">
        <f t="shared" si="44"/>
        <v>1.7884798984388956E-2</v>
      </c>
      <c r="K204" s="2"/>
      <c r="L204" s="6">
        <f t="shared" si="45"/>
        <v>-4120.5299999999988</v>
      </c>
      <c r="M204" s="2"/>
      <c r="N204" s="7">
        <f t="shared" si="46"/>
        <v>-0.16533652086824208</v>
      </c>
      <c r="O204" s="11"/>
      <c r="P204" s="6">
        <v>60257.06</v>
      </c>
      <c r="Q204" s="2"/>
      <c r="R204" s="7">
        <f t="shared" si="47"/>
        <v>1.1296402459623135E-2</v>
      </c>
      <c r="S204" s="2"/>
      <c r="T204" s="6">
        <v>60959.33</v>
      </c>
      <c r="U204" s="2"/>
      <c r="V204" s="7">
        <f t="shared" si="48"/>
        <v>1.0984048929733304E-2</v>
      </c>
      <c r="W204" s="2"/>
      <c r="X204" s="6">
        <f t="shared" si="49"/>
        <v>-702.27000000000407</v>
      </c>
      <c r="Y204" s="2"/>
      <c r="Z204" s="7">
        <f t="shared" si="50"/>
        <v>-1.1520303782866446E-2</v>
      </c>
    </row>
    <row r="205" spans="1:26" s="29" customFormat="1" outlineLevel="1" collapsed="1" x14ac:dyDescent="0.25">
      <c r="A205" s="27"/>
      <c r="B205" s="14" t="str">
        <f>CONCATENATE("     ","Depreciation                                      ")</f>
        <v xml:space="preserve">     Depreciation                                      </v>
      </c>
      <c r="C205" s="14"/>
      <c r="D205" s="1">
        <f>SUM(OSRRefD22_5x_0)</f>
        <v>29887.870000000003</v>
      </c>
      <c r="E205" s="1"/>
      <c r="F205" s="5">
        <f t="shared" si="43"/>
        <v>2.123645822624199E-2</v>
      </c>
      <c r="G205" s="1"/>
      <c r="H205" s="1">
        <f>SUM(OSRRefH22_5x_0)</f>
        <v>29610.510000000002</v>
      </c>
      <c r="I205" s="1"/>
      <c r="J205" s="5">
        <f t="shared" si="44"/>
        <v>2.1249350743406611E-2</v>
      </c>
      <c r="K205" s="1"/>
      <c r="L205" s="1">
        <f t="shared" si="45"/>
        <v>277.36000000000058</v>
      </c>
      <c r="M205" s="1"/>
      <c r="N205" s="5">
        <f t="shared" si="46"/>
        <v>9.366944372116541E-3</v>
      </c>
      <c r="O205" s="14"/>
      <c r="P205" s="1">
        <f>SUM(OSRRefP22_5x_0)</f>
        <v>89663.609999999986</v>
      </c>
      <c r="Q205" s="1"/>
      <c r="R205" s="5">
        <f t="shared" si="47"/>
        <v>1.6809253961987018E-2</v>
      </c>
      <c r="S205" s="1"/>
      <c r="T205" s="1">
        <f>SUM(OSRRefT22_5x_0)</f>
        <v>88831.53</v>
      </c>
      <c r="U205" s="1"/>
      <c r="V205" s="5">
        <f t="shared" si="48"/>
        <v>1.6006243376084871E-2</v>
      </c>
      <c r="W205" s="1"/>
      <c r="X205" s="1">
        <f t="shared" si="49"/>
        <v>832.07999999998719</v>
      </c>
      <c r="Y205" s="1"/>
      <c r="Z205" s="5">
        <f t="shared" si="50"/>
        <v>9.366944372116378E-3</v>
      </c>
    </row>
    <row r="206" spans="1:26" s="24" customFormat="1" hidden="1" outlineLevel="2" x14ac:dyDescent="0.25">
      <c r="A206" s="28"/>
      <c r="B206" s="11" t="str">
        <f>CONCATENATE("          ", "6321", " - ", "BUILDING DEPRECIATION")</f>
        <v xml:space="preserve">          6321 - BUILDING DEPRECIATION</v>
      </c>
      <c r="C206" s="11"/>
      <c r="D206" s="6">
        <v>16396.52</v>
      </c>
      <c r="E206" s="2"/>
      <c r="F206" s="7">
        <f t="shared" si="43"/>
        <v>1.1650345509256475E-2</v>
      </c>
      <c r="G206" s="2"/>
      <c r="H206" s="6">
        <v>16453.38</v>
      </c>
      <c r="I206" s="2"/>
      <c r="J206" s="7">
        <f t="shared" si="44"/>
        <v>1.1807417114212199E-2</v>
      </c>
      <c r="K206" s="2"/>
      <c r="L206" s="6">
        <f t="shared" si="45"/>
        <v>-56.860000000000582</v>
      </c>
      <c r="M206" s="2"/>
      <c r="N206" s="7">
        <f t="shared" si="46"/>
        <v>-3.4558248821822978E-3</v>
      </c>
      <c r="O206" s="11"/>
      <c r="P206" s="6">
        <v>49189.56</v>
      </c>
      <c r="Q206" s="2"/>
      <c r="R206" s="7">
        <f t="shared" si="47"/>
        <v>9.2215761368340879E-3</v>
      </c>
      <c r="S206" s="2"/>
      <c r="T206" s="6">
        <v>49360.140000000007</v>
      </c>
      <c r="U206" s="2"/>
      <c r="V206" s="7">
        <f t="shared" si="48"/>
        <v>8.8940313638369399E-3</v>
      </c>
      <c r="W206" s="2"/>
      <c r="X206" s="6">
        <f t="shared" si="49"/>
        <v>-170.58000000000902</v>
      </c>
      <c r="Y206" s="2"/>
      <c r="Z206" s="7">
        <f t="shared" si="50"/>
        <v>-3.4558248821824453E-3</v>
      </c>
    </row>
    <row r="207" spans="1:26" s="24" customFormat="1" hidden="1" outlineLevel="2" x14ac:dyDescent="0.25">
      <c r="A207" s="28"/>
      <c r="B207" s="11" t="str">
        <f>CONCATENATE("          ", "6322", " - ", "EQUIPMENT DEPRECIATION EXPENSE")</f>
        <v xml:space="preserve">          6322 - EQUIPMENT DEPRECIATION EXPENSE</v>
      </c>
      <c r="C207" s="11"/>
      <c r="D207" s="6">
        <v>13491.35</v>
      </c>
      <c r="E207" s="2"/>
      <c r="F207" s="7">
        <f t="shared" si="43"/>
        <v>9.5861127169855152E-3</v>
      </c>
      <c r="G207" s="2"/>
      <c r="H207" s="6">
        <v>13157.13</v>
      </c>
      <c r="I207" s="2"/>
      <c r="J207" s="7">
        <f t="shared" si="44"/>
        <v>9.4419336291944114E-3</v>
      </c>
      <c r="K207" s="2"/>
      <c r="L207" s="6">
        <f t="shared" si="45"/>
        <v>334.22000000000116</v>
      </c>
      <c r="M207" s="2"/>
      <c r="N207" s="7">
        <f t="shared" si="46"/>
        <v>2.5402196375653444E-2</v>
      </c>
      <c r="O207" s="11"/>
      <c r="P207" s="6">
        <v>40474.049999999996</v>
      </c>
      <c r="Q207" s="2"/>
      <c r="R207" s="7">
        <f t="shared" si="47"/>
        <v>7.5876778251529322E-3</v>
      </c>
      <c r="S207" s="2"/>
      <c r="T207" s="6">
        <v>39471.39</v>
      </c>
      <c r="U207" s="2"/>
      <c r="V207" s="7">
        <f t="shared" si="48"/>
        <v>7.1122120122479341E-3</v>
      </c>
      <c r="W207" s="2"/>
      <c r="X207" s="6">
        <f t="shared" si="49"/>
        <v>1002.6599999999962</v>
      </c>
      <c r="Y207" s="2"/>
      <c r="Z207" s="7">
        <f t="shared" si="50"/>
        <v>2.5402196375653257E-2</v>
      </c>
    </row>
    <row r="208" spans="1:26" s="29" customFormat="1" outlineLevel="1" collapsed="1" x14ac:dyDescent="0.25">
      <c r="A208" s="27"/>
      <c r="B208" s="14" t="str">
        <f>CONCATENATE("     ","Discounts and Markdowns                           ")</f>
        <v xml:space="preserve">     Discounts and Markdowns                           </v>
      </c>
      <c r="C208" s="14"/>
      <c r="D208" s="1">
        <f>SUM(OSRRefD22_6x_0)</f>
        <v>1925.6699999999998</v>
      </c>
      <c r="E208" s="1"/>
      <c r="F208" s="5">
        <f t="shared" ref="F208:F210" si="51">IF(D$12=0,0,D208/D$12)</f>
        <v>1.3682611210677578E-3</v>
      </c>
      <c r="G208" s="1"/>
      <c r="H208" s="1">
        <f>SUM(OSRRefH22_6x_0)</f>
        <v>34847.819999999992</v>
      </c>
      <c r="I208" s="1"/>
      <c r="J208" s="5">
        <f t="shared" ref="J208:J210" si="52">IF(H$12=0,0,H208/H$12)</f>
        <v>2.5007794523738348E-2</v>
      </c>
      <c r="K208" s="1"/>
      <c r="L208" s="1">
        <f t="shared" ref="L208:L210" si="53">+D208-H208</f>
        <v>-32922.149999999994</v>
      </c>
      <c r="M208" s="1"/>
      <c r="N208" s="5">
        <f t="shared" ref="N208:N210" si="54">IF(H208=0,0,L208/H208)</f>
        <v>-0.94474058922480664</v>
      </c>
      <c r="O208" s="14"/>
      <c r="P208" s="1">
        <f>SUM(OSRRefP22_6x_0)</f>
        <v>131028.24999999999</v>
      </c>
      <c r="Q208" s="1"/>
      <c r="R208" s="5">
        <f t="shared" ref="R208:R210" si="55">IF(P$12=0,0,P208/P$12)</f>
        <v>2.4563890863246812E-2</v>
      </c>
      <c r="S208" s="1"/>
      <c r="T208" s="1">
        <f>SUM(OSRRefT22_6x_0)</f>
        <v>140450.60999999999</v>
      </c>
      <c r="U208" s="1"/>
      <c r="V208" s="5">
        <f t="shared" ref="V208:V210" si="56">IF(T$12=0,0,T208/T$12)</f>
        <v>2.5307305255010012E-2</v>
      </c>
      <c r="W208" s="1"/>
      <c r="X208" s="1">
        <f t="shared" ref="X208:X210" si="57">+P208-T208</f>
        <v>-9422.36</v>
      </c>
      <c r="Y208" s="1"/>
      <c r="Z208" s="5">
        <f t="shared" ref="Z208:Z210" si="58">IF(T208=0,0,X208/T208)</f>
        <v>-6.7086643482716105E-2</v>
      </c>
    </row>
    <row r="209" spans="1:26" s="24" customFormat="1" hidden="1" outlineLevel="2" x14ac:dyDescent="0.25">
      <c r="A209" s="28"/>
      <c r="B209" s="11" t="str">
        <f>CONCATENATE("          ", "6382", " - ", "DISCOUNTS/MARK DOWNS")</f>
        <v xml:space="preserve">          6382 - DISCOUNTS/MARK DOWNS</v>
      </c>
      <c r="C209" s="11"/>
      <c r="D209" s="6">
        <v>2323.9699999999998</v>
      </c>
      <c r="E209" s="2"/>
      <c r="F209" s="7">
        <f t="shared" si="51"/>
        <v>1.6512682845595751E-3</v>
      </c>
      <c r="G209" s="2"/>
      <c r="H209" s="6">
        <v>35926.049999999996</v>
      </c>
      <c r="I209" s="2"/>
      <c r="J209" s="7">
        <f t="shared" si="52"/>
        <v>2.5781563278550856E-2</v>
      </c>
      <c r="K209" s="2"/>
      <c r="L209" s="6">
        <f t="shared" si="53"/>
        <v>-33602.079999999994</v>
      </c>
      <c r="M209" s="2"/>
      <c r="N209" s="7">
        <f t="shared" si="54"/>
        <v>-0.93531239866336535</v>
      </c>
      <c r="O209" s="11"/>
      <c r="P209" s="6">
        <v>132676.10999999999</v>
      </c>
      <c r="Q209" s="2"/>
      <c r="R209" s="7">
        <f t="shared" si="55"/>
        <v>2.4872815489790402E-2</v>
      </c>
      <c r="S209" s="2"/>
      <c r="T209" s="6">
        <v>142929.47999999998</v>
      </c>
      <c r="U209" s="2"/>
      <c r="V209" s="7">
        <f t="shared" si="56"/>
        <v>2.5753964189260896E-2</v>
      </c>
      <c r="W209" s="2"/>
      <c r="X209" s="6">
        <f t="shared" si="57"/>
        <v>-10253.369999999995</v>
      </c>
      <c r="Y209" s="2"/>
      <c r="Z209" s="7">
        <f t="shared" si="58"/>
        <v>-7.1737265118434604E-2</v>
      </c>
    </row>
    <row r="210" spans="1:26" s="24" customFormat="1" hidden="1" outlineLevel="2" x14ac:dyDescent="0.25">
      <c r="A210" s="28"/>
      <c r="B210" s="11" t="str">
        <f>CONCATENATE("          ", "9175", " - ", "EARNED DISCOUNTS")</f>
        <v xml:space="preserve">          9175 - EARNED DISCOUNTS</v>
      </c>
      <c r="C210" s="11"/>
      <c r="D210" s="6">
        <v>-398.3</v>
      </c>
      <c r="E210" s="2"/>
      <c r="F210" s="7">
        <f t="shared" si="51"/>
        <v>-2.8300716349181741E-4</v>
      </c>
      <c r="G210" s="2"/>
      <c r="H210" s="6">
        <v>-1078.23</v>
      </c>
      <c r="I210" s="2"/>
      <c r="J210" s="7">
        <f t="shared" si="52"/>
        <v>-7.7376875481250773E-4</v>
      </c>
      <c r="K210" s="2"/>
      <c r="L210" s="6">
        <f t="shared" si="53"/>
        <v>679.93000000000006</v>
      </c>
      <c r="M210" s="2"/>
      <c r="N210" s="7">
        <f t="shared" si="54"/>
        <v>-0.63059829535442347</v>
      </c>
      <c r="O210" s="11"/>
      <c r="P210" s="6">
        <v>-1647.86</v>
      </c>
      <c r="Q210" s="2"/>
      <c r="R210" s="7">
        <f t="shared" si="55"/>
        <v>-3.0892462654358809E-4</v>
      </c>
      <c r="S210" s="2"/>
      <c r="T210" s="6">
        <v>-2478.87</v>
      </c>
      <c r="U210" s="2"/>
      <c r="V210" s="7">
        <f t="shared" si="56"/>
        <v>-4.4665893425088488E-4</v>
      </c>
      <c r="W210" s="2"/>
      <c r="X210" s="6">
        <f t="shared" si="57"/>
        <v>831.01</v>
      </c>
      <c r="Y210" s="2"/>
      <c r="Z210" s="7">
        <f t="shared" si="58"/>
        <v>-0.33523742673072815</v>
      </c>
    </row>
    <row r="211" spans="1:26" s="29" customFormat="1" outlineLevel="1" collapsed="1" x14ac:dyDescent="0.25">
      <c r="A211" s="27"/>
      <c r="B211" s="14" t="str">
        <f>CONCATENATE("     ","Donations                                         ")</f>
        <v xml:space="preserve">     Donations                                         </v>
      </c>
      <c r="C211" s="14"/>
      <c r="D211" s="1">
        <f>SUM(OSRRefD22_7x_0)</f>
        <v>1608.36</v>
      </c>
      <c r="E211" s="1"/>
      <c r="F211" s="5">
        <f t="shared" ref="F211:F219" si="59">IF(D$12=0,0,D211/D$12)</f>
        <v>1.1428004054072293E-3</v>
      </c>
      <c r="G211" s="1"/>
      <c r="H211" s="1">
        <f>SUM(OSRRefH22_7x_0)</f>
        <v>1039.92</v>
      </c>
      <c r="I211" s="1"/>
      <c r="J211" s="5">
        <f t="shared" ref="J211:J219" si="60">IF(H$12=0,0,H211/H$12)</f>
        <v>7.4627640067946826E-4</v>
      </c>
      <c r="K211" s="1"/>
      <c r="L211" s="1">
        <f t="shared" ref="L211:L219" si="61">+D211-H211</f>
        <v>568.43999999999983</v>
      </c>
      <c r="M211" s="1"/>
      <c r="N211" s="5">
        <f t="shared" ref="N211:N219" si="62">IF(H211=0,0,L211/H211)</f>
        <v>0.54661897069005283</v>
      </c>
      <c r="O211" s="14"/>
      <c r="P211" s="1">
        <f>SUM(OSRRefP22_7x_0)</f>
        <v>5225.34</v>
      </c>
      <c r="Q211" s="1"/>
      <c r="R211" s="5">
        <f t="shared" ref="R211:R219" si="63">IF(P$12=0,0,P211/P$12)</f>
        <v>9.7959548023695739E-4</v>
      </c>
      <c r="S211" s="1"/>
      <c r="T211" s="1">
        <f>SUM(OSRRefT22_7x_0)</f>
        <v>3335.73</v>
      </c>
      <c r="U211" s="1"/>
      <c r="V211" s="5">
        <f t="shared" ref="V211:V219" si="64">IF(T$12=0,0,T211/T$12)</f>
        <v>6.0105354728110156E-4</v>
      </c>
      <c r="W211" s="1"/>
      <c r="X211" s="1">
        <f t="shared" ref="X211:X219" si="65">+P211-T211</f>
        <v>1889.6100000000001</v>
      </c>
      <c r="Y211" s="1"/>
      <c r="Z211" s="5">
        <f t="shared" ref="Z211:Z219" si="66">IF(T211=0,0,X211/T211)</f>
        <v>0.56647570396884639</v>
      </c>
    </row>
    <row r="212" spans="1:26" s="24" customFormat="1" hidden="1" outlineLevel="2" x14ac:dyDescent="0.25">
      <c r="A212" s="28"/>
      <c r="B212" s="11" t="str">
        <f>CONCATENATE("          ", "6399", " - ", "DONATION-ON CAMPUS")</f>
        <v xml:space="preserve">          6399 - DONATION-ON CAMPUS</v>
      </c>
      <c r="C212" s="11"/>
      <c r="D212" s="6">
        <v>1608.36</v>
      </c>
      <c r="E212" s="2"/>
      <c r="F212" s="7">
        <f t="shared" si="59"/>
        <v>1.1428004054072293E-3</v>
      </c>
      <c r="G212" s="2"/>
      <c r="H212" s="6">
        <v>1039.92</v>
      </c>
      <c r="I212" s="2"/>
      <c r="J212" s="7">
        <f t="shared" si="60"/>
        <v>7.4627640067946826E-4</v>
      </c>
      <c r="K212" s="2"/>
      <c r="L212" s="6">
        <f t="shared" si="61"/>
        <v>568.43999999999983</v>
      </c>
      <c r="M212" s="2"/>
      <c r="N212" s="7">
        <f t="shared" si="62"/>
        <v>0.54661897069005283</v>
      </c>
      <c r="O212" s="11"/>
      <c r="P212" s="6">
        <v>5225.34</v>
      </c>
      <c r="Q212" s="2"/>
      <c r="R212" s="7">
        <f t="shared" si="63"/>
        <v>9.7959548023695739E-4</v>
      </c>
      <c r="S212" s="2"/>
      <c r="T212" s="6">
        <v>3335.73</v>
      </c>
      <c r="U212" s="2"/>
      <c r="V212" s="7">
        <f t="shared" si="64"/>
        <v>6.0105354728110156E-4</v>
      </c>
      <c r="W212" s="2"/>
      <c r="X212" s="6">
        <f t="shared" si="65"/>
        <v>1889.6100000000001</v>
      </c>
      <c r="Y212" s="2"/>
      <c r="Z212" s="7">
        <f t="shared" si="66"/>
        <v>0.56647570396884639</v>
      </c>
    </row>
    <row r="213" spans="1:26" s="29" customFormat="1" outlineLevel="1" collapsed="1" x14ac:dyDescent="0.25">
      <c r="A213" s="27"/>
      <c r="B213" s="14" t="str">
        <f>CONCATENATE("     ","Employees' Appreciation                           ")</f>
        <v xml:space="preserve">     Employees' Appreciation                           </v>
      </c>
      <c r="C213" s="14"/>
      <c r="D213" s="1">
        <f>SUM(OSRRefD22_8x_0)</f>
        <v>134.26</v>
      </c>
      <c r="E213" s="1"/>
      <c r="F213" s="5">
        <f t="shared" si="59"/>
        <v>9.5396790786872704E-5</v>
      </c>
      <c r="G213" s="1"/>
      <c r="H213" s="1">
        <f>SUM(OSRRefH22_8x_0)</f>
        <v>657.2</v>
      </c>
      <c r="I213" s="1"/>
      <c r="J213" s="5">
        <f t="shared" si="60"/>
        <v>4.7162555824154412E-4</v>
      </c>
      <c r="K213" s="1"/>
      <c r="L213" s="1">
        <f t="shared" si="61"/>
        <v>-522.94000000000005</v>
      </c>
      <c r="M213" s="1"/>
      <c r="N213" s="5">
        <f t="shared" si="62"/>
        <v>-0.79570906877662817</v>
      </c>
      <c r="O213" s="14"/>
      <c r="P213" s="1">
        <f>SUM(OSRRefP22_8x_0)</f>
        <v>585.13</v>
      </c>
      <c r="Q213" s="1"/>
      <c r="R213" s="5">
        <f t="shared" si="63"/>
        <v>1.096944320084532E-4</v>
      </c>
      <c r="S213" s="1"/>
      <c r="T213" s="1">
        <f>SUM(OSRRefT22_8x_0)</f>
        <v>1480.25</v>
      </c>
      <c r="U213" s="1"/>
      <c r="V213" s="5">
        <f t="shared" si="64"/>
        <v>2.6672108155121986E-4</v>
      </c>
      <c r="W213" s="1"/>
      <c r="X213" s="1">
        <f t="shared" si="65"/>
        <v>-895.12</v>
      </c>
      <c r="Y213" s="1"/>
      <c r="Z213" s="5">
        <f t="shared" si="66"/>
        <v>-0.60470866407701407</v>
      </c>
    </row>
    <row r="214" spans="1:26" s="24" customFormat="1" hidden="1" outlineLevel="2" x14ac:dyDescent="0.25">
      <c r="A214" s="28"/>
      <c r="B214" s="11" t="str">
        <f>CONCATENATE("          ", "6277", " - ", "EMPLOYEE APPRECIATION")</f>
        <v xml:space="preserve">          6277 - EMPLOYEE APPRECIATION</v>
      </c>
      <c r="C214" s="11"/>
      <c r="D214" s="6">
        <v>134.26</v>
      </c>
      <c r="E214" s="2"/>
      <c r="F214" s="7">
        <f t="shared" si="59"/>
        <v>9.5396790786872704E-5</v>
      </c>
      <c r="G214" s="2"/>
      <c r="H214" s="6">
        <v>657.2</v>
      </c>
      <c r="I214" s="2"/>
      <c r="J214" s="7">
        <f t="shared" si="60"/>
        <v>4.7162555824154412E-4</v>
      </c>
      <c r="K214" s="2"/>
      <c r="L214" s="6">
        <f t="shared" si="61"/>
        <v>-522.94000000000005</v>
      </c>
      <c r="M214" s="2"/>
      <c r="N214" s="7">
        <f t="shared" si="62"/>
        <v>-0.79570906877662817</v>
      </c>
      <c r="O214" s="11"/>
      <c r="P214" s="6">
        <v>585.13</v>
      </c>
      <c r="Q214" s="2"/>
      <c r="R214" s="7">
        <f t="shared" si="63"/>
        <v>1.096944320084532E-4</v>
      </c>
      <c r="S214" s="2"/>
      <c r="T214" s="6">
        <v>1480.25</v>
      </c>
      <c r="U214" s="2"/>
      <c r="V214" s="7">
        <f t="shared" si="64"/>
        <v>2.6672108155121986E-4</v>
      </c>
      <c r="W214" s="2"/>
      <c r="X214" s="6">
        <f t="shared" si="65"/>
        <v>-895.12</v>
      </c>
      <c r="Y214" s="2"/>
      <c r="Z214" s="7">
        <f t="shared" si="66"/>
        <v>-0.60470866407701407</v>
      </c>
    </row>
    <row r="215" spans="1:26" s="29" customFormat="1" outlineLevel="1" collapsed="1" x14ac:dyDescent="0.25">
      <c r="A215" s="27"/>
      <c r="B215" s="14" t="str">
        <f>CONCATENATE("     ","Equipment Rental                                  ")</f>
        <v xml:space="preserve">     Equipment Rental                                  </v>
      </c>
      <c r="C215" s="14"/>
      <c r="D215" s="1">
        <f>SUM(OSRRefD22_9x_0)</f>
        <v>1296.9000000000001</v>
      </c>
      <c r="E215" s="1"/>
      <c r="F215" s="5">
        <f t="shared" si="59"/>
        <v>9.2149633525618376E-4</v>
      </c>
      <c r="G215" s="1"/>
      <c r="H215" s="1">
        <f>SUM(OSRRefH22_9x_0)</f>
        <v>3400.41</v>
      </c>
      <c r="I215" s="1"/>
      <c r="J215" s="5">
        <f t="shared" si="60"/>
        <v>2.4402316867013526E-3</v>
      </c>
      <c r="K215" s="1"/>
      <c r="L215" s="1">
        <f t="shared" si="61"/>
        <v>-2103.5099999999998</v>
      </c>
      <c r="M215" s="1"/>
      <c r="N215" s="5">
        <f t="shared" si="62"/>
        <v>-0.61860481530168421</v>
      </c>
      <c r="O215" s="14"/>
      <c r="P215" s="1">
        <f>SUM(OSRRefP22_9x_0)</f>
        <v>3890.7</v>
      </c>
      <c r="Q215" s="1"/>
      <c r="R215" s="5">
        <f t="shared" si="63"/>
        <v>7.2939026646264742E-4</v>
      </c>
      <c r="S215" s="1"/>
      <c r="T215" s="1">
        <f>SUM(OSRRefT22_9x_0)</f>
        <v>10202.51</v>
      </c>
      <c r="U215" s="1"/>
      <c r="V215" s="5">
        <f t="shared" si="64"/>
        <v>1.8383546709928298E-3</v>
      </c>
      <c r="W215" s="1"/>
      <c r="X215" s="1">
        <f t="shared" si="65"/>
        <v>-6311.81</v>
      </c>
      <c r="Y215" s="1"/>
      <c r="Z215" s="5">
        <f t="shared" si="66"/>
        <v>-0.61865266488344539</v>
      </c>
    </row>
    <row r="216" spans="1:26" s="24" customFormat="1" hidden="1" outlineLevel="2" x14ac:dyDescent="0.25">
      <c r="A216" s="28"/>
      <c r="B216" s="11" t="str">
        <f>CONCATENATE("          ", "6351", " - ", "EQUIPMENT RENTAL")</f>
        <v xml:space="preserve">          6351 - EQUIPMENT RENTAL</v>
      </c>
      <c r="C216" s="11"/>
      <c r="D216" s="6">
        <v>1296.9000000000001</v>
      </c>
      <c r="E216" s="2"/>
      <c r="F216" s="7">
        <f t="shared" si="59"/>
        <v>9.2149633525618376E-4</v>
      </c>
      <c r="G216" s="2"/>
      <c r="H216" s="6">
        <v>3400.41</v>
      </c>
      <c r="I216" s="2"/>
      <c r="J216" s="7">
        <f t="shared" si="60"/>
        <v>2.4402316867013526E-3</v>
      </c>
      <c r="K216" s="2"/>
      <c r="L216" s="6">
        <f t="shared" si="61"/>
        <v>-2103.5099999999998</v>
      </c>
      <c r="M216" s="2"/>
      <c r="N216" s="7">
        <f t="shared" si="62"/>
        <v>-0.61860481530168421</v>
      </c>
      <c r="O216" s="11"/>
      <c r="P216" s="6">
        <v>3890.7</v>
      </c>
      <c r="Q216" s="2"/>
      <c r="R216" s="7">
        <f t="shared" si="63"/>
        <v>7.2939026646264742E-4</v>
      </c>
      <c r="S216" s="2"/>
      <c r="T216" s="6">
        <v>10202.51</v>
      </c>
      <c r="U216" s="2"/>
      <c r="V216" s="7">
        <f t="shared" si="64"/>
        <v>1.8383546709928298E-3</v>
      </c>
      <c r="W216" s="2"/>
      <c r="X216" s="6">
        <f t="shared" si="65"/>
        <v>-6311.81</v>
      </c>
      <c r="Y216" s="2"/>
      <c r="Z216" s="7">
        <f t="shared" si="66"/>
        <v>-0.61865266488344539</v>
      </c>
    </row>
    <row r="217" spans="1:26" s="29" customFormat="1" outlineLevel="1" collapsed="1" x14ac:dyDescent="0.25">
      <c r="A217" s="27"/>
      <c r="B217" s="14" t="str">
        <f>CONCATENATE("     ","Freight out/Postage                               ")</f>
        <v xml:space="preserve">     Freight out/Postage                               </v>
      </c>
      <c r="C217" s="14"/>
      <c r="D217" s="1">
        <f>SUM(OSRRefD22_10x_0)</f>
        <v>9430.5199999999986</v>
      </c>
      <c r="E217" s="1"/>
      <c r="F217" s="5">
        <f t="shared" si="59"/>
        <v>6.7007399333488659E-3</v>
      </c>
      <c r="G217" s="1"/>
      <c r="H217" s="1">
        <f>SUM(OSRRefH22_10x_0)</f>
        <v>9444.89</v>
      </c>
      <c r="I217" s="1"/>
      <c r="J217" s="5">
        <f t="shared" si="60"/>
        <v>6.7779237960742195E-3</v>
      </c>
      <c r="K217" s="1"/>
      <c r="L217" s="1">
        <f t="shared" si="61"/>
        <v>-14.3700000000008</v>
      </c>
      <c r="M217" s="1"/>
      <c r="N217" s="5">
        <f t="shared" si="62"/>
        <v>-1.5214576347634332E-3</v>
      </c>
      <c r="O217" s="14"/>
      <c r="P217" s="1">
        <f>SUM(OSRRefP22_10x_0)</f>
        <v>-5705.3200000000015</v>
      </c>
      <c r="Q217" s="1"/>
      <c r="R217" s="5">
        <f t="shared" si="63"/>
        <v>-1.0695774218147565E-3</v>
      </c>
      <c r="S217" s="1"/>
      <c r="T217" s="1">
        <f>SUM(OSRRefT22_10x_0)</f>
        <v>874.54999999999927</v>
      </c>
      <c r="U217" s="1"/>
      <c r="V217" s="5">
        <f t="shared" si="64"/>
        <v>1.5758211239359508E-4</v>
      </c>
      <c r="W217" s="1"/>
      <c r="X217" s="1">
        <f t="shared" si="65"/>
        <v>-6579.8700000000008</v>
      </c>
      <c r="Y217" s="1"/>
      <c r="Z217" s="5">
        <f t="shared" si="66"/>
        <v>-7.5237207706820719</v>
      </c>
    </row>
    <row r="218" spans="1:26" s="24" customFormat="1" hidden="1" outlineLevel="2" x14ac:dyDescent="0.25">
      <c r="A218" s="28"/>
      <c r="B218" s="11" t="str">
        <f>CONCATENATE("          ", "6305", " - ", "FREIGHT OUT")</f>
        <v xml:space="preserve">          6305 - FREIGHT OUT</v>
      </c>
      <c r="C218" s="11"/>
      <c r="D218" s="6">
        <v>10658.96</v>
      </c>
      <c r="E218" s="2"/>
      <c r="F218" s="7">
        <f t="shared" si="59"/>
        <v>7.5735928580786885E-3</v>
      </c>
      <c r="G218" s="2"/>
      <c r="H218" s="6">
        <v>13713.93</v>
      </c>
      <c r="I218" s="2"/>
      <c r="J218" s="7">
        <f t="shared" si="60"/>
        <v>9.8415092695305212E-3</v>
      </c>
      <c r="K218" s="2"/>
      <c r="L218" s="6">
        <f t="shared" si="61"/>
        <v>-3054.9700000000012</v>
      </c>
      <c r="M218" s="2"/>
      <c r="N218" s="7">
        <f t="shared" si="62"/>
        <v>-0.22276400710810113</v>
      </c>
      <c r="O218" s="11"/>
      <c r="P218" s="6">
        <v>14936.72</v>
      </c>
      <c r="Q218" s="2"/>
      <c r="R218" s="7">
        <f t="shared" si="63"/>
        <v>2.8001897295802697E-3</v>
      </c>
      <c r="S218" s="2"/>
      <c r="T218" s="6">
        <v>19302.53</v>
      </c>
      <c r="U218" s="2"/>
      <c r="V218" s="7">
        <f t="shared" si="64"/>
        <v>3.4780555164836127E-3</v>
      </c>
      <c r="W218" s="2"/>
      <c r="X218" s="6">
        <f t="shared" si="65"/>
        <v>-4365.8099999999995</v>
      </c>
      <c r="Y218" s="2"/>
      <c r="Z218" s="7">
        <f t="shared" si="66"/>
        <v>-0.22617812276421795</v>
      </c>
    </row>
    <row r="219" spans="1:26" s="24" customFormat="1" hidden="1" outlineLevel="2" x14ac:dyDescent="0.25">
      <c r="A219" s="28"/>
      <c r="B219" s="11" t="str">
        <f>CONCATENATE("          ", "6307", " - ", "POSTAGE")</f>
        <v xml:space="preserve">          6307 - POSTAGE</v>
      </c>
      <c r="C219" s="11"/>
      <c r="D219" s="6">
        <v>-1228.44</v>
      </c>
      <c r="E219" s="2"/>
      <c r="F219" s="7">
        <f t="shared" si="59"/>
        <v>-8.7285292472982215E-4</v>
      </c>
      <c r="G219" s="2"/>
      <c r="H219" s="6">
        <v>-4269.04</v>
      </c>
      <c r="I219" s="2"/>
      <c r="J219" s="7">
        <f t="shared" si="60"/>
        <v>-3.0635854734563017E-3</v>
      </c>
      <c r="K219" s="2"/>
      <c r="L219" s="6">
        <f t="shared" si="61"/>
        <v>3040.6</v>
      </c>
      <c r="M219" s="2"/>
      <c r="N219" s="7">
        <f t="shared" si="62"/>
        <v>-0.71224443903078916</v>
      </c>
      <c r="O219" s="11"/>
      <c r="P219" s="6">
        <v>-20642.04</v>
      </c>
      <c r="Q219" s="2"/>
      <c r="R219" s="7">
        <f t="shared" si="63"/>
        <v>-3.8697671513950259E-3</v>
      </c>
      <c r="S219" s="2"/>
      <c r="T219" s="6">
        <v>-18427.98</v>
      </c>
      <c r="U219" s="2"/>
      <c r="V219" s="7">
        <f t="shared" si="64"/>
        <v>-3.3204734040900175E-3</v>
      </c>
      <c r="W219" s="2"/>
      <c r="X219" s="6">
        <f t="shared" si="65"/>
        <v>-2214.0600000000013</v>
      </c>
      <c r="Y219" s="2"/>
      <c r="Z219" s="7">
        <f t="shared" si="66"/>
        <v>0.12014664656679687</v>
      </c>
    </row>
    <row r="220" spans="1:26" s="29" customFormat="1" outlineLevel="1" collapsed="1" x14ac:dyDescent="0.25">
      <c r="A220" s="27"/>
      <c r="B220" s="14" t="str">
        <f>CONCATENATE("     ","General                                           ")</f>
        <v xml:space="preserve">     General                                           </v>
      </c>
      <c r="C220" s="14"/>
      <c r="D220" s="1">
        <f>SUM(OSRRefD22_11x_0)</f>
        <v>-1366.16</v>
      </c>
      <c r="E220" s="1"/>
      <c r="F220" s="5">
        <f t="shared" ref="F220:F233" si="67">IF(D$12=0,0,D220/D$12)</f>
        <v>-9.7070817593768839E-4</v>
      </c>
      <c r="G220" s="1"/>
      <c r="H220" s="1">
        <f>SUM(OSRRefH22_11x_0)</f>
        <v>131.63</v>
      </c>
      <c r="I220" s="1"/>
      <c r="J220" s="5">
        <f t="shared" ref="J220:J233" si="68">IF(H$12=0,0,H220/H$12)</f>
        <v>9.4461461094544195E-5</v>
      </c>
      <c r="K220" s="1"/>
      <c r="L220" s="1">
        <f t="shared" ref="L220:L233" si="69">+D220-H220</f>
        <v>-1497.79</v>
      </c>
      <c r="M220" s="1"/>
      <c r="N220" s="5">
        <f t="shared" ref="N220:N233" si="70">IF(H220=0,0,L220/H220)</f>
        <v>-11.378789029856415</v>
      </c>
      <c r="O220" s="14"/>
      <c r="P220" s="1">
        <f>SUM(OSRRefP22_11x_0)</f>
        <v>-15701.74</v>
      </c>
      <c r="Q220" s="1"/>
      <c r="R220" s="5">
        <f t="shared" ref="R220:R233" si="71">IF(P$12=0,0,P220/P$12)</f>
        <v>-2.9436081739859692E-3</v>
      </c>
      <c r="S220" s="1"/>
      <c r="T220" s="1">
        <f>SUM(OSRRefT22_11x_0)</f>
        <v>-243.99</v>
      </c>
      <c r="U220" s="1"/>
      <c r="V220" s="5">
        <f t="shared" ref="V220:V233" si="72">IF(T$12=0,0,T220/T$12)</f>
        <v>-4.396370659529278E-5</v>
      </c>
      <c r="W220" s="1"/>
      <c r="X220" s="1">
        <f t="shared" ref="X220:X233" si="73">+P220-T220</f>
        <v>-15457.75</v>
      </c>
      <c r="Y220" s="1"/>
      <c r="Z220" s="5">
        <f t="shared" ref="Z220:Z233" si="74">IF(T220=0,0,X220/T220)</f>
        <v>63.354030902905855</v>
      </c>
    </row>
    <row r="221" spans="1:26" s="24" customFormat="1" hidden="1" outlineLevel="2" x14ac:dyDescent="0.25">
      <c r="A221" s="28"/>
      <c r="B221" s="11" t="str">
        <f>CONCATENATE("          ", "6279", " - ", "GENERAL EXPENSE")</f>
        <v xml:space="preserve">          6279 - GENERAL EXPENSE</v>
      </c>
      <c r="C221" s="11"/>
      <c r="D221" s="6">
        <v>-1366.16</v>
      </c>
      <c r="E221" s="2"/>
      <c r="F221" s="7">
        <f t="shared" si="67"/>
        <v>-9.7070817593768839E-4</v>
      </c>
      <c r="G221" s="2"/>
      <c r="H221" s="6">
        <v>131.63</v>
      </c>
      <c r="I221" s="2"/>
      <c r="J221" s="7">
        <f t="shared" si="68"/>
        <v>9.4461461094544195E-5</v>
      </c>
      <c r="K221" s="2"/>
      <c r="L221" s="6">
        <f t="shared" si="69"/>
        <v>-1497.79</v>
      </c>
      <c r="M221" s="2"/>
      <c r="N221" s="7">
        <f t="shared" si="70"/>
        <v>-11.378789029856415</v>
      </c>
      <c r="O221" s="11"/>
      <c r="P221" s="6">
        <v>-15701.74</v>
      </c>
      <c r="Q221" s="2"/>
      <c r="R221" s="7">
        <f t="shared" si="71"/>
        <v>-2.9436081739859692E-3</v>
      </c>
      <c r="S221" s="2"/>
      <c r="T221" s="6">
        <v>-243.99</v>
      </c>
      <c r="U221" s="2"/>
      <c r="V221" s="7">
        <f t="shared" si="72"/>
        <v>-4.396370659529278E-5</v>
      </c>
      <c r="W221" s="2"/>
      <c r="X221" s="6">
        <f t="shared" si="73"/>
        <v>-15457.75</v>
      </c>
      <c r="Y221" s="2"/>
      <c r="Z221" s="7">
        <f t="shared" si="74"/>
        <v>63.354030902905855</v>
      </c>
    </row>
    <row r="222" spans="1:26" s="29" customFormat="1" outlineLevel="1" collapsed="1" x14ac:dyDescent="0.25">
      <c r="A222" s="27"/>
      <c r="B222" s="14" t="str">
        <f>CONCATENATE("     ","Insurance                                         ")</f>
        <v xml:space="preserve">     Insurance                                         </v>
      </c>
      <c r="C222" s="14"/>
      <c r="D222" s="1">
        <f>SUM(OSRRefD22_12x_0)</f>
        <v>4044.74</v>
      </c>
      <c r="E222" s="1"/>
      <c r="F222" s="5">
        <f t="shared" si="67"/>
        <v>2.8739402321413341E-3</v>
      </c>
      <c r="G222" s="1"/>
      <c r="H222" s="1">
        <f>SUM(OSRRefH22_12x_0)</f>
        <v>3809.97</v>
      </c>
      <c r="I222" s="1"/>
      <c r="J222" s="5">
        <f t="shared" si="68"/>
        <v>2.7341436824916852E-3</v>
      </c>
      <c r="K222" s="1"/>
      <c r="L222" s="1">
        <f t="shared" si="69"/>
        <v>234.76999999999998</v>
      </c>
      <c r="M222" s="1"/>
      <c r="N222" s="5">
        <f t="shared" si="70"/>
        <v>6.1619907768302638E-2</v>
      </c>
      <c r="O222" s="14"/>
      <c r="P222" s="1">
        <f>SUM(OSRRefP22_12x_0)</f>
        <v>12134.22</v>
      </c>
      <c r="Q222" s="1"/>
      <c r="R222" s="5">
        <f t="shared" si="71"/>
        <v>2.2748045233804675E-3</v>
      </c>
      <c r="S222" s="1"/>
      <c r="T222" s="1">
        <f>SUM(OSRRefT22_12x_0)</f>
        <v>11429.91</v>
      </c>
      <c r="U222" s="1"/>
      <c r="V222" s="5">
        <f t="shared" si="72"/>
        <v>2.059515593469416E-3</v>
      </c>
      <c r="W222" s="1"/>
      <c r="X222" s="1">
        <f t="shared" si="73"/>
        <v>704.30999999999949</v>
      </c>
      <c r="Y222" s="1"/>
      <c r="Z222" s="5">
        <f t="shared" si="74"/>
        <v>6.1619907768302597E-2</v>
      </c>
    </row>
    <row r="223" spans="1:26" s="24" customFormat="1" hidden="1" outlineLevel="2" x14ac:dyDescent="0.25">
      <c r="A223" s="28"/>
      <c r="B223" s="11" t="str">
        <f>CONCATENATE("          ", "6314", " - ", "LIABILITY INSURANCE")</f>
        <v xml:space="preserve">          6314 - LIABILITY INSURANCE</v>
      </c>
      <c r="C223" s="11"/>
      <c r="D223" s="6">
        <v>4044.74</v>
      </c>
      <c r="E223" s="2"/>
      <c r="F223" s="7">
        <f t="shared" si="67"/>
        <v>2.8739402321413341E-3</v>
      </c>
      <c r="G223" s="2"/>
      <c r="H223" s="6">
        <v>3809.97</v>
      </c>
      <c r="I223" s="2"/>
      <c r="J223" s="7">
        <f t="shared" si="68"/>
        <v>2.7341436824916852E-3</v>
      </c>
      <c r="K223" s="2"/>
      <c r="L223" s="6">
        <f t="shared" si="69"/>
        <v>234.76999999999998</v>
      </c>
      <c r="M223" s="2"/>
      <c r="N223" s="7">
        <f t="shared" si="70"/>
        <v>6.1619907768302638E-2</v>
      </c>
      <c r="O223" s="11"/>
      <c r="P223" s="6">
        <v>12134.22</v>
      </c>
      <c r="Q223" s="2"/>
      <c r="R223" s="7">
        <f t="shared" si="71"/>
        <v>2.2748045233804675E-3</v>
      </c>
      <c r="S223" s="2"/>
      <c r="T223" s="6">
        <v>11429.91</v>
      </c>
      <c r="U223" s="2"/>
      <c r="V223" s="7">
        <f t="shared" si="72"/>
        <v>2.059515593469416E-3</v>
      </c>
      <c r="W223" s="2"/>
      <c r="X223" s="6">
        <f t="shared" si="73"/>
        <v>704.30999999999949</v>
      </c>
      <c r="Y223" s="2"/>
      <c r="Z223" s="7">
        <f t="shared" si="74"/>
        <v>6.1619907768302597E-2</v>
      </c>
    </row>
    <row r="224" spans="1:26" s="29" customFormat="1" outlineLevel="1" collapsed="1" x14ac:dyDescent="0.25">
      <c r="A224" s="27"/>
      <c r="B224" s="14" t="str">
        <f>CONCATENATE("     ","Inventory Adjustment                              ")</f>
        <v xml:space="preserve">     Inventory Adjustment                              </v>
      </c>
      <c r="C224" s="14"/>
      <c r="D224" s="1">
        <f>SUM(OSRRefD22_13x_0)</f>
        <v>4250</v>
      </c>
      <c r="E224" s="1"/>
      <c r="F224" s="5">
        <f t="shared" si="67"/>
        <v>3.0197851991971476E-3</v>
      </c>
      <c r="G224" s="1"/>
      <c r="H224" s="1">
        <f>SUM(OSRRefH22_13x_0)</f>
        <v>10000</v>
      </c>
      <c r="I224" s="1"/>
      <c r="J224" s="5">
        <f t="shared" si="68"/>
        <v>7.1762866439674996E-3</v>
      </c>
      <c r="K224" s="1"/>
      <c r="L224" s="1">
        <f t="shared" si="69"/>
        <v>-5750</v>
      </c>
      <c r="M224" s="1"/>
      <c r="N224" s="5">
        <f t="shared" si="70"/>
        <v>-0.57499999999999996</v>
      </c>
      <c r="O224" s="14"/>
      <c r="P224" s="1">
        <f>SUM(OSRRefP22_13x_0)</f>
        <v>12650</v>
      </c>
      <c r="Q224" s="1"/>
      <c r="R224" s="5">
        <f t="shared" si="71"/>
        <v>2.3714978977439766E-3</v>
      </c>
      <c r="S224" s="1"/>
      <c r="T224" s="1">
        <f>SUM(OSRRefT22_13x_0)</f>
        <v>30000</v>
      </c>
      <c r="U224" s="1"/>
      <c r="V224" s="5">
        <f t="shared" si="72"/>
        <v>5.4055953025074115E-3</v>
      </c>
      <c r="W224" s="1"/>
      <c r="X224" s="1">
        <f t="shared" si="73"/>
        <v>-17350</v>
      </c>
      <c r="Y224" s="1"/>
      <c r="Z224" s="5">
        <f t="shared" si="74"/>
        <v>-0.57833333333333337</v>
      </c>
    </row>
    <row r="225" spans="1:26" s="24" customFormat="1" hidden="1" outlineLevel="2" x14ac:dyDescent="0.25">
      <c r="A225" s="28"/>
      <c r="B225" s="11" t="str">
        <f>CONCATENATE("          ", "6408", " - ", "INVENTORY ADJUSTMENT")</f>
        <v xml:space="preserve">          6408 - INVENTORY ADJUSTMENT</v>
      </c>
      <c r="C225" s="11"/>
      <c r="D225" s="6">
        <v>4250</v>
      </c>
      <c r="E225" s="2"/>
      <c r="F225" s="7">
        <f t="shared" si="67"/>
        <v>3.0197851991971476E-3</v>
      </c>
      <c r="G225" s="2"/>
      <c r="H225" s="6">
        <v>10000</v>
      </c>
      <c r="I225" s="2"/>
      <c r="J225" s="7">
        <f t="shared" si="68"/>
        <v>7.1762866439674996E-3</v>
      </c>
      <c r="K225" s="2"/>
      <c r="L225" s="6">
        <f t="shared" si="69"/>
        <v>-5750</v>
      </c>
      <c r="M225" s="2"/>
      <c r="N225" s="7">
        <f t="shared" si="70"/>
        <v>-0.57499999999999996</v>
      </c>
      <c r="O225" s="11"/>
      <c r="P225" s="6">
        <v>12650</v>
      </c>
      <c r="Q225" s="2"/>
      <c r="R225" s="7">
        <f t="shared" si="71"/>
        <v>2.3714978977439766E-3</v>
      </c>
      <c r="S225" s="2"/>
      <c r="T225" s="6">
        <v>30000</v>
      </c>
      <c r="U225" s="2"/>
      <c r="V225" s="7">
        <f t="shared" si="72"/>
        <v>5.4055953025074115E-3</v>
      </c>
      <c r="W225" s="2"/>
      <c r="X225" s="6">
        <f t="shared" si="73"/>
        <v>-17350</v>
      </c>
      <c r="Y225" s="2"/>
      <c r="Z225" s="7">
        <f t="shared" si="74"/>
        <v>-0.57833333333333337</v>
      </c>
    </row>
    <row r="226" spans="1:26" s="29" customFormat="1" outlineLevel="1" collapsed="1" x14ac:dyDescent="0.25">
      <c r="A226" s="27"/>
      <c r="B226" s="14" t="str">
        <f>CONCATENATE("     ","Professional Services                             ")</f>
        <v xml:space="preserve">     Professional Services                             </v>
      </c>
      <c r="C226" s="14"/>
      <c r="D226" s="1">
        <f>SUM(OSRRefD22_14x_0)</f>
        <v>0</v>
      </c>
      <c r="E226" s="1"/>
      <c r="F226" s="5">
        <f t="shared" si="67"/>
        <v>0</v>
      </c>
      <c r="G226" s="1"/>
      <c r="H226" s="1">
        <f>SUM(OSRRefH22_14x_0)</f>
        <v>0</v>
      </c>
      <c r="I226" s="1"/>
      <c r="J226" s="5">
        <f t="shared" si="68"/>
        <v>0</v>
      </c>
      <c r="K226" s="1"/>
      <c r="L226" s="1">
        <f t="shared" si="69"/>
        <v>0</v>
      </c>
      <c r="M226" s="1"/>
      <c r="N226" s="5">
        <f t="shared" si="70"/>
        <v>0</v>
      </c>
      <c r="O226" s="14"/>
      <c r="P226" s="1">
        <f>SUM(OSRRefP22_14x_0)</f>
        <v>6158.41</v>
      </c>
      <c r="Q226" s="1"/>
      <c r="R226" s="5">
        <f t="shared" si="71"/>
        <v>1.1545182899956904E-3</v>
      </c>
      <c r="S226" s="1"/>
      <c r="T226" s="1">
        <f>SUM(OSRRefT22_14x_0)</f>
        <v>8276.43</v>
      </c>
      <c r="U226" s="1"/>
      <c r="V226" s="5">
        <f t="shared" si="72"/>
        <v>1.4913010376510472E-3</v>
      </c>
      <c r="W226" s="1"/>
      <c r="X226" s="1">
        <f t="shared" si="73"/>
        <v>-2118.0200000000004</v>
      </c>
      <c r="Y226" s="1"/>
      <c r="Z226" s="5">
        <f t="shared" si="74"/>
        <v>-0.25590985485287743</v>
      </c>
    </row>
    <row r="227" spans="1:26" s="24" customFormat="1" hidden="1" outlineLevel="2" x14ac:dyDescent="0.25">
      <c r="A227" s="28"/>
      <c r="B227" s="11" t="str">
        <f>CONCATENATE("          ", "6336", " - ", "PROFESSIONAL SERVICES")</f>
        <v xml:space="preserve">          6336 - PROFESSIONAL SERVICES</v>
      </c>
      <c r="C227" s="11"/>
      <c r="D227" s="6"/>
      <c r="E227" s="2"/>
      <c r="F227" s="7">
        <f t="shared" si="67"/>
        <v>0</v>
      </c>
      <c r="G227" s="2"/>
      <c r="H227" s="6"/>
      <c r="I227" s="2"/>
      <c r="J227" s="7">
        <f t="shared" si="68"/>
        <v>0</v>
      </c>
      <c r="K227" s="2"/>
      <c r="L227" s="6">
        <f t="shared" si="69"/>
        <v>0</v>
      </c>
      <c r="M227" s="2"/>
      <c r="N227" s="7">
        <f t="shared" si="70"/>
        <v>0</v>
      </c>
      <c r="O227" s="11"/>
      <c r="P227" s="6">
        <v>6158.41</v>
      </c>
      <c r="Q227" s="2"/>
      <c r="R227" s="7">
        <f t="shared" si="71"/>
        <v>1.1545182899956904E-3</v>
      </c>
      <c r="S227" s="2"/>
      <c r="T227" s="6">
        <v>8276.43</v>
      </c>
      <c r="U227" s="2"/>
      <c r="V227" s="7">
        <f t="shared" si="72"/>
        <v>1.4913010376510472E-3</v>
      </c>
      <c r="W227" s="2"/>
      <c r="X227" s="6">
        <f t="shared" si="73"/>
        <v>-2118.0200000000004</v>
      </c>
      <c r="Y227" s="2"/>
      <c r="Z227" s="7">
        <f t="shared" si="74"/>
        <v>-0.25590985485287743</v>
      </c>
    </row>
    <row r="228" spans="1:26" s="29" customFormat="1" outlineLevel="1" collapsed="1" x14ac:dyDescent="0.25">
      <c r="A228" s="27"/>
      <c r="B228" s="14" t="str">
        <f>CONCATENATE("     ","Rent                                              ")</f>
        <v xml:space="preserve">     Rent                                              </v>
      </c>
      <c r="C228" s="14"/>
      <c r="D228" s="1">
        <f>SUM(OSRRefD22_15x_0)</f>
        <v>6100</v>
      </c>
      <c r="E228" s="1"/>
      <c r="F228" s="5">
        <f t="shared" si="67"/>
        <v>4.3342799329653178E-3</v>
      </c>
      <c r="G228" s="1"/>
      <c r="H228" s="1">
        <f>SUM(OSRRefH22_15x_0)</f>
        <v>6100</v>
      </c>
      <c r="I228" s="1"/>
      <c r="J228" s="5">
        <f t="shared" si="68"/>
        <v>4.3775348528201754E-3</v>
      </c>
      <c r="K228" s="1"/>
      <c r="L228" s="1">
        <f t="shared" si="69"/>
        <v>0</v>
      </c>
      <c r="M228" s="1"/>
      <c r="N228" s="5">
        <f t="shared" si="70"/>
        <v>0</v>
      </c>
      <c r="O228" s="14"/>
      <c r="P228" s="1">
        <f>SUM(OSRRefP22_15x_0)</f>
        <v>18300</v>
      </c>
      <c r="Q228" s="1"/>
      <c r="R228" s="5">
        <f t="shared" si="71"/>
        <v>3.4307044686731048E-3</v>
      </c>
      <c r="S228" s="1"/>
      <c r="T228" s="1">
        <f>SUM(OSRRefT22_15x_0)</f>
        <v>19201.080000000002</v>
      </c>
      <c r="U228" s="1"/>
      <c r="V228" s="5">
        <f t="shared" si="72"/>
        <v>3.459775595035634E-3</v>
      </c>
      <c r="W228" s="1"/>
      <c r="X228" s="1">
        <f t="shared" si="73"/>
        <v>-901.08000000000175</v>
      </c>
      <c r="Y228" s="1"/>
      <c r="Z228" s="5">
        <f t="shared" si="74"/>
        <v>-4.6928610265672639E-2</v>
      </c>
    </row>
    <row r="229" spans="1:26" s="24" customFormat="1" hidden="1" outlineLevel="2" x14ac:dyDescent="0.25">
      <c r="A229" s="28"/>
      <c r="B229" s="11" t="str">
        <f>CONCATENATE("          ", "6273", " - ", "RENT")</f>
        <v xml:space="preserve">          6273 - RENT</v>
      </c>
      <c r="C229" s="11"/>
      <c r="D229" s="6">
        <v>6100</v>
      </c>
      <c r="E229" s="2"/>
      <c r="F229" s="7">
        <f t="shared" si="67"/>
        <v>4.3342799329653178E-3</v>
      </c>
      <c r="G229" s="2"/>
      <c r="H229" s="6">
        <v>6100</v>
      </c>
      <c r="I229" s="2"/>
      <c r="J229" s="7">
        <f t="shared" si="68"/>
        <v>4.3775348528201754E-3</v>
      </c>
      <c r="K229" s="2"/>
      <c r="L229" s="6">
        <f t="shared" si="69"/>
        <v>0</v>
      </c>
      <c r="M229" s="2"/>
      <c r="N229" s="7">
        <f t="shared" si="70"/>
        <v>0</v>
      </c>
      <c r="O229" s="11"/>
      <c r="P229" s="6">
        <v>18300</v>
      </c>
      <c r="Q229" s="2"/>
      <c r="R229" s="7">
        <f t="shared" si="71"/>
        <v>3.4307044686731048E-3</v>
      </c>
      <c r="S229" s="2"/>
      <c r="T229" s="6">
        <v>19201.080000000002</v>
      </c>
      <c r="U229" s="2"/>
      <c r="V229" s="7">
        <f t="shared" si="72"/>
        <v>3.459775595035634E-3</v>
      </c>
      <c r="W229" s="2"/>
      <c r="X229" s="6">
        <f t="shared" si="73"/>
        <v>-901.08000000000175</v>
      </c>
      <c r="Y229" s="2"/>
      <c r="Z229" s="7">
        <f t="shared" si="74"/>
        <v>-4.6928610265672639E-2</v>
      </c>
    </row>
    <row r="230" spans="1:26" s="29" customFormat="1" outlineLevel="1" collapsed="1" x14ac:dyDescent="0.25">
      <c r="A230" s="27"/>
      <c r="B230" s="14" t="str">
        <f>CONCATENATE("     ","Repair and Maintenance                            ")</f>
        <v xml:space="preserve">     Repair and Maintenance                            </v>
      </c>
      <c r="C230" s="14"/>
      <c r="D230" s="1">
        <f>SUM(OSRRefD22_16x_0)</f>
        <v>10676.609999999999</v>
      </c>
      <c r="E230" s="1"/>
      <c r="F230" s="5">
        <f t="shared" si="67"/>
        <v>7.5861338483765306E-3</v>
      </c>
      <c r="G230" s="1"/>
      <c r="H230" s="1">
        <f>SUM(OSRRefH22_16x_0)</f>
        <v>6711.74</v>
      </c>
      <c r="I230" s="1"/>
      <c r="J230" s="5">
        <f t="shared" si="68"/>
        <v>4.8165370119782423E-3</v>
      </c>
      <c r="K230" s="1"/>
      <c r="L230" s="1">
        <f t="shared" si="69"/>
        <v>3964.869999999999</v>
      </c>
      <c r="M230" s="1"/>
      <c r="N230" s="5">
        <f t="shared" si="70"/>
        <v>0.59073653031851636</v>
      </c>
      <c r="O230" s="14"/>
      <c r="P230" s="1">
        <f>SUM(OSRRefP22_16x_0)</f>
        <v>48354.41</v>
      </c>
      <c r="Q230" s="1"/>
      <c r="R230" s="5">
        <f t="shared" si="71"/>
        <v>9.0650104080356002E-3</v>
      </c>
      <c r="S230" s="1"/>
      <c r="T230" s="1">
        <f>SUM(OSRRefT22_16x_0)</f>
        <v>82047.69</v>
      </c>
      <c r="U230" s="1"/>
      <c r="V230" s="5">
        <f t="shared" si="72"/>
        <v>1.4783886921519478E-2</v>
      </c>
      <c r="W230" s="1"/>
      <c r="X230" s="1">
        <f t="shared" si="73"/>
        <v>-33693.279999999999</v>
      </c>
      <c r="Y230" s="1"/>
      <c r="Z230" s="5">
        <f t="shared" si="74"/>
        <v>-0.4106548276983788</v>
      </c>
    </row>
    <row r="231" spans="1:26" s="24" customFormat="1" hidden="1" outlineLevel="2" x14ac:dyDescent="0.25">
      <c r="A231" s="28"/>
      <c r="B231" s="11" t="str">
        <f>CONCATENATE("          ", "6371", " - ", "COMPUTER SOFTWARE MAINTENANCE")</f>
        <v xml:space="preserve">          6371 - COMPUTER SOFTWARE MAINTENANCE</v>
      </c>
      <c r="C231" s="11"/>
      <c r="D231" s="6">
        <v>3662.15</v>
      </c>
      <c r="E231" s="2"/>
      <c r="F231" s="7">
        <f t="shared" si="67"/>
        <v>2.6020956158211376E-3</v>
      </c>
      <c r="G231" s="2"/>
      <c r="H231" s="6">
        <v>622.75</v>
      </c>
      <c r="I231" s="2"/>
      <c r="J231" s="7">
        <f t="shared" si="68"/>
        <v>4.4690325075307603E-4</v>
      </c>
      <c r="K231" s="2"/>
      <c r="L231" s="6">
        <f t="shared" si="69"/>
        <v>3039.4</v>
      </c>
      <c r="M231" s="2"/>
      <c r="N231" s="7">
        <f t="shared" si="70"/>
        <v>4.8806101967081492</v>
      </c>
      <c r="O231" s="11"/>
      <c r="P231" s="6">
        <v>12150.4</v>
      </c>
      <c r="Q231" s="2"/>
      <c r="R231" s="7">
        <f t="shared" si="71"/>
        <v>2.2778377910473054E-3</v>
      </c>
      <c r="S231" s="2"/>
      <c r="T231" s="6">
        <v>44786.13</v>
      </c>
      <c r="U231" s="2"/>
      <c r="V231" s="7">
        <f t="shared" si="72"/>
        <v>8.0698564648495411E-3</v>
      </c>
      <c r="W231" s="2"/>
      <c r="X231" s="6">
        <f t="shared" si="73"/>
        <v>-32635.729999999996</v>
      </c>
      <c r="Y231" s="2"/>
      <c r="Z231" s="7">
        <f t="shared" si="74"/>
        <v>-0.72870172082294227</v>
      </c>
    </row>
    <row r="232" spans="1:26" s="24" customFormat="1" hidden="1" outlineLevel="2" x14ac:dyDescent="0.25">
      <c r="A232" s="28"/>
      <c r="B232" s="11" t="str">
        <f>CONCATENATE("          ", "6373", " - ", "MAINTENANCE CONTRACTS")</f>
        <v xml:space="preserve">          6373 - MAINTENANCE CONTRACTS</v>
      </c>
      <c r="C232" s="11"/>
      <c r="D232" s="6">
        <v>6672.75</v>
      </c>
      <c r="E232" s="2"/>
      <c r="F232" s="7">
        <f t="shared" si="67"/>
        <v>4.7412403971630037E-3</v>
      </c>
      <c r="G232" s="2"/>
      <c r="H232" s="6">
        <v>4519.28</v>
      </c>
      <c r="I232" s="2"/>
      <c r="J232" s="7">
        <f t="shared" si="68"/>
        <v>3.2431648704349439E-3</v>
      </c>
      <c r="K232" s="2"/>
      <c r="L232" s="6">
        <f t="shared" si="69"/>
        <v>2153.4700000000003</v>
      </c>
      <c r="M232" s="2"/>
      <c r="N232" s="7">
        <f t="shared" si="70"/>
        <v>0.47650731975004879</v>
      </c>
      <c r="O232" s="11"/>
      <c r="P232" s="6">
        <v>19048.190000000002</v>
      </c>
      <c r="Q232" s="2"/>
      <c r="R232" s="7">
        <f t="shared" si="71"/>
        <v>3.5709677897887626E-3</v>
      </c>
      <c r="S232" s="2"/>
      <c r="T232" s="6">
        <v>25610.01</v>
      </c>
      <c r="U232" s="2"/>
      <c r="V232" s="7">
        <f t="shared" si="72"/>
        <v>4.6145783251055937E-3</v>
      </c>
      <c r="W232" s="2"/>
      <c r="X232" s="6">
        <f t="shared" si="73"/>
        <v>-6561.8199999999961</v>
      </c>
      <c r="Y232" s="2"/>
      <c r="Z232" s="7">
        <f t="shared" si="74"/>
        <v>-0.25622090737176584</v>
      </c>
    </row>
    <row r="233" spans="1:26" s="24" customFormat="1" hidden="1" outlineLevel="2" x14ac:dyDescent="0.25">
      <c r="A233" s="28"/>
      <c r="B233" s="11" t="str">
        <f>CONCATENATE("          ", "6375", " - ", "OUTSIDE REPAIRS &amp; MAINTENANCE")</f>
        <v xml:space="preserve">          6375 - OUTSIDE REPAIRS &amp; MAINTENANCE</v>
      </c>
      <c r="C233" s="11"/>
      <c r="D233" s="6">
        <v>341.71</v>
      </c>
      <c r="E233" s="2"/>
      <c r="F233" s="7">
        <f t="shared" si="67"/>
        <v>2.4279783539238995E-4</v>
      </c>
      <c r="G233" s="2"/>
      <c r="H233" s="6">
        <v>1569.71</v>
      </c>
      <c r="I233" s="2"/>
      <c r="J233" s="7">
        <f t="shared" si="68"/>
        <v>1.1264688907902224E-3</v>
      </c>
      <c r="K233" s="2"/>
      <c r="L233" s="6">
        <f t="shared" si="69"/>
        <v>-1228</v>
      </c>
      <c r="M233" s="2"/>
      <c r="N233" s="7">
        <f t="shared" si="70"/>
        <v>-0.78231010823655323</v>
      </c>
      <c r="O233" s="11"/>
      <c r="P233" s="6">
        <v>17155.82</v>
      </c>
      <c r="Q233" s="2"/>
      <c r="R233" s="7">
        <f t="shared" si="71"/>
        <v>3.2162048271995314E-3</v>
      </c>
      <c r="S233" s="2"/>
      <c r="T233" s="6">
        <v>11651.55</v>
      </c>
      <c r="U233" s="2"/>
      <c r="V233" s="7">
        <f t="shared" si="72"/>
        <v>2.0994521315643409E-3</v>
      </c>
      <c r="W233" s="2"/>
      <c r="X233" s="6">
        <f t="shared" si="73"/>
        <v>5504.27</v>
      </c>
      <c r="Y233" s="2"/>
      <c r="Z233" s="7">
        <f t="shared" si="74"/>
        <v>0.4724066755066923</v>
      </c>
    </row>
    <row r="234" spans="1:26" s="29" customFormat="1" outlineLevel="1" collapsed="1" x14ac:dyDescent="0.25">
      <c r="A234" s="27"/>
      <c r="B234" s="14" t="str">
        <f>CONCATENATE("     ","Royalty &amp; Commissions                             ")</f>
        <v xml:space="preserve">     Royalty &amp; Commissions                             </v>
      </c>
      <c r="C234" s="14"/>
      <c r="D234" s="1">
        <f>SUM(OSRRefD22_17x_0)</f>
        <v>10580.82</v>
      </c>
      <c r="E234" s="1"/>
      <c r="F234" s="5">
        <f t="shared" ref="F234:F237" si="75">IF(D$12=0,0,D234/D$12)</f>
        <v>7.5180714426750974E-3</v>
      </c>
      <c r="G234" s="1"/>
      <c r="H234" s="1">
        <f>SUM(OSRRefH22_17x_0)</f>
        <v>10266.210000000001</v>
      </c>
      <c r="I234" s="1"/>
      <c r="J234" s="5">
        <f t="shared" ref="J234:J237" si="76">IF(H$12=0,0,H234/H$12)</f>
        <v>7.3673265707165595E-3</v>
      </c>
      <c r="K234" s="1"/>
      <c r="L234" s="1">
        <f t="shared" ref="L234:L237" si="77">+D234-H234</f>
        <v>314.60999999999876</v>
      </c>
      <c r="M234" s="1"/>
      <c r="N234" s="5">
        <f t="shared" ref="N234:N237" si="78">IF(H234=0,0,L234/H234)</f>
        <v>3.0645194282992335E-2</v>
      </c>
      <c r="O234" s="14"/>
      <c r="P234" s="1">
        <f>SUM(OSRRefP22_17x_0)</f>
        <v>19452.440000000002</v>
      </c>
      <c r="Q234" s="1"/>
      <c r="R234" s="5">
        <f t="shared" ref="R234:R237" si="79">IF(P$12=0,0,P234/P$12)</f>
        <v>3.6467526139123199E-3</v>
      </c>
      <c r="S234" s="1"/>
      <c r="T234" s="1">
        <f>SUM(OSRRefT22_17x_0)</f>
        <v>21577.82</v>
      </c>
      <c r="U234" s="1"/>
      <c r="V234" s="5">
        <f t="shared" ref="V234:V237" si="80">IF(T$12=0,0,T234/T$12)</f>
        <v>3.8880320810116822E-3</v>
      </c>
      <c r="W234" s="1"/>
      <c r="X234" s="1">
        <f t="shared" ref="X234:X237" si="81">+P234-T234</f>
        <v>-2125.3799999999974</v>
      </c>
      <c r="Y234" s="1"/>
      <c r="Z234" s="5">
        <f t="shared" ref="Z234:Z237" si="82">IF(T234=0,0,X234/T234)</f>
        <v>-9.8498365451190034E-2</v>
      </c>
    </row>
    <row r="235" spans="1:26" s="24" customFormat="1" hidden="1" outlineLevel="2" x14ac:dyDescent="0.25">
      <c r="A235" s="28"/>
      <c r="B235" s="11" t="str">
        <f>CONCATENATE("          ", "6253", " - ", "ROYALTY DUE ATHLETICS-LRG")</f>
        <v xml:space="preserve">          6253 - ROYALTY DUE ATHLETICS-LRG</v>
      </c>
      <c r="C235" s="11"/>
      <c r="D235" s="6"/>
      <c r="E235" s="2"/>
      <c r="F235" s="7">
        <f t="shared" si="75"/>
        <v>0</v>
      </c>
      <c r="G235" s="2"/>
      <c r="H235" s="6"/>
      <c r="I235" s="2"/>
      <c r="J235" s="7">
        <f t="shared" si="76"/>
        <v>0</v>
      </c>
      <c r="K235" s="2"/>
      <c r="L235" s="6">
        <f t="shared" si="77"/>
        <v>0</v>
      </c>
      <c r="M235" s="2"/>
      <c r="N235" s="7">
        <f t="shared" si="78"/>
        <v>0</v>
      </c>
      <c r="O235" s="11"/>
      <c r="P235" s="6">
        <v>4366.95</v>
      </c>
      <c r="Q235" s="2"/>
      <c r="R235" s="7">
        <f t="shared" si="79"/>
        <v>8.1867294423344338E-4</v>
      </c>
      <c r="S235" s="2"/>
      <c r="T235" s="6">
        <v>6645.39</v>
      </c>
      <c r="U235" s="2"/>
      <c r="V235" s="7">
        <f t="shared" si="80"/>
        <v>1.1974096322443244E-3</v>
      </c>
      <c r="W235" s="2"/>
      <c r="X235" s="6">
        <f t="shared" si="81"/>
        <v>-2278.4400000000005</v>
      </c>
      <c r="Y235" s="2"/>
      <c r="Z235" s="7">
        <f t="shared" si="82"/>
        <v>-0.34286023845101649</v>
      </c>
    </row>
    <row r="236" spans="1:26" s="24" customFormat="1" hidden="1" outlineLevel="2" x14ac:dyDescent="0.25">
      <c r="A236" s="28"/>
      <c r="B236" s="11" t="str">
        <f>CONCATENATE("          ", "6254", " - ", "ROYALTY &amp; COMMISSIONS")</f>
        <v xml:space="preserve">          6254 - ROYALTY &amp; COMMISSIONS</v>
      </c>
      <c r="C236" s="11"/>
      <c r="D236" s="6">
        <v>365.38</v>
      </c>
      <c r="E236" s="2"/>
      <c r="F236" s="7">
        <f t="shared" si="75"/>
        <v>2.5961626260768327E-4</v>
      </c>
      <c r="G236" s="2"/>
      <c r="H236" s="6">
        <v>291.94</v>
      </c>
      <c r="I236" s="2"/>
      <c r="J236" s="7">
        <f t="shared" si="76"/>
        <v>2.0950451228398718E-4</v>
      </c>
      <c r="K236" s="2"/>
      <c r="L236" s="6">
        <f t="shared" si="77"/>
        <v>73.44</v>
      </c>
      <c r="M236" s="2"/>
      <c r="N236" s="7">
        <f t="shared" si="78"/>
        <v>0.25155853942590944</v>
      </c>
      <c r="O236" s="11"/>
      <c r="P236" s="6">
        <v>615.87</v>
      </c>
      <c r="Q236" s="2"/>
      <c r="R236" s="7">
        <f t="shared" si="79"/>
        <v>1.1545726563506585E-4</v>
      </c>
      <c r="S236" s="2"/>
      <c r="T236" s="6">
        <v>561.08000000000004</v>
      </c>
      <c r="U236" s="2"/>
      <c r="V236" s="7">
        <f t="shared" si="80"/>
        <v>1.0109904707769529E-4</v>
      </c>
      <c r="W236" s="2"/>
      <c r="X236" s="6">
        <f t="shared" si="81"/>
        <v>54.789999999999964</v>
      </c>
      <c r="Y236" s="2"/>
      <c r="Z236" s="7">
        <f t="shared" si="82"/>
        <v>9.7650958865045906E-2</v>
      </c>
    </row>
    <row r="237" spans="1:26" s="24" customFormat="1" hidden="1" outlineLevel="2" x14ac:dyDescent="0.25">
      <c r="A237" s="28"/>
      <c r="B237" s="11" t="str">
        <f>CONCATENATE("          ", "6259", " - ", "ROYALTY &amp; COMMISSIONS")</f>
        <v xml:space="preserve">          6259 - ROYALTY &amp; COMMISSIONS</v>
      </c>
      <c r="C237" s="11"/>
      <c r="D237" s="6">
        <v>10215.44</v>
      </c>
      <c r="E237" s="2"/>
      <c r="F237" s="7">
        <f t="shared" si="75"/>
        <v>7.2584551800674146E-3</v>
      </c>
      <c r="G237" s="2"/>
      <c r="H237" s="6">
        <v>9974.27</v>
      </c>
      <c r="I237" s="2"/>
      <c r="J237" s="7">
        <f t="shared" si="76"/>
        <v>7.1578220584325716E-3</v>
      </c>
      <c r="K237" s="2"/>
      <c r="L237" s="6">
        <f t="shared" si="77"/>
        <v>241.17000000000007</v>
      </c>
      <c r="M237" s="2"/>
      <c r="N237" s="7">
        <f t="shared" si="78"/>
        <v>2.417921311534579E-2</v>
      </c>
      <c r="O237" s="11"/>
      <c r="P237" s="6">
        <v>14469.62</v>
      </c>
      <c r="Q237" s="2"/>
      <c r="R237" s="7">
        <f t="shared" si="79"/>
        <v>2.7126224040438106E-3</v>
      </c>
      <c r="S237" s="2"/>
      <c r="T237" s="6">
        <v>14371.35</v>
      </c>
      <c r="U237" s="2"/>
      <c r="V237" s="7">
        <f t="shared" si="80"/>
        <v>2.5895234016896631E-3</v>
      </c>
      <c r="W237" s="2"/>
      <c r="X237" s="6">
        <f t="shared" si="81"/>
        <v>98.270000000000437</v>
      </c>
      <c r="Y237" s="2"/>
      <c r="Z237" s="7">
        <f t="shared" si="82"/>
        <v>6.8379101476201219E-3</v>
      </c>
    </row>
    <row r="238" spans="1:26" s="29" customFormat="1" outlineLevel="1" collapsed="1" x14ac:dyDescent="0.25">
      <c r="A238" s="27"/>
      <c r="B238" s="14" t="str">
        <f>CONCATENATE("     ","Services                                          ")</f>
        <v xml:space="preserve">     Services                                          </v>
      </c>
      <c r="C238" s="14"/>
      <c r="D238" s="1">
        <f>SUM(OSRRefD22_18x_0)</f>
        <v>3921.52</v>
      </c>
      <c r="E238" s="1"/>
      <c r="F238" s="5">
        <f t="shared" ref="F238:F242" si="83">IF(D$12=0,0,D238/D$12)</f>
        <v>2.7863877774954348E-3</v>
      </c>
      <c r="G238" s="1"/>
      <c r="H238" s="1">
        <f>SUM(OSRRefH22_18x_0)</f>
        <v>4358.09</v>
      </c>
      <c r="I238" s="1"/>
      <c r="J238" s="5">
        <f t="shared" ref="J238:J242" si="84">IF(H$12=0,0,H238/H$12)</f>
        <v>3.1274903060208321E-3</v>
      </c>
      <c r="K238" s="1"/>
      <c r="L238" s="1">
        <f t="shared" ref="L238:L242" si="85">+D238-H238</f>
        <v>-436.57000000000016</v>
      </c>
      <c r="M238" s="1"/>
      <c r="N238" s="5">
        <f t="shared" ref="N238:N242" si="86">IF(H238=0,0,L238/H238)</f>
        <v>-0.10017461777980724</v>
      </c>
      <c r="O238" s="14"/>
      <c r="P238" s="1">
        <f>SUM(OSRRefP22_18x_0)</f>
        <v>13227.19</v>
      </c>
      <c r="Q238" s="1"/>
      <c r="R238" s="5">
        <f t="shared" ref="R238:R242" si="87">IF(P$12=0,0,P238/P$12)</f>
        <v>2.4797038164474428E-3</v>
      </c>
      <c r="S238" s="1"/>
      <c r="T238" s="1">
        <f>SUM(OSRRefT22_18x_0)</f>
        <v>13056.04</v>
      </c>
      <c r="U238" s="1"/>
      <c r="V238" s="5">
        <f t="shared" ref="V238:V242" si="88">IF(T$12=0,0,T238/T$12)</f>
        <v>2.3525222831116289E-3</v>
      </c>
      <c r="W238" s="1"/>
      <c r="X238" s="1">
        <f t="shared" ref="X238:X242" si="89">+P238-T238</f>
        <v>171.14999999999964</v>
      </c>
      <c r="Y238" s="1"/>
      <c r="Z238" s="5">
        <f t="shared" ref="Z238:Z242" si="90">IF(T238=0,0,X238/T238)</f>
        <v>1.3108875279181101E-2</v>
      </c>
    </row>
    <row r="239" spans="1:26" s="24" customFormat="1" hidden="1" outlineLevel="2" x14ac:dyDescent="0.25">
      <c r="A239" s="28"/>
      <c r="B239" s="11" t="str">
        <f>CONCATENATE("          ", "6282", " - ", "JANITORIAL/EXTERMINATOR EXPENS")</f>
        <v xml:space="preserve">          6282 - JANITORIAL/EXTERMINATOR EXPENS</v>
      </c>
      <c r="C239" s="11"/>
      <c r="D239" s="6">
        <v>266.5</v>
      </c>
      <c r="E239" s="2"/>
      <c r="F239" s="7">
        <f t="shared" si="83"/>
        <v>1.8935829543200938E-4</v>
      </c>
      <c r="G239" s="2"/>
      <c r="H239" s="6">
        <v>236</v>
      </c>
      <c r="I239" s="2"/>
      <c r="J239" s="7">
        <f t="shared" si="84"/>
        <v>1.6936036479763301E-4</v>
      </c>
      <c r="K239" s="2"/>
      <c r="L239" s="6">
        <f t="shared" si="85"/>
        <v>30.5</v>
      </c>
      <c r="M239" s="2"/>
      <c r="N239" s="7">
        <f t="shared" si="86"/>
        <v>0.12923728813559321</v>
      </c>
      <c r="O239" s="11"/>
      <c r="P239" s="6">
        <v>799.5</v>
      </c>
      <c r="Q239" s="2"/>
      <c r="R239" s="7">
        <f t="shared" si="87"/>
        <v>1.4988241654121024E-4</v>
      </c>
      <c r="S239" s="2"/>
      <c r="T239" s="6">
        <v>666.5</v>
      </c>
      <c r="U239" s="2"/>
      <c r="V239" s="7">
        <f t="shared" si="88"/>
        <v>1.2009430897070633E-4</v>
      </c>
      <c r="W239" s="2"/>
      <c r="X239" s="6">
        <f t="shared" si="89"/>
        <v>133</v>
      </c>
      <c r="Y239" s="2"/>
      <c r="Z239" s="7">
        <f t="shared" si="90"/>
        <v>0.19954988747186797</v>
      </c>
    </row>
    <row r="240" spans="1:26" s="24" customFormat="1" hidden="1" outlineLevel="2" x14ac:dyDescent="0.25">
      <c r="A240" s="28"/>
      <c r="B240" s="11" t="str">
        <f>CONCATENATE("          ", "6283", " - ", "PLANT SERVICE")</f>
        <v xml:space="preserve">          6283 - PLANT SERVICE</v>
      </c>
      <c r="C240" s="11"/>
      <c r="D240" s="6">
        <v>180.66</v>
      </c>
      <c r="E240" s="2"/>
      <c r="F240" s="7">
        <f t="shared" si="83"/>
        <v>1.2836573978516628E-4</v>
      </c>
      <c r="G240" s="2"/>
      <c r="H240" s="6">
        <v>173</v>
      </c>
      <c r="I240" s="2"/>
      <c r="J240" s="7">
        <f t="shared" si="84"/>
        <v>1.2414975894063776E-4</v>
      </c>
      <c r="K240" s="2"/>
      <c r="L240" s="6">
        <f t="shared" si="85"/>
        <v>7.6599999999999966</v>
      </c>
      <c r="M240" s="2"/>
      <c r="N240" s="7">
        <f t="shared" si="86"/>
        <v>4.4277456647398822E-2</v>
      </c>
      <c r="O240" s="11"/>
      <c r="P240" s="6">
        <v>541.98</v>
      </c>
      <c r="Q240" s="2"/>
      <c r="R240" s="7">
        <f t="shared" si="87"/>
        <v>1.016050933295874E-4</v>
      </c>
      <c r="S240" s="2"/>
      <c r="T240" s="6">
        <v>519</v>
      </c>
      <c r="U240" s="2"/>
      <c r="V240" s="7">
        <f t="shared" si="88"/>
        <v>9.3516798733378216E-5</v>
      </c>
      <c r="W240" s="2"/>
      <c r="X240" s="6">
        <f t="shared" si="89"/>
        <v>22.980000000000018</v>
      </c>
      <c r="Y240" s="2"/>
      <c r="Z240" s="7">
        <f t="shared" si="90"/>
        <v>4.4277456647398877E-2</v>
      </c>
    </row>
    <row r="241" spans="1:26" s="24" customFormat="1" hidden="1" outlineLevel="2" x14ac:dyDescent="0.25">
      <c r="A241" s="28"/>
      <c r="B241" s="11" t="str">
        <f>CONCATENATE("          ", "6284", " - ", "TRASH REMOVAL EXPENSE")</f>
        <v xml:space="preserve">          6284 - TRASH REMOVAL EXPENSE</v>
      </c>
      <c r="C241" s="11"/>
      <c r="D241" s="6">
        <v>134.82</v>
      </c>
      <c r="E241" s="2"/>
      <c r="F241" s="7">
        <f t="shared" si="83"/>
        <v>9.5794691895472812E-5</v>
      </c>
      <c r="G241" s="2"/>
      <c r="H241" s="6">
        <v>121.46</v>
      </c>
      <c r="I241" s="2"/>
      <c r="J241" s="7">
        <f t="shared" si="84"/>
        <v>8.7163177577629243E-5</v>
      </c>
      <c r="K241" s="2"/>
      <c r="L241" s="6">
        <f t="shared" si="85"/>
        <v>13.36</v>
      </c>
      <c r="M241" s="2"/>
      <c r="N241" s="7">
        <f t="shared" si="86"/>
        <v>0.10999506010209123</v>
      </c>
      <c r="O241" s="11"/>
      <c r="P241" s="6">
        <v>404.46</v>
      </c>
      <c r="Q241" s="2"/>
      <c r="R241" s="7">
        <f t="shared" si="87"/>
        <v>7.5824192863361957E-5</v>
      </c>
      <c r="S241" s="2"/>
      <c r="T241" s="6">
        <v>364.38</v>
      </c>
      <c r="U241" s="2"/>
      <c r="V241" s="7">
        <f t="shared" si="88"/>
        <v>6.5656360544255024E-5</v>
      </c>
      <c r="W241" s="2"/>
      <c r="X241" s="6">
        <f t="shared" si="89"/>
        <v>40.079999999999984</v>
      </c>
      <c r="Y241" s="2"/>
      <c r="Z241" s="7">
        <f t="shared" si="90"/>
        <v>0.10999506010209117</v>
      </c>
    </row>
    <row r="242" spans="1:26" s="24" customFormat="1" hidden="1" outlineLevel="2" x14ac:dyDescent="0.25">
      <c r="A242" s="28"/>
      <c r="B242" s="11" t="str">
        <f>CONCATENATE("          ", "6285", " - ", "JANITORIAL SERVICES")</f>
        <v xml:space="preserve">          6285 - JANITORIAL SERVICES</v>
      </c>
      <c r="C242" s="11"/>
      <c r="D242" s="6">
        <v>3339.54</v>
      </c>
      <c r="E242" s="2"/>
      <c r="F242" s="7">
        <f t="shared" si="83"/>
        <v>2.3728690503827866E-3</v>
      </c>
      <c r="G242" s="2"/>
      <c r="H242" s="6">
        <v>3827.63</v>
      </c>
      <c r="I242" s="2"/>
      <c r="J242" s="7">
        <f t="shared" si="84"/>
        <v>2.7468170047049321E-3</v>
      </c>
      <c r="K242" s="2"/>
      <c r="L242" s="6">
        <f t="shared" si="85"/>
        <v>-488.09000000000015</v>
      </c>
      <c r="M242" s="2"/>
      <c r="N242" s="7">
        <f t="shared" si="86"/>
        <v>-0.12751755002442769</v>
      </c>
      <c r="O242" s="11"/>
      <c r="P242" s="6">
        <v>11481.25</v>
      </c>
      <c r="Q242" s="2"/>
      <c r="R242" s="7">
        <f t="shared" si="87"/>
        <v>2.1523921137132831E-3</v>
      </c>
      <c r="S242" s="2"/>
      <c r="T242" s="6">
        <v>11506.16</v>
      </c>
      <c r="U242" s="2"/>
      <c r="V242" s="7">
        <f t="shared" si="88"/>
        <v>2.0732548148632893E-3</v>
      </c>
      <c r="W242" s="2"/>
      <c r="X242" s="6">
        <f t="shared" si="89"/>
        <v>-24.909999999999854</v>
      </c>
      <c r="Y242" s="2"/>
      <c r="Z242" s="7">
        <f t="shared" si="90"/>
        <v>-2.1649273085025634E-3</v>
      </c>
    </row>
    <row r="243" spans="1:26" s="29" customFormat="1" outlineLevel="1" collapsed="1" x14ac:dyDescent="0.25">
      <c r="A243" s="27"/>
      <c r="B243" s="14" t="str">
        <f>CONCATENATE("     ","Subscriptions &amp; Dues                              ")</f>
        <v xml:space="preserve">     Subscriptions &amp; Dues                              </v>
      </c>
      <c r="C243" s="14"/>
      <c r="D243" s="1">
        <f>SUM(OSRRefD22_19x_0)</f>
        <v>706.62</v>
      </c>
      <c r="E243" s="1"/>
      <c r="F243" s="5">
        <f t="shared" ref="F243:F245" si="91">IF(D$12=0,0,D243/D$12)</f>
        <v>5.0208014528392673E-4</v>
      </c>
      <c r="G243" s="1"/>
      <c r="H243" s="1">
        <f>SUM(OSRRefH22_19x_0)</f>
        <v>644.96</v>
      </c>
      <c r="I243" s="1"/>
      <c r="J243" s="5">
        <f t="shared" ref="J243:J245" si="92">IF(H$12=0,0,H243/H$12)</f>
        <v>4.6284178338932788E-4</v>
      </c>
      <c r="K243" s="1"/>
      <c r="L243" s="1">
        <f t="shared" ref="L243:L245" si="93">+D243-H243</f>
        <v>61.659999999999968</v>
      </c>
      <c r="M243" s="1"/>
      <c r="N243" s="5">
        <f t="shared" ref="N243:N245" si="94">IF(H243=0,0,L243/H243)</f>
        <v>9.5602828082361646E-2</v>
      </c>
      <c r="O243" s="14"/>
      <c r="P243" s="1">
        <f>SUM(OSRRefP22_19x_0)</f>
        <v>-3301.15</v>
      </c>
      <c r="Q243" s="1"/>
      <c r="R243" s="5">
        <f t="shared" ref="R243:R245" si="95">IF(P$12=0,0,P243/P$12)</f>
        <v>-6.1886721621640551E-4</v>
      </c>
      <c r="S243" s="1"/>
      <c r="T243" s="1">
        <f>SUM(OSRRefT22_19x_0)</f>
        <v>2079.73</v>
      </c>
      <c r="U243" s="1"/>
      <c r="V243" s="5">
        <f t="shared" ref="V243:V245" si="96">IF(T$12=0,0,T243/T$12)</f>
        <v>3.7473929061612461E-4</v>
      </c>
      <c r="W243" s="1"/>
      <c r="X243" s="1">
        <f t="shared" ref="X243:X245" si="97">+P243-T243</f>
        <v>-5380.88</v>
      </c>
      <c r="Y243" s="1"/>
      <c r="Z243" s="5">
        <f t="shared" ref="Z243:Z245" si="98">IF(T243=0,0,X243/T243)</f>
        <v>-2.5872973895649918</v>
      </c>
    </row>
    <row r="244" spans="1:26" s="24" customFormat="1" hidden="1" outlineLevel="2" x14ac:dyDescent="0.25">
      <c r="A244" s="28"/>
      <c r="B244" s="11" t="str">
        <f>CONCATENATE("          ", "6258", " - ", "MEMBERSHIP DUES")</f>
        <v xml:space="preserve">          6258 - MEMBERSHIP DUES</v>
      </c>
      <c r="C244" s="11"/>
      <c r="D244" s="6">
        <v>250</v>
      </c>
      <c r="E244" s="2"/>
      <c r="F244" s="7">
        <f t="shared" si="91"/>
        <v>1.7763442348218516E-4</v>
      </c>
      <c r="G244" s="2"/>
      <c r="H244" s="6">
        <v>370</v>
      </c>
      <c r="I244" s="2"/>
      <c r="J244" s="7">
        <f t="shared" si="92"/>
        <v>2.655226058267975E-4</v>
      </c>
      <c r="K244" s="2"/>
      <c r="L244" s="6">
        <f t="shared" si="93"/>
        <v>-120</v>
      </c>
      <c r="M244" s="2"/>
      <c r="N244" s="7">
        <f t="shared" si="94"/>
        <v>-0.32432432432432434</v>
      </c>
      <c r="O244" s="11"/>
      <c r="P244" s="6">
        <v>-4091.15</v>
      </c>
      <c r="Q244" s="2"/>
      <c r="R244" s="7">
        <f t="shared" si="95"/>
        <v>-7.6696866595693839E-4</v>
      </c>
      <c r="S244" s="2"/>
      <c r="T244" s="6">
        <v>892.1</v>
      </c>
      <c r="U244" s="2"/>
      <c r="V244" s="7">
        <f t="shared" si="96"/>
        <v>1.6074438564556205E-4</v>
      </c>
      <c r="W244" s="2"/>
      <c r="X244" s="6">
        <f t="shared" si="97"/>
        <v>-4983.25</v>
      </c>
      <c r="Y244" s="2"/>
      <c r="Z244" s="7">
        <f t="shared" si="98"/>
        <v>-5.5859769084183384</v>
      </c>
    </row>
    <row r="245" spans="1:26" s="24" customFormat="1" hidden="1" outlineLevel="2" x14ac:dyDescent="0.25">
      <c r="A245" s="28"/>
      <c r="B245" s="11" t="str">
        <f>CONCATENATE("          ", "6275", " - ", "SUBSCRIPTIONS")</f>
        <v xml:space="preserve">          6275 - SUBSCRIPTIONS</v>
      </c>
      <c r="C245" s="11"/>
      <c r="D245" s="6">
        <v>456.62</v>
      </c>
      <c r="E245" s="2"/>
      <c r="F245" s="7">
        <f t="shared" si="91"/>
        <v>3.2444572180174156E-4</v>
      </c>
      <c r="G245" s="2"/>
      <c r="H245" s="6">
        <v>274.95999999999998</v>
      </c>
      <c r="I245" s="2"/>
      <c r="J245" s="7">
        <f t="shared" si="92"/>
        <v>1.9731917756253035E-4</v>
      </c>
      <c r="K245" s="2"/>
      <c r="L245" s="6">
        <f t="shared" si="93"/>
        <v>181.66000000000003</v>
      </c>
      <c r="M245" s="2"/>
      <c r="N245" s="7">
        <f t="shared" si="94"/>
        <v>0.66067791678789656</v>
      </c>
      <c r="O245" s="11"/>
      <c r="P245" s="6">
        <v>790</v>
      </c>
      <c r="Q245" s="2"/>
      <c r="R245" s="7">
        <f t="shared" si="95"/>
        <v>1.4810144974053294E-4</v>
      </c>
      <c r="S245" s="2"/>
      <c r="T245" s="6">
        <v>1187.6300000000001</v>
      </c>
      <c r="U245" s="2"/>
      <c r="V245" s="7">
        <f t="shared" si="96"/>
        <v>2.1399490497056258E-4</v>
      </c>
      <c r="W245" s="2"/>
      <c r="X245" s="6">
        <f t="shared" si="97"/>
        <v>-397.63000000000011</v>
      </c>
      <c r="Y245" s="2"/>
      <c r="Z245" s="7">
        <f t="shared" si="98"/>
        <v>-0.33480966294216219</v>
      </c>
    </row>
    <row r="246" spans="1:26" s="29" customFormat="1" outlineLevel="1" collapsed="1" x14ac:dyDescent="0.25">
      <c r="A246" s="27"/>
      <c r="B246" s="14" t="str">
        <f>CONCATENATE("     ","Supplies                                          ")</f>
        <v xml:space="preserve">     Supplies                                          </v>
      </c>
      <c r="C246" s="14"/>
      <c r="D246" s="1">
        <f>SUM(OSRRefD22_20x_0)</f>
        <v>20213.899999999998</v>
      </c>
      <c r="E246" s="1"/>
      <c r="F246" s="5">
        <f t="shared" ref="F246:F252" si="99">IF(D$12=0,0,D246/D$12)</f>
        <v>1.4362737891306168E-2</v>
      </c>
      <c r="G246" s="1"/>
      <c r="H246" s="1">
        <f>SUM(OSRRefH22_20x_0)</f>
        <v>17199.77</v>
      </c>
      <c r="I246" s="1"/>
      <c r="J246" s="5">
        <f t="shared" ref="J246:J252" si="100">IF(H$12=0,0,H246/H$12)</f>
        <v>1.2343047973031289E-2</v>
      </c>
      <c r="K246" s="1"/>
      <c r="L246" s="1">
        <f t="shared" ref="L246:L252" si="101">+D246-H246</f>
        <v>3014.1299999999974</v>
      </c>
      <c r="M246" s="1"/>
      <c r="N246" s="5">
        <f t="shared" ref="N246:N252" si="102">IF(H246=0,0,L246/H246)</f>
        <v>0.17524245963754151</v>
      </c>
      <c r="O246" s="14"/>
      <c r="P246" s="1">
        <f>SUM(OSRRefP22_20x_0)</f>
        <v>33426.160000000003</v>
      </c>
      <c r="Q246" s="1"/>
      <c r="R246" s="5">
        <f t="shared" ref="R246:R252" si="103">IF(P$12=0,0,P246/P$12)</f>
        <v>6.2664085509607755E-3</v>
      </c>
      <c r="S246" s="1"/>
      <c r="T246" s="1">
        <f>SUM(OSRRefT22_20x_0)</f>
        <v>49590.86</v>
      </c>
      <c r="U246" s="1"/>
      <c r="V246" s="5">
        <f t="shared" ref="V246:V252" si="104">IF(T$12=0,0,T246/T$12)</f>
        <v>8.9356039954434224E-3</v>
      </c>
      <c r="W246" s="1"/>
      <c r="X246" s="1">
        <f t="shared" ref="X246:X252" si="105">+P246-T246</f>
        <v>-16164.699999999997</v>
      </c>
      <c r="Y246" s="1"/>
      <c r="Z246" s="5">
        <f t="shared" ref="Z246:Z252" si="106">IF(T246=0,0,X246/T246)</f>
        <v>-0.32596127592866903</v>
      </c>
    </row>
    <row r="247" spans="1:26" s="24" customFormat="1" hidden="1" outlineLevel="2" x14ac:dyDescent="0.25">
      <c r="A247" s="28"/>
      <c r="B247" s="11" t="str">
        <f>CONCATENATE("          ", "6234", " - ", "EXPENDABLE SUPPLIES &amp; EQUIPMEN")</f>
        <v xml:space="preserve">          6234 - EXPENDABLE SUPPLIES &amp; EQUIPMEN</v>
      </c>
      <c r="C247" s="11"/>
      <c r="D247" s="6"/>
      <c r="E247" s="2"/>
      <c r="F247" s="7">
        <f t="shared" si="99"/>
        <v>0</v>
      </c>
      <c r="G247" s="2"/>
      <c r="H247" s="6"/>
      <c r="I247" s="2"/>
      <c r="J247" s="7">
        <f t="shared" si="100"/>
        <v>0</v>
      </c>
      <c r="K247" s="2"/>
      <c r="L247" s="6">
        <f t="shared" si="101"/>
        <v>0</v>
      </c>
      <c r="M247" s="2"/>
      <c r="N247" s="7">
        <f t="shared" si="102"/>
        <v>0</v>
      </c>
      <c r="O247" s="11"/>
      <c r="P247" s="6">
        <v>1716.1</v>
      </c>
      <c r="Q247" s="2"/>
      <c r="R247" s="7">
        <f t="shared" si="103"/>
        <v>3.2171759227813741E-4</v>
      </c>
      <c r="S247" s="2"/>
      <c r="T247" s="6">
        <v>1213.8900000000001</v>
      </c>
      <c r="U247" s="2"/>
      <c r="V247" s="7">
        <f t="shared" si="104"/>
        <v>2.187266027253574E-4</v>
      </c>
      <c r="W247" s="2"/>
      <c r="X247" s="6">
        <f t="shared" si="105"/>
        <v>502.20999999999981</v>
      </c>
      <c r="Y247" s="2"/>
      <c r="Z247" s="7">
        <f t="shared" si="106"/>
        <v>0.41371952977617393</v>
      </c>
    </row>
    <row r="248" spans="1:26" s="24" customFormat="1" hidden="1" outlineLevel="2" x14ac:dyDescent="0.25">
      <c r="A248" s="28"/>
      <c r="B248" s="11" t="str">
        <f>CONCATENATE("          ", "6237", " - ", "JANITORIAL SUPPLIES")</f>
        <v xml:space="preserve">          6237 - JANITORIAL SUPPLIES</v>
      </c>
      <c r="C248" s="11"/>
      <c r="D248" s="6">
        <v>1088.21</v>
      </c>
      <c r="E248" s="2"/>
      <c r="F248" s="7">
        <f t="shared" si="99"/>
        <v>7.732142239101949E-4</v>
      </c>
      <c r="G248" s="2"/>
      <c r="H248" s="6">
        <v>124.76</v>
      </c>
      <c r="I248" s="2"/>
      <c r="J248" s="7">
        <f t="shared" si="100"/>
        <v>8.9531352170138531E-5</v>
      </c>
      <c r="K248" s="2"/>
      <c r="L248" s="6">
        <f t="shared" si="101"/>
        <v>963.45</v>
      </c>
      <c r="M248" s="2"/>
      <c r="N248" s="7">
        <f t="shared" si="102"/>
        <v>7.7224270599551135</v>
      </c>
      <c r="O248" s="11"/>
      <c r="P248" s="6">
        <v>1863.61</v>
      </c>
      <c r="Q248" s="2"/>
      <c r="R248" s="7">
        <f t="shared" si="103"/>
        <v>3.4937131993791716E-4</v>
      </c>
      <c r="S248" s="2"/>
      <c r="T248" s="6">
        <v>1311.78</v>
      </c>
      <c r="U248" s="2"/>
      <c r="V248" s="7">
        <f t="shared" si="104"/>
        <v>2.3636506019743907E-4</v>
      </c>
      <c r="W248" s="2"/>
      <c r="X248" s="6">
        <f t="shared" si="105"/>
        <v>551.82999999999993</v>
      </c>
      <c r="Y248" s="2"/>
      <c r="Z248" s="7">
        <f t="shared" si="106"/>
        <v>0.42067267377151651</v>
      </c>
    </row>
    <row r="249" spans="1:26" s="24" customFormat="1" hidden="1" outlineLevel="2" x14ac:dyDescent="0.25">
      <c r="A249" s="28"/>
      <c r="B249" s="11" t="str">
        <f>CONCATENATE("          ", "6241", " - ", "OFFICE EXPENSE")</f>
        <v xml:space="preserve">          6241 - OFFICE EXPENSE</v>
      </c>
      <c r="C249" s="11"/>
      <c r="D249" s="6">
        <v>2997.41</v>
      </c>
      <c r="E249" s="2"/>
      <c r="F249" s="7">
        <f t="shared" si="99"/>
        <v>2.1297727891589464E-3</v>
      </c>
      <c r="G249" s="2"/>
      <c r="H249" s="6">
        <v>575.03</v>
      </c>
      <c r="I249" s="2"/>
      <c r="J249" s="7">
        <f t="shared" si="100"/>
        <v>4.1265801088806312E-4</v>
      </c>
      <c r="K249" s="2"/>
      <c r="L249" s="6">
        <f t="shared" si="101"/>
        <v>2422.38</v>
      </c>
      <c r="M249" s="2"/>
      <c r="N249" s="7">
        <f t="shared" si="102"/>
        <v>4.2126149940003135</v>
      </c>
      <c r="O249" s="11"/>
      <c r="P249" s="6">
        <v>10195.92</v>
      </c>
      <c r="Q249" s="2"/>
      <c r="R249" s="7">
        <f t="shared" si="103"/>
        <v>1.9114310549854362E-3</v>
      </c>
      <c r="S249" s="2"/>
      <c r="T249" s="6">
        <v>7937.03</v>
      </c>
      <c r="U249" s="2"/>
      <c r="V249" s="7">
        <f t="shared" si="104"/>
        <v>1.43014573612868E-3</v>
      </c>
      <c r="W249" s="2"/>
      <c r="X249" s="6">
        <f t="shared" si="105"/>
        <v>2258.8900000000003</v>
      </c>
      <c r="Y249" s="2"/>
      <c r="Z249" s="7">
        <f t="shared" si="106"/>
        <v>0.28460141891866358</v>
      </c>
    </row>
    <row r="250" spans="1:26" s="24" customFormat="1" hidden="1" outlineLevel="2" x14ac:dyDescent="0.25">
      <c r="A250" s="28"/>
      <c r="B250" s="11" t="str">
        <f>CONCATENATE("          ", "6243", " - ", "PAPER SUPPLIES")</f>
        <v xml:space="preserve">          6243 - PAPER SUPPLIES</v>
      </c>
      <c r="C250" s="11"/>
      <c r="D250" s="6">
        <v>318.66000000000003</v>
      </c>
      <c r="E250" s="2"/>
      <c r="F250" s="7">
        <f t="shared" si="99"/>
        <v>2.2641994154733251E-4</v>
      </c>
      <c r="G250" s="2"/>
      <c r="H250" s="6">
        <v>6071.85</v>
      </c>
      <c r="I250" s="2"/>
      <c r="J250" s="7">
        <f t="shared" si="100"/>
        <v>4.3573336059174071E-3</v>
      </c>
      <c r="K250" s="2"/>
      <c r="L250" s="6">
        <f t="shared" si="101"/>
        <v>-5753.1900000000005</v>
      </c>
      <c r="M250" s="2"/>
      <c r="N250" s="7">
        <f t="shared" si="102"/>
        <v>-0.94751846636527581</v>
      </c>
      <c r="O250" s="11"/>
      <c r="P250" s="6">
        <v>2976.95</v>
      </c>
      <c r="Q250" s="2"/>
      <c r="R250" s="7">
        <f t="shared" si="103"/>
        <v>5.5808938076592346E-4</v>
      </c>
      <c r="S250" s="2"/>
      <c r="T250" s="6">
        <v>8354.14</v>
      </c>
      <c r="U250" s="2"/>
      <c r="V250" s="7">
        <f t="shared" si="104"/>
        <v>1.5053033313496421E-3</v>
      </c>
      <c r="W250" s="2"/>
      <c r="X250" s="6">
        <f t="shared" si="105"/>
        <v>-5377.19</v>
      </c>
      <c r="Y250" s="2"/>
      <c r="Z250" s="7">
        <f t="shared" si="106"/>
        <v>-0.643655720397312</v>
      </c>
    </row>
    <row r="251" spans="1:26" s="24" customFormat="1" hidden="1" outlineLevel="2" x14ac:dyDescent="0.25">
      <c r="A251" s="28"/>
      <c r="B251" s="11" t="str">
        <f>CONCATENATE("          ", "6245", " - ", "PRINTING")</f>
        <v xml:space="preserve">          6245 - PRINTING</v>
      </c>
      <c r="C251" s="11"/>
      <c r="D251" s="6">
        <v>254.9</v>
      </c>
      <c r="E251" s="2"/>
      <c r="F251" s="7">
        <f t="shared" si="99"/>
        <v>1.8111605818243599E-4</v>
      </c>
      <c r="G251" s="2"/>
      <c r="H251" s="6">
        <v>3902.94</v>
      </c>
      <c r="I251" s="2"/>
      <c r="J251" s="7">
        <f t="shared" si="100"/>
        <v>2.8008616194206515E-3</v>
      </c>
      <c r="K251" s="2"/>
      <c r="L251" s="6">
        <f t="shared" si="101"/>
        <v>-3648.04</v>
      </c>
      <c r="M251" s="2"/>
      <c r="N251" s="7">
        <f t="shared" si="102"/>
        <v>-0.93469025913798309</v>
      </c>
      <c r="O251" s="11"/>
      <c r="P251" s="6">
        <v>5240.01</v>
      </c>
      <c r="Q251" s="2"/>
      <c r="R251" s="7">
        <f t="shared" si="103"/>
        <v>9.8234566791758227E-4</v>
      </c>
      <c r="S251" s="2"/>
      <c r="T251" s="6">
        <v>5678.39</v>
      </c>
      <c r="U251" s="2"/>
      <c r="V251" s="7">
        <f t="shared" si="104"/>
        <v>1.0231692769935021E-3</v>
      </c>
      <c r="W251" s="2"/>
      <c r="X251" s="6">
        <f t="shared" si="105"/>
        <v>-438.38000000000011</v>
      </c>
      <c r="Y251" s="2"/>
      <c r="Z251" s="7">
        <f t="shared" si="106"/>
        <v>-7.7201460273070371E-2</v>
      </c>
    </row>
    <row r="252" spans="1:26" s="24" customFormat="1" hidden="1" outlineLevel="2" x14ac:dyDescent="0.25">
      <c r="A252" s="28"/>
      <c r="B252" s="11" t="str">
        <f>CONCATENATE("          ", "6247", " - ", "STORE SUPPLIES")</f>
        <v xml:space="preserve">          6247 - STORE SUPPLIES</v>
      </c>
      <c r="C252" s="11"/>
      <c r="D252" s="6">
        <v>15554.72</v>
      </c>
      <c r="E252" s="2"/>
      <c r="F252" s="7">
        <f t="shared" si="99"/>
        <v>1.1052214878507259E-2</v>
      </c>
      <c r="G252" s="2"/>
      <c r="H252" s="6">
        <v>6525.19</v>
      </c>
      <c r="I252" s="2"/>
      <c r="J252" s="7">
        <f t="shared" si="100"/>
        <v>4.6826633846350288E-3</v>
      </c>
      <c r="K252" s="2"/>
      <c r="L252" s="6">
        <f t="shared" si="101"/>
        <v>9029.5299999999988</v>
      </c>
      <c r="M252" s="2"/>
      <c r="N252" s="7">
        <f t="shared" si="102"/>
        <v>1.3837957208908858</v>
      </c>
      <c r="O252" s="11"/>
      <c r="P252" s="6">
        <v>11433.57</v>
      </c>
      <c r="Q252" s="2"/>
      <c r="R252" s="7">
        <f t="shared" si="103"/>
        <v>2.1434535350757788E-3</v>
      </c>
      <c r="S252" s="2"/>
      <c r="T252" s="6">
        <v>25095.63</v>
      </c>
      <c r="U252" s="2"/>
      <c r="V252" s="7">
        <f t="shared" si="104"/>
        <v>4.5218939880488024E-3</v>
      </c>
      <c r="W252" s="2"/>
      <c r="X252" s="6">
        <f t="shared" si="105"/>
        <v>-13662.060000000001</v>
      </c>
      <c r="Y252" s="2"/>
      <c r="Z252" s="7">
        <f t="shared" si="106"/>
        <v>-0.54439996126815704</v>
      </c>
    </row>
    <row r="253" spans="1:26" s="29" customFormat="1" outlineLevel="1" collapsed="1" x14ac:dyDescent="0.25">
      <c r="A253" s="27"/>
      <c r="B253" s="14" t="str">
        <f>CONCATENATE("     ","Telephone/Data Lines                              ")</f>
        <v xml:space="preserve">     Telephone/Data Lines                              </v>
      </c>
      <c r="C253" s="14"/>
      <c r="D253" s="1">
        <f>SUM(OSRRefD22_21x_0)</f>
        <v>6329.03</v>
      </c>
      <c r="E253" s="1"/>
      <c r="F253" s="5">
        <f t="shared" ref="F253:F255" si="107">IF(D$12=0,0,D253/D$12)</f>
        <v>4.4970143810058169E-3</v>
      </c>
      <c r="G253" s="1"/>
      <c r="H253" s="1">
        <f>SUM(OSRRefH22_21x_0)</f>
        <v>4694.8500000000004</v>
      </c>
      <c r="I253" s="1"/>
      <c r="J253" s="5">
        <f t="shared" ref="J253:J255" si="108">IF(H$12=0,0,H253/H$12)</f>
        <v>3.3691589350430817E-3</v>
      </c>
      <c r="K253" s="1"/>
      <c r="L253" s="1">
        <f t="shared" ref="L253:L255" si="109">+D253-H253</f>
        <v>1634.1799999999994</v>
      </c>
      <c r="M253" s="1"/>
      <c r="N253" s="5">
        <f t="shared" ref="N253:N255" si="110">IF(H253=0,0,L253/H253)</f>
        <v>0.34807927835820085</v>
      </c>
      <c r="O253" s="14"/>
      <c r="P253" s="1">
        <f>SUM(OSRRefP22_21x_0)</f>
        <v>11177.7</v>
      </c>
      <c r="Q253" s="1"/>
      <c r="R253" s="5">
        <f t="shared" ref="R253:R255" si="111">IF(P$12=0,0,P253/P$12)</f>
        <v>2.0954855376769054E-3</v>
      </c>
      <c r="S253" s="1"/>
      <c r="T253" s="1">
        <f>SUM(OSRRefT22_21x_0)</f>
        <v>10671.85</v>
      </c>
      <c r="U253" s="1"/>
      <c r="V253" s="5">
        <f t="shared" ref="V253:V255" si="112">IF(T$12=0,0,T253/T$12)</f>
        <v>1.9229234076354573E-3</v>
      </c>
      <c r="W253" s="1"/>
      <c r="X253" s="1">
        <f t="shared" ref="X253:X255" si="113">+P253-T253</f>
        <v>505.85000000000036</v>
      </c>
      <c r="Y253" s="1"/>
      <c r="Z253" s="5">
        <f t="shared" ref="Z253:Z255" si="114">IF(T253=0,0,X253/T253)</f>
        <v>4.7400403866246277E-2</v>
      </c>
    </row>
    <row r="254" spans="1:26" s="24" customFormat="1" hidden="1" outlineLevel="2" x14ac:dyDescent="0.25">
      <c r="A254" s="28"/>
      <c r="B254" s="11" t="str">
        <f>CONCATENATE("          ", "6303", " - ", "DATA PHONE LINES")</f>
        <v xml:space="preserve">          6303 - DATA PHONE LINES</v>
      </c>
      <c r="C254" s="11"/>
      <c r="D254" s="6">
        <v>295</v>
      </c>
      <c r="E254" s="2"/>
      <c r="F254" s="7">
        <f t="shared" si="107"/>
        <v>2.0960861970897849E-4</v>
      </c>
      <c r="G254" s="2"/>
      <c r="H254" s="6"/>
      <c r="I254" s="2"/>
      <c r="J254" s="7">
        <f t="shared" si="108"/>
        <v>0</v>
      </c>
      <c r="K254" s="2"/>
      <c r="L254" s="6">
        <f t="shared" si="109"/>
        <v>295</v>
      </c>
      <c r="M254" s="2"/>
      <c r="N254" s="7">
        <f t="shared" si="110"/>
        <v>0</v>
      </c>
      <c r="O254" s="11"/>
      <c r="P254" s="6">
        <v>885</v>
      </c>
      <c r="Q254" s="2"/>
      <c r="R254" s="7">
        <f t="shared" si="111"/>
        <v>1.6591111774730589E-4</v>
      </c>
      <c r="S254" s="2"/>
      <c r="T254" s="6">
        <v>590</v>
      </c>
      <c r="U254" s="2"/>
      <c r="V254" s="7">
        <f t="shared" si="112"/>
        <v>1.0631004094931243E-4</v>
      </c>
      <c r="W254" s="2"/>
      <c r="X254" s="6">
        <f t="shared" si="113"/>
        <v>295</v>
      </c>
      <c r="Y254" s="2"/>
      <c r="Z254" s="7">
        <f t="shared" si="114"/>
        <v>0.5</v>
      </c>
    </row>
    <row r="255" spans="1:26" s="24" customFormat="1" hidden="1" outlineLevel="2" x14ac:dyDescent="0.25">
      <c r="A255" s="28"/>
      <c r="B255" s="11" t="str">
        <f>CONCATENATE("          ", "6309", " - ", "TELEPHONE")</f>
        <v xml:space="preserve">          6309 - TELEPHONE</v>
      </c>
      <c r="C255" s="11"/>
      <c r="D255" s="6">
        <v>6034.03</v>
      </c>
      <c r="E255" s="2"/>
      <c r="F255" s="7">
        <f t="shared" si="107"/>
        <v>4.2874057612968383E-3</v>
      </c>
      <c r="G255" s="2"/>
      <c r="H255" s="6">
        <v>4694.8500000000004</v>
      </c>
      <c r="I255" s="2"/>
      <c r="J255" s="7">
        <f t="shared" si="108"/>
        <v>3.3691589350430817E-3</v>
      </c>
      <c r="K255" s="2"/>
      <c r="L255" s="6">
        <f t="shared" si="109"/>
        <v>1339.1799999999994</v>
      </c>
      <c r="M255" s="2"/>
      <c r="N255" s="7">
        <f t="shared" si="110"/>
        <v>0.28524447000436631</v>
      </c>
      <c r="O255" s="11"/>
      <c r="P255" s="6">
        <v>10292.700000000001</v>
      </c>
      <c r="Q255" s="2"/>
      <c r="R255" s="7">
        <f t="shared" si="111"/>
        <v>1.9295744199295994E-3</v>
      </c>
      <c r="S255" s="2"/>
      <c r="T255" s="6">
        <v>10081.85</v>
      </c>
      <c r="U255" s="2"/>
      <c r="V255" s="7">
        <f t="shared" si="112"/>
        <v>1.8166133666861449E-3</v>
      </c>
      <c r="W255" s="2"/>
      <c r="X255" s="6">
        <f t="shared" si="113"/>
        <v>210.85000000000036</v>
      </c>
      <c r="Y255" s="2"/>
      <c r="Z255" s="7">
        <f t="shared" si="114"/>
        <v>2.0913820380188197E-2</v>
      </c>
    </row>
    <row r="256" spans="1:26" s="29" customFormat="1" outlineLevel="1" collapsed="1" x14ac:dyDescent="0.25">
      <c r="A256" s="27"/>
      <c r="B256" s="14" t="str">
        <f>CONCATENATE("     ","Training                                          ")</f>
        <v xml:space="preserve">     Training                                          </v>
      </c>
      <c r="C256" s="14"/>
      <c r="D256" s="1">
        <f>SUM(OSRRefD22_22x_0)</f>
        <v>-4902.29</v>
      </c>
      <c r="E256" s="1"/>
      <c r="F256" s="5">
        <f t="shared" ref="F256:F261" si="115">IF(D$12=0,0,D256/D$12)</f>
        <v>-3.4832618315699258E-3</v>
      </c>
      <c r="G256" s="1"/>
      <c r="H256" s="1">
        <f>SUM(OSRRefH22_22x_0)</f>
        <v>1679.65</v>
      </c>
      <c r="I256" s="1"/>
      <c r="J256" s="5">
        <f t="shared" ref="J256:J261" si="116">IF(H$12=0,0,H256/H$12)</f>
        <v>1.2053649861540011E-3</v>
      </c>
      <c r="K256" s="1"/>
      <c r="L256" s="1">
        <f t="shared" ref="L256:L261" si="117">+D256-H256</f>
        <v>-6581.9400000000005</v>
      </c>
      <c r="M256" s="1"/>
      <c r="N256" s="5">
        <f t="shared" ref="N256:N261" si="118">IF(H256=0,0,L256/H256)</f>
        <v>-3.9186378114488138</v>
      </c>
      <c r="O256" s="14"/>
      <c r="P256" s="1">
        <f>SUM(OSRRefP22_22x_0)</f>
        <v>2420.2399999999998</v>
      </c>
      <c r="Q256" s="1"/>
      <c r="R256" s="5">
        <f t="shared" ref="R256:R261" si="119">IF(P$12=0,0,P256/P$12)</f>
        <v>4.5372285154433851E-4</v>
      </c>
      <c r="S256" s="1"/>
      <c r="T256" s="1">
        <f>SUM(OSRRefT22_22x_0)</f>
        <v>-175.26</v>
      </c>
      <c r="U256" s="1"/>
      <c r="V256" s="5">
        <f t="shared" ref="V256:V261" si="120">IF(T$12=0,0,T256/T$12)</f>
        <v>-3.1579487757248298E-5</v>
      </c>
      <c r="W256" s="1"/>
      <c r="X256" s="1">
        <f t="shared" ref="X256:X261" si="121">+P256-T256</f>
        <v>2595.5</v>
      </c>
      <c r="Y256" s="1"/>
      <c r="Z256" s="5">
        <f t="shared" ref="Z256:Z261" si="122">IF(T256=0,0,X256/T256)</f>
        <v>-14.809425995663586</v>
      </c>
    </row>
    <row r="257" spans="1:26" s="24" customFormat="1" hidden="1" outlineLevel="2" x14ac:dyDescent="0.25">
      <c r="A257" s="28"/>
      <c r="B257" s="11" t="str">
        <f>CONCATENATE("          ", "6376", " - ", "TRAINING")</f>
        <v xml:space="preserve">          6376 - TRAINING</v>
      </c>
      <c r="C257" s="11"/>
      <c r="D257" s="6">
        <v>-4902.29</v>
      </c>
      <c r="E257" s="2"/>
      <c r="F257" s="7">
        <f t="shared" si="115"/>
        <v>-3.4832618315699258E-3</v>
      </c>
      <c r="G257" s="2"/>
      <c r="H257" s="6">
        <v>1679.65</v>
      </c>
      <c r="I257" s="2"/>
      <c r="J257" s="7">
        <f t="shared" si="116"/>
        <v>1.2053649861540011E-3</v>
      </c>
      <c r="K257" s="2"/>
      <c r="L257" s="6">
        <f t="shared" si="117"/>
        <v>-6581.9400000000005</v>
      </c>
      <c r="M257" s="2"/>
      <c r="N257" s="7">
        <f t="shared" si="118"/>
        <v>-3.9186378114488138</v>
      </c>
      <c r="O257" s="11"/>
      <c r="P257" s="6">
        <v>2420.2399999999998</v>
      </c>
      <c r="Q257" s="2"/>
      <c r="R257" s="7">
        <f t="shared" si="119"/>
        <v>4.5372285154433851E-4</v>
      </c>
      <c r="S257" s="2"/>
      <c r="T257" s="6">
        <v>-175.26</v>
      </c>
      <c r="U257" s="2"/>
      <c r="V257" s="7">
        <f t="shared" si="120"/>
        <v>-3.1579487757248298E-5</v>
      </c>
      <c r="W257" s="2"/>
      <c r="X257" s="6">
        <f t="shared" si="121"/>
        <v>2595.5</v>
      </c>
      <c r="Y257" s="2"/>
      <c r="Z257" s="7">
        <f t="shared" si="122"/>
        <v>-14.809425995663586</v>
      </c>
    </row>
    <row r="258" spans="1:26" s="29" customFormat="1" outlineLevel="1" collapsed="1" x14ac:dyDescent="0.25">
      <c r="A258" s="27"/>
      <c r="B258" s="14" t="str">
        <f>CONCATENATE("     ","Travel                                            ")</f>
        <v xml:space="preserve">     Travel                                            </v>
      </c>
      <c r="C258" s="14"/>
      <c r="D258" s="1">
        <f>SUM(OSRRefD22_23x_0)</f>
        <v>207.82999999999998</v>
      </c>
      <c r="E258" s="1"/>
      <c r="F258" s="5">
        <f t="shared" si="115"/>
        <v>1.4767104892921015E-4</v>
      </c>
      <c r="G258" s="1"/>
      <c r="H258" s="1">
        <f>SUM(OSRRefH22_23x_0)</f>
        <v>193.42</v>
      </c>
      <c r="I258" s="1"/>
      <c r="J258" s="5">
        <f t="shared" si="116"/>
        <v>1.3880373626761936E-4</v>
      </c>
      <c r="K258" s="1"/>
      <c r="L258" s="1">
        <f t="shared" si="117"/>
        <v>14.409999999999997</v>
      </c>
      <c r="M258" s="1"/>
      <c r="N258" s="5">
        <f t="shared" si="118"/>
        <v>7.4501085720194385E-2</v>
      </c>
      <c r="O258" s="14"/>
      <c r="P258" s="1">
        <f>SUM(OSRRefP22_23x_0)</f>
        <v>613.86</v>
      </c>
      <c r="Q258" s="1"/>
      <c r="R258" s="5">
        <f t="shared" si="119"/>
        <v>1.1508045055408044E-4</v>
      </c>
      <c r="S258" s="1"/>
      <c r="T258" s="1">
        <f>SUM(OSRRefT22_23x_0)</f>
        <v>797.64</v>
      </c>
      <c r="U258" s="1"/>
      <c r="V258" s="5">
        <f t="shared" si="120"/>
        <v>1.4372396790306705E-4</v>
      </c>
      <c r="W258" s="1"/>
      <c r="X258" s="1">
        <f t="shared" si="121"/>
        <v>-183.77999999999997</v>
      </c>
      <c r="Y258" s="1"/>
      <c r="Z258" s="5">
        <f t="shared" si="122"/>
        <v>-0.23040469384684817</v>
      </c>
    </row>
    <row r="259" spans="1:26" s="24" customFormat="1" hidden="1" outlineLevel="2" x14ac:dyDescent="0.25">
      <c r="A259" s="28"/>
      <c r="B259" s="11" t="str">
        <f>CONCATENATE("          ", "6292", " - ", "TRAVEL/CONFERENCE")</f>
        <v xml:space="preserve">          6292 - TRAVEL/CONFERENCE</v>
      </c>
      <c r="C259" s="11"/>
      <c r="D259" s="6">
        <v>91.13</v>
      </c>
      <c r="E259" s="2"/>
      <c r="F259" s="7">
        <f t="shared" si="115"/>
        <v>6.475130004772613E-5</v>
      </c>
      <c r="G259" s="2"/>
      <c r="H259" s="6">
        <v>115.39</v>
      </c>
      <c r="I259" s="2"/>
      <c r="J259" s="7">
        <f t="shared" si="116"/>
        <v>8.2807171584740985E-5</v>
      </c>
      <c r="K259" s="2"/>
      <c r="L259" s="6">
        <f t="shared" si="117"/>
        <v>-24.260000000000005</v>
      </c>
      <c r="M259" s="2"/>
      <c r="N259" s="7">
        <f t="shared" si="118"/>
        <v>-0.21024352196897483</v>
      </c>
      <c r="O259" s="11"/>
      <c r="P259" s="6">
        <v>341.77</v>
      </c>
      <c r="Q259" s="2"/>
      <c r="R259" s="7">
        <f t="shared" si="119"/>
        <v>6.4071686680787268E-5</v>
      </c>
      <c r="S259" s="2"/>
      <c r="T259" s="6">
        <v>468.87</v>
      </c>
      <c r="U259" s="2"/>
      <c r="V259" s="7">
        <f t="shared" si="120"/>
        <v>8.4484048982888329E-5</v>
      </c>
      <c r="W259" s="2"/>
      <c r="X259" s="6">
        <f t="shared" si="121"/>
        <v>-127.10000000000002</v>
      </c>
      <c r="Y259" s="2"/>
      <c r="Z259" s="7">
        <f t="shared" si="122"/>
        <v>-0.27107727088532008</v>
      </c>
    </row>
    <row r="260" spans="1:26" s="24" customFormat="1" hidden="1" outlineLevel="2" x14ac:dyDescent="0.25">
      <c r="A260" s="28"/>
      <c r="B260" s="11" t="str">
        <f>CONCATENATE("          ", "6294", " - ", "TRAVEL OPERATIONAL")</f>
        <v xml:space="preserve">          6294 - TRAVEL OPERATIONAL</v>
      </c>
      <c r="C260" s="11"/>
      <c r="D260" s="6">
        <v>33.43</v>
      </c>
      <c r="E260" s="2"/>
      <c r="F260" s="7">
        <f t="shared" si="115"/>
        <v>2.3753275108037799E-5</v>
      </c>
      <c r="G260" s="2"/>
      <c r="H260" s="6">
        <v>55.81</v>
      </c>
      <c r="I260" s="2"/>
      <c r="J260" s="7">
        <f t="shared" si="116"/>
        <v>4.0050855759982616E-5</v>
      </c>
      <c r="K260" s="2"/>
      <c r="L260" s="6">
        <f t="shared" si="117"/>
        <v>-22.380000000000003</v>
      </c>
      <c r="M260" s="2"/>
      <c r="N260" s="7">
        <f t="shared" si="118"/>
        <v>-0.40100340440781224</v>
      </c>
      <c r="O260" s="11"/>
      <c r="P260" s="6">
        <v>102.1</v>
      </c>
      <c r="Q260" s="2"/>
      <c r="R260" s="7">
        <f t="shared" si="119"/>
        <v>1.9140706352542293E-5</v>
      </c>
      <c r="S260" s="2"/>
      <c r="T260" s="6">
        <v>255.77</v>
      </c>
      <c r="U260" s="2"/>
      <c r="V260" s="7">
        <f t="shared" si="120"/>
        <v>4.6086303684077355E-5</v>
      </c>
      <c r="W260" s="2"/>
      <c r="X260" s="6">
        <f t="shared" si="121"/>
        <v>-153.67000000000002</v>
      </c>
      <c r="Y260" s="2"/>
      <c r="Z260" s="7">
        <f t="shared" si="122"/>
        <v>-0.6008132306369004</v>
      </c>
    </row>
    <row r="261" spans="1:26" s="24" customFormat="1" hidden="1" outlineLevel="2" x14ac:dyDescent="0.25">
      <c r="A261" s="28"/>
      <c r="B261" s="11" t="str">
        <f>CONCATENATE("          ", "6298", " - ", "VEHICLE MILEAGE")</f>
        <v xml:space="preserve">          6298 - VEHICLE MILEAGE</v>
      </c>
      <c r="C261" s="11"/>
      <c r="D261" s="6">
        <v>83.27</v>
      </c>
      <c r="E261" s="2"/>
      <c r="F261" s="7">
        <f t="shared" si="115"/>
        <v>5.9166473773446231E-5</v>
      </c>
      <c r="G261" s="2"/>
      <c r="H261" s="6">
        <v>22.22</v>
      </c>
      <c r="I261" s="2"/>
      <c r="J261" s="7">
        <f t="shared" si="116"/>
        <v>1.5945708922895784E-5</v>
      </c>
      <c r="K261" s="2"/>
      <c r="L261" s="6">
        <f t="shared" si="117"/>
        <v>61.05</v>
      </c>
      <c r="M261" s="2"/>
      <c r="N261" s="7">
        <f t="shared" si="118"/>
        <v>2.7475247524752477</v>
      </c>
      <c r="O261" s="11"/>
      <c r="P261" s="6">
        <v>169.99</v>
      </c>
      <c r="Q261" s="2"/>
      <c r="R261" s="7">
        <f t="shared" si="119"/>
        <v>3.1868057520750879E-5</v>
      </c>
      <c r="S261" s="2"/>
      <c r="T261" s="6">
        <v>73</v>
      </c>
      <c r="U261" s="2"/>
      <c r="V261" s="7">
        <f t="shared" si="120"/>
        <v>1.3153615236101367E-5</v>
      </c>
      <c r="W261" s="2"/>
      <c r="X261" s="6">
        <f t="shared" si="121"/>
        <v>96.990000000000009</v>
      </c>
      <c r="Y261" s="2"/>
      <c r="Z261" s="7">
        <f t="shared" si="122"/>
        <v>1.3286301369863014</v>
      </c>
    </row>
    <row r="262" spans="1:26" s="29" customFormat="1" outlineLevel="1" collapsed="1" x14ac:dyDescent="0.25">
      <c r="A262" s="27"/>
      <c r="B262" s="14" t="str">
        <f>CONCATENATE("     ","Utilities                                         ")</f>
        <v xml:space="preserve">     Utilities                                         </v>
      </c>
      <c r="C262" s="14"/>
      <c r="D262" s="1">
        <f>SUM(OSRRefD22_24x_0)</f>
        <v>5648.02</v>
      </c>
      <c r="E262" s="1"/>
      <c r="F262" s="5">
        <f t="shared" ref="F262:F263" si="123">IF(D$12=0,0,D262/D$12)</f>
        <v>4.013131106063406E-3</v>
      </c>
      <c r="G262" s="1"/>
      <c r="H262" s="1">
        <f>SUM(OSRRefH22_24x_0)</f>
        <v>4941.1899999999996</v>
      </c>
      <c r="I262" s="1"/>
      <c r="J262" s="5">
        <f t="shared" ref="J262:J263" si="124">IF(H$12=0,0,H262/H$12)</f>
        <v>3.5459395802305768E-3</v>
      </c>
      <c r="K262" s="1"/>
      <c r="L262" s="1">
        <f t="shared" ref="L262:L263" si="125">+D262-H262</f>
        <v>706.83000000000084</v>
      </c>
      <c r="M262" s="1"/>
      <c r="N262" s="5">
        <f t="shared" ref="N262:N263" si="126">IF(H262=0,0,L262/H262)</f>
        <v>0.14304853689091107</v>
      </c>
      <c r="O262" s="14"/>
      <c r="P262" s="1">
        <f>SUM(OSRRefP22_24x_0)</f>
        <v>11337.8</v>
      </c>
      <c r="Q262" s="1"/>
      <c r="R262" s="5">
        <f t="shared" ref="R262:R263" si="127">IF(P$12=0,0,P262/P$12)</f>
        <v>2.1254995150230558E-3</v>
      </c>
      <c r="S262" s="1"/>
      <c r="T262" s="1">
        <f>SUM(OSRRefT22_24x_0)</f>
        <v>16982.550000000003</v>
      </c>
      <c r="U262" s="1"/>
      <c r="V262" s="5">
        <f t="shared" ref="V262:V263" si="128">IF(T$12=0,0,T262/T$12)</f>
        <v>3.0600264168199084E-3</v>
      </c>
      <c r="W262" s="1"/>
      <c r="X262" s="1">
        <f t="shared" ref="X262:X263" si="129">+P262-T262</f>
        <v>-5644.7500000000036</v>
      </c>
      <c r="Y262" s="1"/>
      <c r="Z262" s="5">
        <f t="shared" ref="Z262:Z263" si="130">IF(T262=0,0,X262/T262)</f>
        <v>-0.33238530138289024</v>
      </c>
    </row>
    <row r="263" spans="1:26" s="24" customFormat="1" hidden="1" outlineLevel="2" x14ac:dyDescent="0.25">
      <c r="A263" s="28"/>
      <c r="B263" s="11" t="str">
        <f>CONCATENATE("          ", "6274", " - ", "UTILITIES")</f>
        <v xml:space="preserve">          6274 - UTILITIES</v>
      </c>
      <c r="C263" s="11"/>
      <c r="D263" s="6">
        <v>5648.02</v>
      </c>
      <c r="E263" s="2"/>
      <c r="F263" s="7">
        <f t="shared" si="123"/>
        <v>4.013131106063406E-3</v>
      </c>
      <c r="G263" s="2"/>
      <c r="H263" s="6">
        <v>4941.1899999999996</v>
      </c>
      <c r="I263" s="2"/>
      <c r="J263" s="7">
        <f t="shared" si="124"/>
        <v>3.5459395802305768E-3</v>
      </c>
      <c r="K263" s="2"/>
      <c r="L263" s="6">
        <f t="shared" si="125"/>
        <v>706.83000000000084</v>
      </c>
      <c r="M263" s="2"/>
      <c r="N263" s="7">
        <f t="shared" si="126"/>
        <v>0.14304853689091107</v>
      </c>
      <c r="O263" s="11"/>
      <c r="P263" s="6">
        <v>11337.8</v>
      </c>
      <c r="Q263" s="2"/>
      <c r="R263" s="7">
        <f t="shared" si="127"/>
        <v>2.1254995150230558E-3</v>
      </c>
      <c r="S263" s="2"/>
      <c r="T263" s="6">
        <v>16982.550000000003</v>
      </c>
      <c r="U263" s="2"/>
      <c r="V263" s="7">
        <f t="shared" si="128"/>
        <v>3.0600264168199084E-3</v>
      </c>
      <c r="W263" s="2"/>
      <c r="X263" s="6">
        <f t="shared" si="129"/>
        <v>-5644.7500000000036</v>
      </c>
      <c r="Y263" s="2"/>
      <c r="Z263" s="7">
        <f t="shared" si="130"/>
        <v>-0.33238530138289024</v>
      </c>
    </row>
    <row r="264" spans="1:26" s="53" customFormat="1" x14ac:dyDescent="0.25">
      <c r="A264" s="37"/>
      <c r="B264" s="37"/>
      <c r="C264" s="37"/>
      <c r="D264" s="1"/>
      <c r="E264" s="1"/>
      <c r="F264" s="5"/>
      <c r="G264" s="1"/>
      <c r="H264" s="1"/>
      <c r="I264" s="1"/>
      <c r="J264" s="5"/>
      <c r="K264" s="1"/>
      <c r="L264" s="1"/>
      <c r="M264" s="1"/>
      <c r="N264" s="5"/>
      <c r="O264" s="37"/>
      <c r="P264" s="1"/>
      <c r="Q264" s="1"/>
      <c r="R264" s="5"/>
      <c r="S264" s="1"/>
      <c r="T264" s="1"/>
      <c r="U264" s="1"/>
      <c r="V264" s="5"/>
      <c r="W264" s="1"/>
      <c r="X264" s="1"/>
      <c r="Y264" s="1"/>
      <c r="Z264" s="5"/>
    </row>
    <row r="265" spans="1:26" s="23" customFormat="1" collapsed="1" x14ac:dyDescent="0.25">
      <c r="A265" s="10"/>
      <c r="B265" s="25" t="s">
        <v>0</v>
      </c>
      <c r="C265" s="10"/>
      <c r="D265" s="4">
        <f>SUM(OSRRefD25x_0)</f>
        <v>128496.1</v>
      </c>
      <c r="E265" s="4"/>
      <c r="F265" s="12">
        <f t="shared" ref="F265:F274" si="131">IF(D$12=0,0,D265/D$12)</f>
        <v>9.1301322572836852E-2</v>
      </c>
      <c r="G265" s="4"/>
      <c r="H265" s="4">
        <f>SUM(OSRRefH25x_0)</f>
        <v>83426.89</v>
      </c>
      <c r="I265" s="4"/>
      <c r="J265" s="12">
        <f t="shared" ref="J265:J274" si="132">IF(H$12=0,0,H265/H$12)</f>
        <v>5.9869527645474575E-2</v>
      </c>
      <c r="K265" s="4"/>
      <c r="L265" s="4">
        <f t="shared" ref="L265:L274" si="133">+D265-H265</f>
        <v>45069.210000000006</v>
      </c>
      <c r="M265" s="4"/>
      <c r="N265" s="12">
        <f t="shared" ref="N265:N274" si="134">IF(H265=0,0,L265/H265)</f>
        <v>0.54022402129577174</v>
      </c>
      <c r="O265" s="10"/>
      <c r="P265" s="4">
        <f>SUM(OSRRefP25x_0)</f>
        <v>246689.41</v>
      </c>
      <c r="Q265" s="4"/>
      <c r="R265" s="12">
        <f t="shared" ref="R265:R274" si="135">IF(P$12=0,0,P265/P$12)</f>
        <v>4.6246910451438888E-2</v>
      </c>
      <c r="S265" s="4"/>
      <c r="T265" s="4">
        <f>SUM(OSRRefT25x_0)</f>
        <v>235838.81</v>
      </c>
      <c r="U265" s="4"/>
      <c r="V265" s="12">
        <f t="shared" ref="V265:V274" si="136">IF(T$12=0,0,T265/T$12)</f>
        <v>4.2494972116164598E-2</v>
      </c>
      <c r="W265" s="4"/>
      <c r="X265" s="4">
        <f t="shared" ref="X265:X274" si="137">+P265-T265</f>
        <v>10850.600000000006</v>
      </c>
      <c r="Y265" s="4"/>
      <c r="Z265" s="12">
        <f t="shared" ref="Z265:Z274" si="138">IF(T265=0,0,X265/T265)</f>
        <v>4.6008542868750085E-2</v>
      </c>
    </row>
    <row r="266" spans="1:26" s="24" customFormat="1" hidden="1" outlineLevel="1" x14ac:dyDescent="0.25">
      <c r="A266" s="44"/>
      <c r="B266" s="11" t="str">
        <f>CONCATENATE("          ", "4098", " - ", "TAXABLE SALES-GRAD RENTALS")</f>
        <v xml:space="preserve">          4098 - TAXABLE SALES-GRAD RENTALS</v>
      </c>
      <c r="C266" s="11"/>
      <c r="D266" s="2">
        <f>0</f>
        <v>0</v>
      </c>
      <c r="E266" s="2"/>
      <c r="F266" s="19">
        <f t="shared" si="131"/>
        <v>0</v>
      </c>
      <c r="G266" s="2"/>
      <c r="H266" s="2">
        <f>0</f>
        <v>0</v>
      </c>
      <c r="I266" s="2"/>
      <c r="J266" s="19">
        <f t="shared" si="132"/>
        <v>0</v>
      </c>
      <c r="K266" s="2"/>
      <c r="L266" s="2">
        <f t="shared" si="133"/>
        <v>0</v>
      </c>
      <c r="M266" s="2"/>
      <c r="N266" s="19">
        <f t="shared" si="134"/>
        <v>0</v>
      </c>
      <c r="O266" s="11"/>
      <c r="P266" s="2">
        <f>--1626.85</f>
        <v>1626.85</v>
      </c>
      <c r="Q266" s="2"/>
      <c r="R266" s="19">
        <f t="shared" si="135"/>
        <v>3.0498587786124807E-4</v>
      </c>
      <c r="S266" s="2"/>
      <c r="T266" s="2">
        <f>0</f>
        <v>0</v>
      </c>
      <c r="U266" s="2"/>
      <c r="V266" s="19">
        <f t="shared" si="136"/>
        <v>0</v>
      </c>
      <c r="W266" s="2"/>
      <c r="X266" s="2">
        <f t="shared" si="137"/>
        <v>1626.85</v>
      </c>
      <c r="Y266" s="2"/>
      <c r="Z266" s="19">
        <f t="shared" si="138"/>
        <v>0</v>
      </c>
    </row>
    <row r="267" spans="1:26" s="24" customFormat="1" hidden="1" outlineLevel="1" x14ac:dyDescent="0.25">
      <c r="A267" s="44"/>
      <c r="B267" s="11" t="str">
        <f>CONCATENATE("          ", "4187", " - ", "NON-TAXABLE SALES-COMPUTER REP")</f>
        <v xml:space="preserve">          4187 - NON-TAXABLE SALES-COMPUTER REP</v>
      </c>
      <c r="C267" s="11"/>
      <c r="D267" s="2">
        <f>--4892.54</f>
        <v>4892.54</v>
      </c>
      <c r="E267" s="2"/>
      <c r="F267" s="19">
        <f t="shared" si="131"/>
        <v>3.4763340890541206E-3</v>
      </c>
      <c r="G267" s="2"/>
      <c r="H267" s="2">
        <f>--3252.66</f>
        <v>3252.66</v>
      </c>
      <c r="I267" s="2"/>
      <c r="J267" s="19">
        <f t="shared" si="132"/>
        <v>2.3342020515367328E-3</v>
      </c>
      <c r="K267" s="2"/>
      <c r="L267" s="2">
        <f t="shared" si="133"/>
        <v>1639.88</v>
      </c>
      <c r="M267" s="2"/>
      <c r="N267" s="19">
        <f t="shared" si="134"/>
        <v>0.50416582120479858</v>
      </c>
      <c r="O267" s="11"/>
      <c r="P267" s="2">
        <f>--7374.8</f>
        <v>7374.8</v>
      </c>
      <c r="Q267" s="2"/>
      <c r="R267" s="19">
        <f t="shared" si="135"/>
        <v>1.3825551538563068E-3</v>
      </c>
      <c r="S267" s="2"/>
      <c r="T267" s="2">
        <f>--4001.34</f>
        <v>4001.34</v>
      </c>
      <c r="U267" s="2"/>
      <c r="V267" s="19">
        <f t="shared" si="136"/>
        <v>7.2098749025783354E-4</v>
      </c>
      <c r="W267" s="2"/>
      <c r="X267" s="2">
        <f t="shared" si="137"/>
        <v>3373.46</v>
      </c>
      <c r="Y267" s="2"/>
      <c r="Z267" s="19">
        <f t="shared" si="138"/>
        <v>0.84308256733994114</v>
      </c>
    </row>
    <row r="268" spans="1:26" s="24" customFormat="1" hidden="1" outlineLevel="1" x14ac:dyDescent="0.25">
      <c r="A268" s="44"/>
      <c r="B268" s="11" t="str">
        <f>CONCATENATE("          ", "4197", " - ", "NON-TAXABLE SALES-RETURNED CHE")</f>
        <v xml:space="preserve">          4197 - NON-TAXABLE SALES-RETURNED CHE</v>
      </c>
      <c r="C268" s="11"/>
      <c r="D268" s="2">
        <f>0</f>
        <v>0</v>
      </c>
      <c r="E268" s="2"/>
      <c r="F268" s="19">
        <f t="shared" si="131"/>
        <v>0</v>
      </c>
      <c r="G268" s="2"/>
      <c r="H268" s="2">
        <f>--130</f>
        <v>130</v>
      </c>
      <c r="I268" s="2"/>
      <c r="J268" s="19">
        <f t="shared" si="132"/>
        <v>9.3291726371577495E-5</v>
      </c>
      <c r="K268" s="2"/>
      <c r="L268" s="2">
        <f t="shared" si="133"/>
        <v>-130</v>
      </c>
      <c r="M268" s="2"/>
      <c r="N268" s="19">
        <f t="shared" si="134"/>
        <v>-1</v>
      </c>
      <c r="O268" s="11"/>
      <c r="P268" s="2">
        <f>--30</f>
        <v>30</v>
      </c>
      <c r="Q268" s="2"/>
      <c r="R268" s="19">
        <f t="shared" si="135"/>
        <v>5.6241056863493517E-6</v>
      </c>
      <c r="S268" s="2"/>
      <c r="T268" s="2">
        <f>--250</f>
        <v>250</v>
      </c>
      <c r="U268" s="2"/>
      <c r="V268" s="19">
        <f t="shared" si="136"/>
        <v>4.5046627520895099E-5</v>
      </c>
      <c r="W268" s="2"/>
      <c r="X268" s="2">
        <f t="shared" si="137"/>
        <v>-220</v>
      </c>
      <c r="Y268" s="2"/>
      <c r="Z268" s="19">
        <f t="shared" si="138"/>
        <v>-0.88</v>
      </c>
    </row>
    <row r="269" spans="1:26" s="24" customFormat="1" hidden="1" outlineLevel="1" x14ac:dyDescent="0.25">
      <c r="A269" s="44"/>
      <c r="B269" s="11" t="str">
        <f>CONCATENATE("          ", "4198", " - ", "NON-TAXABLE SALES-GRAD RENTALS")</f>
        <v xml:space="preserve">          4198 - NON-TAXABLE SALES-GRAD RENTALS</v>
      </c>
      <c r="C269" s="11"/>
      <c r="D269" s="2">
        <f>--30</f>
        <v>30</v>
      </c>
      <c r="E269" s="2"/>
      <c r="F269" s="19">
        <f t="shared" si="131"/>
        <v>2.131613081786222E-5</v>
      </c>
      <c r="G269" s="2"/>
      <c r="H269" s="2">
        <f>--30</f>
        <v>30</v>
      </c>
      <c r="I269" s="2"/>
      <c r="J269" s="19">
        <f t="shared" si="132"/>
        <v>2.1528859931902499E-5</v>
      </c>
      <c r="K269" s="2"/>
      <c r="L269" s="2">
        <f t="shared" si="133"/>
        <v>0</v>
      </c>
      <c r="M269" s="2"/>
      <c r="N269" s="19">
        <f t="shared" si="134"/>
        <v>0</v>
      </c>
      <c r="O269" s="11"/>
      <c r="P269" s="2">
        <f>--495</f>
        <v>495</v>
      </c>
      <c r="Q269" s="2"/>
      <c r="R269" s="19">
        <f t="shared" si="135"/>
        <v>9.2797743824764314E-5</v>
      </c>
      <c r="S269" s="2"/>
      <c r="T269" s="2">
        <f>--435</f>
        <v>435</v>
      </c>
      <c r="U269" s="2"/>
      <c r="V269" s="19">
        <f t="shared" si="136"/>
        <v>7.838113188635746E-5</v>
      </c>
      <c r="W269" s="2"/>
      <c r="X269" s="2">
        <f t="shared" si="137"/>
        <v>60</v>
      </c>
      <c r="Y269" s="2"/>
      <c r="Z269" s="19">
        <f t="shared" si="138"/>
        <v>0.13793103448275862</v>
      </c>
    </row>
    <row r="270" spans="1:26" s="24" customFormat="1" hidden="1" outlineLevel="1" x14ac:dyDescent="0.25">
      <c r="A270" s="44"/>
      <c r="B270" s="11" t="str">
        <f>CONCATENATE("          ", "4387", " - ", "SALES RETURN NON TAXABLE-COMPU")</f>
        <v xml:space="preserve">          4387 - SALES RETURN NON TAXABLE-COMPU</v>
      </c>
      <c r="C270" s="11"/>
      <c r="D270" s="2">
        <f>-2989.2</f>
        <v>-2989.2</v>
      </c>
      <c r="E270" s="2"/>
      <c r="F270" s="19">
        <f t="shared" si="131"/>
        <v>-2.1239392746917915E-3</v>
      </c>
      <c r="G270" s="2"/>
      <c r="H270" s="2">
        <f>0</f>
        <v>0</v>
      </c>
      <c r="I270" s="2"/>
      <c r="J270" s="19">
        <f t="shared" si="132"/>
        <v>0</v>
      </c>
      <c r="K270" s="2"/>
      <c r="L270" s="2">
        <f t="shared" si="133"/>
        <v>-2989.2</v>
      </c>
      <c r="M270" s="2"/>
      <c r="N270" s="19">
        <f t="shared" si="134"/>
        <v>0</v>
      </c>
      <c r="O270" s="11"/>
      <c r="P270" s="2">
        <f>-6440.7</f>
        <v>-6440.7</v>
      </c>
      <c r="Q270" s="2"/>
      <c r="R270" s="19">
        <f t="shared" si="135"/>
        <v>-1.2074392498023423E-3</v>
      </c>
      <c r="S270" s="2"/>
      <c r="T270" s="2">
        <f>0</f>
        <v>0</v>
      </c>
      <c r="U270" s="2"/>
      <c r="V270" s="19">
        <f t="shared" si="136"/>
        <v>0</v>
      </c>
      <c r="W270" s="2"/>
      <c r="X270" s="2">
        <f t="shared" si="137"/>
        <v>-6440.7</v>
      </c>
      <c r="Y270" s="2"/>
      <c r="Z270" s="19">
        <f t="shared" si="138"/>
        <v>0</v>
      </c>
    </row>
    <row r="271" spans="1:26" s="24" customFormat="1" hidden="1" outlineLevel="1" x14ac:dyDescent="0.25">
      <c r="A271" s="44"/>
      <c r="B271" s="11" t="str">
        <f>CONCATENATE("          ", "9150", " - ", "MISC. INCOME")</f>
        <v xml:space="preserve">          9150 - MISC. INCOME</v>
      </c>
      <c r="C271" s="11"/>
      <c r="D271" s="2">
        <f>--42471.15</f>
        <v>42471.15</v>
      </c>
      <c r="E271" s="2"/>
      <c r="F271" s="19">
        <f t="shared" si="131"/>
        <v>3.0177352979501634E-2</v>
      </c>
      <c r="G271" s="2"/>
      <c r="H271" s="2">
        <f>--78803.78</f>
        <v>78803.78</v>
      </c>
      <c r="I271" s="2"/>
      <c r="J271" s="19">
        <f t="shared" si="132"/>
        <v>5.6551851390815318E-2</v>
      </c>
      <c r="K271" s="2"/>
      <c r="L271" s="2">
        <f t="shared" si="133"/>
        <v>-36332.629999999997</v>
      </c>
      <c r="M271" s="2"/>
      <c r="N271" s="19">
        <f t="shared" si="134"/>
        <v>-0.4610518683240829</v>
      </c>
      <c r="O271" s="11"/>
      <c r="P271" s="2">
        <f>--138598.93</f>
        <v>138598.93</v>
      </c>
      <c r="Q271" s="2"/>
      <c r="R271" s="19">
        <f t="shared" si="135"/>
        <v>2.5983167677831192E-2</v>
      </c>
      <c r="S271" s="2"/>
      <c r="T271" s="2">
        <f>--228582.35</f>
        <v>228582.35</v>
      </c>
      <c r="U271" s="2"/>
      <c r="V271" s="19">
        <f t="shared" si="136"/>
        <v>4.1187455913203504E-2</v>
      </c>
      <c r="W271" s="2"/>
      <c r="X271" s="2">
        <f t="shared" si="137"/>
        <v>-89983.420000000013</v>
      </c>
      <c r="Y271" s="2"/>
      <c r="Z271" s="19">
        <f t="shared" si="138"/>
        <v>-0.39365865299748654</v>
      </c>
    </row>
    <row r="272" spans="1:26" s="24" customFormat="1" hidden="1" outlineLevel="1" x14ac:dyDescent="0.25">
      <c r="A272" s="44"/>
      <c r="B272" s="11" t="str">
        <f>CONCATENATE("          ", "9151", " - ", "MISC. INCOME")</f>
        <v xml:space="preserve">          9151 - MISC. INCOME</v>
      </c>
      <c r="C272" s="11"/>
      <c r="D272" s="2">
        <f>--83458.02</f>
        <v>83458.02</v>
      </c>
      <c r="E272" s="2"/>
      <c r="F272" s="19">
        <f t="shared" si="131"/>
        <v>5.9300069070658719E-2</v>
      </c>
      <c r="G272" s="2"/>
      <c r="H272" s="2">
        <f>--665.9</f>
        <v>665.9</v>
      </c>
      <c r="I272" s="2"/>
      <c r="J272" s="19">
        <f t="shared" si="132"/>
        <v>4.7786892762179578E-4</v>
      </c>
      <c r="K272" s="2"/>
      <c r="L272" s="2">
        <f t="shared" si="133"/>
        <v>82792.12000000001</v>
      </c>
      <c r="M272" s="2"/>
      <c r="N272" s="19">
        <f t="shared" si="134"/>
        <v>124.33116083496023</v>
      </c>
      <c r="O272" s="11"/>
      <c r="P272" s="2">
        <f>--83193.51</f>
        <v>83193.509999999995</v>
      </c>
      <c r="Q272" s="2"/>
      <c r="R272" s="19">
        <f t="shared" si="135"/>
        <v>1.5596303088612056E-2</v>
      </c>
      <c r="S272" s="2"/>
      <c r="T272" s="2">
        <f>--1060.79</f>
        <v>1060.79</v>
      </c>
      <c r="U272" s="2"/>
      <c r="V272" s="19">
        <f t="shared" si="136"/>
        <v>1.9114004803156122E-4</v>
      </c>
      <c r="W272" s="2"/>
      <c r="X272" s="2">
        <f t="shared" si="137"/>
        <v>82132.72</v>
      </c>
      <c r="Y272" s="2"/>
      <c r="Z272" s="19">
        <f t="shared" si="138"/>
        <v>77.425993834783512</v>
      </c>
    </row>
    <row r="273" spans="1:26" s="24" customFormat="1" hidden="1" outlineLevel="1" x14ac:dyDescent="0.25">
      <c r="A273" s="44"/>
      <c r="B273" s="11" t="str">
        <f>CONCATENATE("          ", "9152", " - ", "MISC. INCOME")</f>
        <v xml:space="preserve">          9152 - MISC. INCOME</v>
      </c>
      <c r="C273" s="11"/>
      <c r="D273" s="2">
        <f>--633.59</f>
        <v>633.59</v>
      </c>
      <c r="E273" s="2"/>
      <c r="F273" s="19">
        <f t="shared" si="131"/>
        <v>4.5018957749631079E-4</v>
      </c>
      <c r="G273" s="2"/>
      <c r="H273" s="2">
        <f>--544.55</f>
        <v>544.54999999999995</v>
      </c>
      <c r="I273" s="2"/>
      <c r="J273" s="19">
        <f t="shared" si="132"/>
        <v>3.9078468919725019E-4</v>
      </c>
      <c r="K273" s="2"/>
      <c r="L273" s="2">
        <f t="shared" si="133"/>
        <v>89.040000000000077</v>
      </c>
      <c r="M273" s="2"/>
      <c r="N273" s="19">
        <f t="shared" si="134"/>
        <v>0.16351115600036742</v>
      </c>
      <c r="O273" s="11"/>
      <c r="P273" s="2">
        <f>--641.02</f>
        <v>641.02</v>
      </c>
      <c r="Q273" s="2"/>
      <c r="R273" s="19">
        <f t="shared" si="135"/>
        <v>1.2017214090212206E-4</v>
      </c>
      <c r="S273" s="2"/>
      <c r="T273" s="2">
        <f>--1509.33</f>
        <v>1509.33</v>
      </c>
      <c r="U273" s="2"/>
      <c r="V273" s="19">
        <f t="shared" si="136"/>
        <v>2.7196090526445039E-4</v>
      </c>
      <c r="W273" s="2"/>
      <c r="X273" s="2">
        <f t="shared" si="137"/>
        <v>-868.31</v>
      </c>
      <c r="Y273" s="2"/>
      <c r="Z273" s="19">
        <f t="shared" si="138"/>
        <v>-0.57529499844301779</v>
      </c>
    </row>
    <row r="274" spans="1:26" s="24" customFormat="1" hidden="1" outlineLevel="1" x14ac:dyDescent="0.25">
      <c r="A274" s="44"/>
      <c r="B274" s="11" t="str">
        <f>CONCATENATE("          ", "9160", " - ", "MISC. INCOME")</f>
        <v xml:space="preserve">          9160 - MISC. INCOME</v>
      </c>
      <c r="C274" s="11"/>
      <c r="D274" s="2">
        <f>0</f>
        <v>0</v>
      </c>
      <c r="E274" s="2"/>
      <c r="F274" s="19">
        <f t="shared" si="131"/>
        <v>0</v>
      </c>
      <c r="G274" s="2"/>
      <c r="H274" s="2">
        <f>0</f>
        <v>0</v>
      </c>
      <c r="I274" s="2"/>
      <c r="J274" s="19">
        <f t="shared" si="132"/>
        <v>0</v>
      </c>
      <c r="K274" s="2"/>
      <c r="L274" s="2">
        <f t="shared" si="133"/>
        <v>0</v>
      </c>
      <c r="M274" s="2"/>
      <c r="N274" s="19">
        <f t="shared" si="134"/>
        <v>0</v>
      </c>
      <c r="O274" s="11"/>
      <c r="P274" s="2">
        <f>--21170</f>
        <v>21170</v>
      </c>
      <c r="Q274" s="2"/>
      <c r="R274" s="19">
        <f t="shared" si="135"/>
        <v>3.968743912667193E-3</v>
      </c>
      <c r="S274" s="2"/>
      <c r="T274" s="2">
        <f>0</f>
        <v>0</v>
      </c>
      <c r="U274" s="2"/>
      <c r="V274" s="19">
        <f t="shared" si="136"/>
        <v>0</v>
      </c>
      <c r="W274" s="2"/>
      <c r="X274" s="2">
        <f t="shared" si="137"/>
        <v>21170</v>
      </c>
      <c r="Y274" s="2"/>
      <c r="Z274" s="19">
        <f t="shared" si="138"/>
        <v>0</v>
      </c>
    </row>
    <row r="275" spans="1:26" x14ac:dyDescent="0.25">
      <c r="A275" s="9"/>
      <c r="B275" s="10"/>
      <c r="C275" s="10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O275" s="10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s="23" customFormat="1" x14ac:dyDescent="0.25">
      <c r="A276" s="10"/>
      <c r="B276" s="26" t="s">
        <v>3</v>
      </c>
      <c r="C276" s="26"/>
      <c r="D276" s="21">
        <f>+D178-D180+D265</f>
        <v>252930.99999999916</v>
      </c>
      <c r="E276" s="13"/>
      <c r="F276" s="20">
        <f>IF(D$12=0,0,D276/D$12)</f>
        <v>0.17971700946308969</v>
      </c>
      <c r="G276" s="13"/>
      <c r="H276" s="21">
        <f>+H178-H180+H265</f>
        <v>157628.54999999952</v>
      </c>
      <c r="I276" s="13"/>
      <c r="J276" s="20">
        <f>IF(H$12=0,0,H276/H$12)</f>
        <v>0.11311876580729598</v>
      </c>
      <c r="K276" s="15"/>
      <c r="L276" s="21">
        <f>+D276-H276</f>
        <v>95302.449999999633</v>
      </c>
      <c r="M276" s="15"/>
      <c r="N276" s="20">
        <f>IF(H276=0,0,L276/H276)</f>
        <v>0.60460145068897686</v>
      </c>
      <c r="O276" s="25"/>
      <c r="P276" s="21">
        <f>+P178-P180+P265</f>
        <v>680321.20999999961</v>
      </c>
      <c r="Q276" s="13"/>
      <c r="R276" s="20">
        <f>IF(P$12=0,0,P276/P$12)</f>
        <v>0.12753994619016898</v>
      </c>
      <c r="S276" s="13"/>
      <c r="T276" s="21">
        <f>+T178-T180+T265</f>
        <v>657862.76999999979</v>
      </c>
      <c r="U276" s="13"/>
      <c r="V276" s="20">
        <f>IF(T$12=0,0,T276/T$12)</f>
        <v>0.11853799664021708</v>
      </c>
      <c r="W276" s="15"/>
      <c r="X276" s="21">
        <f>+P276-T276</f>
        <v>22458.439999999828</v>
      </c>
      <c r="Y276" s="15"/>
      <c r="Z276" s="20">
        <f>IF(T276=0,0,X276/T276)</f>
        <v>3.4138487575455644E-2</v>
      </c>
    </row>
    <row r="277" spans="1:26" x14ac:dyDescent="0.25">
      <c r="A277" s="9"/>
      <c r="B277" s="10"/>
      <c r="C277" s="9"/>
      <c r="D277" s="3"/>
      <c r="E277" s="3"/>
      <c r="F277" s="8"/>
      <c r="G277" s="3"/>
      <c r="H277" s="3"/>
      <c r="I277" s="3"/>
      <c r="J277" s="8"/>
      <c r="K277" s="3"/>
      <c r="L277" s="3"/>
      <c r="M277" s="3"/>
      <c r="N277" s="8"/>
      <c r="P277" s="3"/>
      <c r="Q277" s="3"/>
      <c r="R277" s="8"/>
      <c r="S277" s="3"/>
      <c r="T277" s="3"/>
      <c r="U277" s="3"/>
      <c r="V277" s="8"/>
      <c r="W277" s="3"/>
      <c r="X277" s="3"/>
      <c r="Y277" s="3"/>
      <c r="Z277" s="8"/>
    </row>
    <row r="278" spans="1:26" s="23" customFormat="1" x14ac:dyDescent="0.25">
      <c r="A278" s="51"/>
      <c r="B278" s="10" t="s">
        <v>13</v>
      </c>
      <c r="C278" s="10"/>
      <c r="D278" s="4">
        <v>83361.84</v>
      </c>
      <c r="E278" s="4"/>
      <c r="F278" s="12">
        <f>IF(D$12=0,0,D278/D$12)</f>
        <v>5.9231729555256643E-2</v>
      </c>
      <c r="G278" s="4"/>
      <c r="H278" s="4">
        <v>68742.77</v>
      </c>
      <c r="I278" s="4"/>
      <c r="J278" s="12">
        <f>IF(H$12=0,0,H278/H$12)</f>
        <v>4.9331782222032973E-2</v>
      </c>
      <c r="K278" s="4"/>
      <c r="L278" s="4">
        <f>+D278-H278</f>
        <v>14619.069999999992</v>
      </c>
      <c r="M278" s="4"/>
      <c r="N278" s="12">
        <f>IF(H278=0,0,L278/H278)</f>
        <v>0.21266338263645751</v>
      </c>
      <c r="O278" s="10"/>
      <c r="P278" s="4">
        <v>572961.75</v>
      </c>
      <c r="Q278" s="4"/>
      <c r="R278" s="12">
        <f>IF(P$12=0,0,P278/P$12)</f>
        <v>0.10741324787452253</v>
      </c>
      <c r="S278" s="4"/>
      <c r="T278" s="4">
        <v>493084.11000000004</v>
      </c>
      <c r="U278" s="4"/>
      <c r="V278" s="12">
        <f>IF(T$12=0,0,T278/T$12)</f>
        <v>8.8847104958568263E-2</v>
      </c>
      <c r="W278" s="4"/>
      <c r="X278" s="4">
        <f>+P278-T278</f>
        <v>79877.639999999956</v>
      </c>
      <c r="Y278" s="4"/>
      <c r="Z278" s="12">
        <f>IF(T278=0,0,X278/T278)</f>
        <v>0.16199597265464497</v>
      </c>
    </row>
    <row r="279" spans="1:26" x14ac:dyDescent="0.25">
      <c r="A279" s="9"/>
      <c r="B279" s="10"/>
      <c r="C279" s="10"/>
      <c r="D279" s="3"/>
      <c r="E279" s="3"/>
      <c r="F279" s="8"/>
      <c r="G279" s="3"/>
      <c r="H279" s="3"/>
      <c r="I279" s="3"/>
      <c r="J279" s="8"/>
      <c r="K279" s="3"/>
      <c r="L279" s="3"/>
      <c r="M279" s="3"/>
      <c r="N279" s="8"/>
      <c r="O279" s="10"/>
      <c r="P279" s="3"/>
      <c r="Q279" s="3"/>
      <c r="R279" s="8"/>
      <c r="S279" s="3"/>
      <c r="T279" s="3"/>
      <c r="U279" s="3"/>
      <c r="V279" s="8"/>
      <c r="W279" s="3"/>
      <c r="X279" s="3"/>
      <c r="Y279" s="3"/>
      <c r="Z279" s="8"/>
    </row>
    <row r="280" spans="1:26" s="23" customFormat="1" ht="15.75" thickBot="1" x14ac:dyDescent="0.3">
      <c r="A280" s="10"/>
      <c r="B280" s="26" t="s">
        <v>4</v>
      </c>
      <c r="C280" s="26"/>
      <c r="D280" s="35">
        <f>+D276-D278</f>
        <v>169569.15999999916</v>
      </c>
      <c r="E280" s="13"/>
      <c r="F280" s="30">
        <f>IF(D$12=0,0,D280/D$12)</f>
        <v>0.12048527990783305</v>
      </c>
      <c r="G280" s="13"/>
      <c r="H280" s="35">
        <f>+H276-H278</f>
        <v>88885.779999999519</v>
      </c>
      <c r="I280" s="13"/>
      <c r="J280" s="30">
        <f>IF(H$12=0,0,H280/H$12)</f>
        <v>6.378698358526301E-2</v>
      </c>
      <c r="K280" s="15"/>
      <c r="L280" s="35">
        <f>D280-H280</f>
        <v>80683.379999999641</v>
      </c>
      <c r="M280" s="15"/>
      <c r="N280" s="30">
        <f>IF(H280=0,0,L280/H280)</f>
        <v>0.90771977249904401</v>
      </c>
      <c r="O280" s="25"/>
      <c r="P280" s="35">
        <f>+P276-P278</f>
        <v>107359.45999999961</v>
      </c>
      <c r="Q280" s="13"/>
      <c r="R280" s="30">
        <f>IF(P$12=0,0,P280/P$12)</f>
        <v>2.0126698315646455E-2</v>
      </c>
      <c r="S280" s="13"/>
      <c r="T280" s="35">
        <f>+T276-T278</f>
        <v>164778.65999999974</v>
      </c>
      <c r="U280" s="13"/>
      <c r="V280" s="30">
        <f>IF(T$12=0,0,T280/T$12)</f>
        <v>2.9690891681648818E-2</v>
      </c>
      <c r="W280" s="15"/>
      <c r="X280" s="35">
        <f>P280-T280</f>
        <v>-57419.200000000128</v>
      </c>
      <c r="Y280" s="15"/>
      <c r="Z280" s="30">
        <f>IF(T280=0,0,X280/T280)</f>
        <v>-0.34846259825149822</v>
      </c>
    </row>
    <row r="281" spans="1:26" ht="15.75" thickTop="1" x14ac:dyDescent="0.25">
      <c r="A281" s="9"/>
      <c r="B281" s="9"/>
      <c r="C281" s="9"/>
      <c r="D281" s="3"/>
      <c r="E281" s="3"/>
      <c r="F281" s="8"/>
      <c r="G281" s="3"/>
      <c r="H281" s="3"/>
      <c r="I281" s="3"/>
      <c r="J281" s="8"/>
      <c r="K281" s="3"/>
      <c r="L281" s="3"/>
      <c r="M281" s="3"/>
      <c r="N281" s="8"/>
      <c r="P281" s="3"/>
      <c r="Q281" s="3"/>
      <c r="R281" s="8"/>
      <c r="S281" s="3"/>
      <c r="T281" s="3"/>
      <c r="U281" s="3"/>
      <c r="V281" s="8"/>
      <c r="W281" s="3"/>
      <c r="X281" s="3"/>
      <c r="Y281" s="3"/>
      <c r="Z281" s="8"/>
    </row>
    <row r="282" spans="1:26" x14ac:dyDescent="0.25">
      <c r="A282" s="9"/>
      <c r="B282" s="9"/>
      <c r="C282" s="9"/>
      <c r="D282" s="3"/>
      <c r="E282" s="3"/>
      <c r="F282" s="8"/>
      <c r="G282" s="3"/>
      <c r="H282" s="3"/>
      <c r="I282" s="3"/>
      <c r="J282" s="8"/>
      <c r="K282" s="3"/>
      <c r="L282" s="3"/>
      <c r="M282" s="3"/>
      <c r="N282" s="8"/>
      <c r="P282" s="3"/>
      <c r="Q282" s="3"/>
      <c r="R282" s="8"/>
      <c r="S282" s="3"/>
      <c r="T282" s="3"/>
      <c r="U282" s="3"/>
      <c r="V282" s="8"/>
      <c r="W282" s="3"/>
      <c r="X282" s="3"/>
      <c r="Y282" s="3"/>
      <c r="Z282" s="8"/>
    </row>
    <row r="283" spans="1:26" s="23" customFormat="1" ht="15.75" thickBot="1" x14ac:dyDescent="0.3">
      <c r="A283" s="10"/>
      <c r="B283" s="26" t="s">
        <v>5</v>
      </c>
      <c r="C283" s="26"/>
      <c r="D283" s="36">
        <f>SUM(D280:D282)</f>
        <v>169569.15999999916</v>
      </c>
      <c r="E283" s="13"/>
      <c r="F283" s="31">
        <f>IF(D$12=0,0,D283/D$12)</f>
        <v>0.12048527990783305</v>
      </c>
      <c r="G283" s="13"/>
      <c r="H283" s="36">
        <f>SUM(H280:H282)</f>
        <v>88885.779999999519</v>
      </c>
      <c r="I283" s="13"/>
      <c r="J283" s="31">
        <f>IF(H$12=0,0,H283/H$12)</f>
        <v>6.378698358526301E-2</v>
      </c>
      <c r="K283" s="15"/>
      <c r="L283" s="36">
        <f>+D283-H283</f>
        <v>80683.379999999641</v>
      </c>
      <c r="M283" s="15"/>
      <c r="N283" s="31">
        <f>IF(H283=0,0,L283/H283)</f>
        <v>0.90771977249904401</v>
      </c>
      <c r="O283" s="25"/>
      <c r="P283" s="36">
        <f>SUM(P280:P282)</f>
        <v>107359.45999999961</v>
      </c>
      <c r="Q283" s="13"/>
      <c r="R283" s="31">
        <f>IF(P$12=0,0,P283/P$12)</f>
        <v>2.0126698315646455E-2</v>
      </c>
      <c r="S283" s="13"/>
      <c r="T283" s="36">
        <f>SUM(T280:T282)</f>
        <v>164778.65999999974</v>
      </c>
      <c r="U283" s="13"/>
      <c r="V283" s="31">
        <f>IF(T$12=0,0,T283/T$12)</f>
        <v>2.9690891681648818E-2</v>
      </c>
      <c r="W283" s="15"/>
      <c r="X283" s="36">
        <f>+P283-T283</f>
        <v>-57419.200000000128</v>
      </c>
      <c r="Y283" s="15"/>
      <c r="Z283" s="31">
        <f>IF(T283=0,0,X283/T283)</f>
        <v>-0.34846259825149822</v>
      </c>
    </row>
    <row r="284" spans="1:26" ht="15.75" thickTop="1" x14ac:dyDescent="0.25">
      <c r="A284" s="9"/>
      <c r="C284" s="9"/>
      <c r="D284" s="18"/>
      <c r="E284" s="18"/>
      <c r="G284" s="18"/>
      <c r="H284" s="18"/>
      <c r="I284" s="18"/>
      <c r="J284" s="42"/>
      <c r="K284" s="18"/>
      <c r="L284" s="18"/>
      <c r="M284" s="18"/>
      <c r="P284" s="18"/>
      <c r="Q284" s="18"/>
      <c r="R284" s="42"/>
      <c r="S284" s="18"/>
      <c r="T284" s="18"/>
      <c r="U284" s="18"/>
      <c r="V284" s="42"/>
      <c r="W284" s="18"/>
      <c r="X284" s="18"/>
    </row>
    <row r="285" spans="1:26" x14ac:dyDescent="0.25">
      <c r="A285" s="9"/>
      <c r="B285" s="55">
        <v>43756.462459027774</v>
      </c>
      <c r="D285" s="18"/>
      <c r="E285" s="18"/>
      <c r="G285" s="18"/>
      <c r="H285" s="18"/>
      <c r="I285" s="18"/>
      <c r="J285" s="42"/>
      <c r="K285" s="18"/>
      <c r="L285" s="18"/>
      <c r="M285" s="18"/>
      <c r="P285" s="18"/>
      <c r="Q285" s="18"/>
      <c r="R285" s="42"/>
      <c r="S285" s="18"/>
      <c r="T285" s="18"/>
      <c r="U285" s="18"/>
      <c r="V285" s="42"/>
      <c r="W285" s="18"/>
      <c r="X285" s="18"/>
    </row>
    <row r="286" spans="1:26" x14ac:dyDescent="0.25">
      <c r="A286" s="9"/>
      <c r="B286" s="56" t="s">
        <v>313</v>
      </c>
      <c r="D286" s="18"/>
      <c r="E286" s="18"/>
      <c r="G286" s="18"/>
      <c r="H286" s="18"/>
      <c r="I286" s="18"/>
      <c r="J286" s="42"/>
      <c r="K286" s="18"/>
      <c r="L286" s="18"/>
      <c r="M286" s="18"/>
      <c r="P286" s="18"/>
      <c r="Q286" s="18"/>
      <c r="R286" s="42"/>
      <c r="S286" s="18"/>
      <c r="T286" s="18"/>
      <c r="U286" s="18"/>
      <c r="V286" s="42"/>
      <c r="W286" s="18"/>
      <c r="X286" s="18"/>
    </row>
    <row r="287" spans="1:26" x14ac:dyDescent="0.25">
      <c r="A287" s="9"/>
      <c r="B287" s="57"/>
      <c r="D287" s="18"/>
      <c r="E287" s="18"/>
      <c r="G287" s="18"/>
      <c r="H287" s="18"/>
      <c r="I287" s="18"/>
      <c r="J287" s="42"/>
      <c r="K287" s="18"/>
      <c r="L287" s="18"/>
      <c r="M287" s="18"/>
      <c r="P287" s="18"/>
      <c r="Q287" s="18"/>
      <c r="R287" s="42"/>
      <c r="S287" s="18"/>
      <c r="T287" s="18"/>
      <c r="U287" s="18"/>
      <c r="V287" s="42"/>
      <c r="W287" s="18"/>
      <c r="X287" s="18"/>
    </row>
    <row r="288" spans="1:26" x14ac:dyDescent="0.25">
      <c r="D288" s="18"/>
      <c r="E288" s="18"/>
      <c r="G288" s="18"/>
      <c r="H288" s="18"/>
      <c r="I288" s="18"/>
      <c r="J288" s="42"/>
      <c r="K288" s="18"/>
      <c r="L288" s="18"/>
      <c r="M288" s="18"/>
      <c r="P288" s="18"/>
      <c r="Q288" s="18"/>
      <c r="R288" s="42"/>
      <c r="S288" s="18"/>
      <c r="T288" s="18"/>
      <c r="U288" s="18"/>
      <c r="V288" s="42"/>
      <c r="W288" s="18"/>
      <c r="X288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","301", " - ", "Bookstore")</f>
        <v>Department 301 - Bookstore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140051.46999999997</v>
      </c>
      <c r="E18" s="22"/>
      <c r="F18" s="34">
        <f t="shared" ref="F18:F27" si="0">IF(D$12=0,0,D18/D$12)</f>
        <v>0</v>
      </c>
      <c r="G18" s="22"/>
      <c r="H18" s="22">
        <f>SUM(OSRRefH22x_0)</f>
        <v>135284.05000000005</v>
      </c>
      <c r="I18" s="22"/>
      <c r="J18" s="34">
        <f t="shared" ref="J18:J27" si="1">IF(H$12=0,0,H18/H$12)</f>
        <v>0</v>
      </c>
      <c r="K18" s="4"/>
      <c r="L18" s="22">
        <f t="shared" ref="L18:L27" si="2">+D18-H18</f>
        <v>4767.4199999999255</v>
      </c>
      <c r="M18" s="4"/>
      <c r="N18" s="34">
        <f t="shared" ref="N18:N27" si="3">IF(H18=0,0,L18/H18)</f>
        <v>3.5240074495108062E-2</v>
      </c>
      <c r="O18" s="10"/>
      <c r="P18" s="22">
        <f>SUM(OSRRefP22x_0)</f>
        <v>425579.06000000006</v>
      </c>
      <c r="Q18" s="22"/>
      <c r="R18" s="34">
        <f t="shared" ref="R18:R27" si="4">IF(P$12=0,0,P18/P$12)</f>
        <v>0</v>
      </c>
      <c r="S18" s="22"/>
      <c r="T18" s="22">
        <f>SUM(OSRRefT22x_0)</f>
        <v>463923.05999999982</v>
      </c>
      <c r="U18" s="22"/>
      <c r="V18" s="34">
        <f t="shared" ref="V18:V27" si="5">IF(T$12=0,0,T18/T$12)</f>
        <v>0</v>
      </c>
      <c r="W18" s="4"/>
      <c r="X18" s="22">
        <f t="shared" ref="X18:X27" si="6">+P18-T18</f>
        <v>-38343.999999999767</v>
      </c>
      <c r="Y18" s="4"/>
      <c r="Z18" s="34">
        <f t="shared" ref="Z18:Z27" si="7">IF(T18=0,0,X18/T18)</f>
        <v>-8.2651636243302462E-2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15066.62</v>
      </c>
      <c r="E19" s="1"/>
      <c r="F19" s="5">
        <f t="shared" si="0"/>
        <v>0</v>
      </c>
      <c r="G19" s="1"/>
      <c r="H19" s="1">
        <f>SUM(OSRRefH22_0x_0)</f>
        <v>12109.41</v>
      </c>
      <c r="I19" s="1"/>
      <c r="J19" s="5">
        <f t="shared" si="1"/>
        <v>0</v>
      </c>
      <c r="K19" s="1"/>
      <c r="L19" s="1">
        <f t="shared" si="2"/>
        <v>2957.2100000000009</v>
      </c>
      <c r="M19" s="1"/>
      <c r="N19" s="5">
        <f t="shared" si="3"/>
        <v>0.24420760383866769</v>
      </c>
      <c r="O19" s="14"/>
      <c r="P19" s="1">
        <f>SUM(OSRRefP22_0x_0)</f>
        <v>44429.96</v>
      </c>
      <c r="Q19" s="1"/>
      <c r="R19" s="5">
        <f t="shared" si="4"/>
        <v>0</v>
      </c>
      <c r="S19" s="1"/>
      <c r="T19" s="1">
        <f>SUM(OSRRefT22_0x_0)</f>
        <v>37470.459999999992</v>
      </c>
      <c r="U19" s="1"/>
      <c r="V19" s="5">
        <f t="shared" si="5"/>
        <v>0</v>
      </c>
      <c r="W19" s="1"/>
      <c r="X19" s="1">
        <f t="shared" si="6"/>
        <v>6959.5000000000073</v>
      </c>
      <c r="Y19" s="1"/>
      <c r="Z19" s="5">
        <f t="shared" si="7"/>
        <v>0.18573297472195455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2401.4699999999998</v>
      </c>
      <c r="E20" s="2"/>
      <c r="F20" s="7">
        <f t="shared" si="0"/>
        <v>0</v>
      </c>
      <c r="G20" s="2"/>
      <c r="H20" s="6">
        <v>1925.94</v>
      </c>
      <c r="I20" s="2"/>
      <c r="J20" s="7">
        <f t="shared" si="1"/>
        <v>0</v>
      </c>
      <c r="K20" s="2"/>
      <c r="L20" s="6">
        <f t="shared" si="2"/>
        <v>475.52999999999975</v>
      </c>
      <c r="M20" s="2"/>
      <c r="N20" s="7">
        <f t="shared" si="3"/>
        <v>0.24690800336459065</v>
      </c>
      <c r="O20" s="11"/>
      <c r="P20" s="6">
        <v>9019.52</v>
      </c>
      <c r="Q20" s="2"/>
      <c r="R20" s="7">
        <f t="shared" si="4"/>
        <v>0</v>
      </c>
      <c r="S20" s="2"/>
      <c r="T20" s="6">
        <v>7563.82</v>
      </c>
      <c r="U20" s="2"/>
      <c r="V20" s="7">
        <f t="shared" si="5"/>
        <v>0</v>
      </c>
      <c r="W20" s="2"/>
      <c r="X20" s="6">
        <f t="shared" si="6"/>
        <v>1455.7000000000007</v>
      </c>
      <c r="Y20" s="2"/>
      <c r="Z20" s="7">
        <f t="shared" si="7"/>
        <v>0.19245566393700547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1144.92</v>
      </c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1144.92</v>
      </c>
      <c r="M21" s="2"/>
      <c r="N21" s="7">
        <f t="shared" si="3"/>
        <v>0</v>
      </c>
      <c r="O21" s="11"/>
      <c r="P21" s="6">
        <v>2235.0100000000002</v>
      </c>
      <c r="Q21" s="2"/>
      <c r="R21" s="7">
        <f t="shared" si="4"/>
        <v>0</v>
      </c>
      <c r="S21" s="2"/>
      <c r="T21" s="6">
        <v>709.49</v>
      </c>
      <c r="U21" s="2"/>
      <c r="V21" s="7">
        <f t="shared" si="5"/>
        <v>0</v>
      </c>
      <c r="W21" s="2"/>
      <c r="X21" s="6">
        <f t="shared" si="6"/>
        <v>1525.5200000000002</v>
      </c>
      <c r="Y21" s="2"/>
      <c r="Z21" s="7">
        <f t="shared" si="7"/>
        <v>2.1501642024552852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6083.47</v>
      </c>
      <c r="E22" s="2"/>
      <c r="F22" s="7">
        <f t="shared" si="0"/>
        <v>0</v>
      </c>
      <c r="G22" s="2"/>
      <c r="H22" s="6">
        <v>5756.54</v>
      </c>
      <c r="I22" s="2"/>
      <c r="J22" s="7">
        <f t="shared" si="1"/>
        <v>0</v>
      </c>
      <c r="K22" s="2"/>
      <c r="L22" s="6">
        <f t="shared" si="2"/>
        <v>326.93000000000029</v>
      </c>
      <c r="M22" s="2"/>
      <c r="N22" s="7">
        <f t="shared" si="3"/>
        <v>5.6792795672400483E-2</v>
      </c>
      <c r="O22" s="11"/>
      <c r="P22" s="6">
        <v>17029.41</v>
      </c>
      <c r="Q22" s="2"/>
      <c r="R22" s="7">
        <f t="shared" si="4"/>
        <v>0</v>
      </c>
      <c r="S22" s="2"/>
      <c r="T22" s="6">
        <v>13695.29</v>
      </c>
      <c r="U22" s="2"/>
      <c r="V22" s="7">
        <f t="shared" si="5"/>
        <v>0</v>
      </c>
      <c r="W22" s="2"/>
      <c r="X22" s="6">
        <f t="shared" si="6"/>
        <v>3334.119999999999</v>
      </c>
      <c r="Y22" s="2"/>
      <c r="Z22" s="7">
        <f t="shared" si="7"/>
        <v>0.24345012044286748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200.81</v>
      </c>
      <c r="E23" s="2"/>
      <c r="F23" s="7">
        <f t="shared" si="0"/>
        <v>0</v>
      </c>
      <c r="G23" s="2"/>
      <c r="H23" s="6">
        <v>145.88999999999999</v>
      </c>
      <c r="I23" s="2"/>
      <c r="J23" s="7">
        <f t="shared" si="1"/>
        <v>0</v>
      </c>
      <c r="K23" s="2"/>
      <c r="L23" s="6">
        <f t="shared" si="2"/>
        <v>54.920000000000016</v>
      </c>
      <c r="M23" s="2"/>
      <c r="N23" s="7">
        <f t="shared" si="3"/>
        <v>0.3764480087737338</v>
      </c>
      <c r="O23" s="11"/>
      <c r="P23" s="6">
        <v>431.6</v>
      </c>
      <c r="Q23" s="2"/>
      <c r="R23" s="7">
        <f t="shared" si="4"/>
        <v>0</v>
      </c>
      <c r="S23" s="2"/>
      <c r="T23" s="6">
        <v>379.54</v>
      </c>
      <c r="U23" s="2"/>
      <c r="V23" s="7">
        <f t="shared" si="5"/>
        <v>0</v>
      </c>
      <c r="W23" s="2"/>
      <c r="X23" s="6">
        <f t="shared" si="6"/>
        <v>52.06</v>
      </c>
      <c r="Y23" s="2"/>
      <c r="Z23" s="7">
        <f t="shared" si="7"/>
        <v>0.13716604310481109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1844.36</v>
      </c>
      <c r="E24" s="2"/>
      <c r="F24" s="7">
        <f t="shared" si="0"/>
        <v>0</v>
      </c>
      <c r="G24" s="2"/>
      <c r="H24" s="6">
        <v>1563.77</v>
      </c>
      <c r="I24" s="2"/>
      <c r="J24" s="7">
        <f t="shared" si="1"/>
        <v>0</v>
      </c>
      <c r="K24" s="2"/>
      <c r="L24" s="6">
        <f t="shared" si="2"/>
        <v>280.58999999999992</v>
      </c>
      <c r="M24" s="2"/>
      <c r="N24" s="7">
        <f t="shared" si="3"/>
        <v>0.17943175786720547</v>
      </c>
      <c r="O24" s="11"/>
      <c r="P24" s="6">
        <v>5304.64</v>
      </c>
      <c r="Q24" s="2"/>
      <c r="R24" s="7">
        <f t="shared" si="4"/>
        <v>0</v>
      </c>
      <c r="S24" s="2"/>
      <c r="T24" s="6">
        <v>5450.42</v>
      </c>
      <c r="U24" s="2"/>
      <c r="V24" s="7">
        <f t="shared" si="5"/>
        <v>0</v>
      </c>
      <c r="W24" s="2"/>
      <c r="X24" s="6">
        <f t="shared" si="6"/>
        <v>-145.77999999999975</v>
      </c>
      <c r="Y24" s="2"/>
      <c r="Z24" s="7">
        <f t="shared" si="7"/>
        <v>-2.6746562650217735E-2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6">
        <v>1864.04</v>
      </c>
      <c r="E25" s="2"/>
      <c r="F25" s="7">
        <f t="shared" si="0"/>
        <v>0</v>
      </c>
      <c r="G25" s="2"/>
      <c r="H25" s="6">
        <v>1462.1</v>
      </c>
      <c r="I25" s="2"/>
      <c r="J25" s="7">
        <f t="shared" si="1"/>
        <v>0</v>
      </c>
      <c r="K25" s="2"/>
      <c r="L25" s="6">
        <f t="shared" si="2"/>
        <v>401.94000000000005</v>
      </c>
      <c r="M25" s="2"/>
      <c r="N25" s="7">
        <f t="shared" si="3"/>
        <v>0.27490595718487115</v>
      </c>
      <c r="O25" s="11"/>
      <c r="P25" s="6">
        <v>5605.12</v>
      </c>
      <c r="Q25" s="2"/>
      <c r="R25" s="7">
        <f t="shared" si="4"/>
        <v>0</v>
      </c>
      <c r="S25" s="2"/>
      <c r="T25" s="6">
        <v>5079.8100000000004</v>
      </c>
      <c r="U25" s="2"/>
      <c r="V25" s="7">
        <f t="shared" si="5"/>
        <v>0</v>
      </c>
      <c r="W25" s="2"/>
      <c r="X25" s="6">
        <f t="shared" si="6"/>
        <v>525.30999999999949</v>
      </c>
      <c r="Y25" s="2"/>
      <c r="Z25" s="7">
        <f t="shared" si="7"/>
        <v>0.10341134806223057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6">
        <v>1128.19</v>
      </c>
      <c r="E26" s="2"/>
      <c r="F26" s="7">
        <f t="shared" si="0"/>
        <v>0</v>
      </c>
      <c r="G26" s="2"/>
      <c r="H26" s="6">
        <v>863.05</v>
      </c>
      <c r="I26" s="2"/>
      <c r="J26" s="7">
        <f t="shared" si="1"/>
        <v>0</v>
      </c>
      <c r="K26" s="2"/>
      <c r="L26" s="6">
        <f t="shared" si="2"/>
        <v>265.1400000000001</v>
      </c>
      <c r="M26" s="2"/>
      <c r="N26" s="7">
        <f t="shared" si="3"/>
        <v>0.30721279184288292</v>
      </c>
      <c r="O26" s="11"/>
      <c r="P26" s="6">
        <v>3574.09</v>
      </c>
      <c r="Q26" s="2"/>
      <c r="R26" s="7">
        <f t="shared" si="4"/>
        <v>0</v>
      </c>
      <c r="S26" s="2"/>
      <c r="T26" s="6">
        <v>3350.96</v>
      </c>
      <c r="U26" s="2"/>
      <c r="V26" s="7">
        <f t="shared" si="5"/>
        <v>0</v>
      </c>
      <c r="W26" s="2"/>
      <c r="X26" s="6">
        <f t="shared" si="6"/>
        <v>223.13000000000011</v>
      </c>
      <c r="Y26" s="2"/>
      <c r="Z26" s="7">
        <f t="shared" si="7"/>
        <v>6.6586888533435223E-2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6">
        <v>399.36</v>
      </c>
      <c r="E27" s="2"/>
      <c r="F27" s="7">
        <f t="shared" si="0"/>
        <v>0</v>
      </c>
      <c r="G27" s="2"/>
      <c r="H27" s="6">
        <v>392.12</v>
      </c>
      <c r="I27" s="2"/>
      <c r="J27" s="7">
        <f t="shared" si="1"/>
        <v>0</v>
      </c>
      <c r="K27" s="2"/>
      <c r="L27" s="6">
        <f t="shared" si="2"/>
        <v>7.2400000000000091</v>
      </c>
      <c r="M27" s="2"/>
      <c r="N27" s="7">
        <f t="shared" si="3"/>
        <v>1.8463735591145589E-2</v>
      </c>
      <c r="O27" s="11"/>
      <c r="P27" s="6">
        <v>1230.57</v>
      </c>
      <c r="Q27" s="2"/>
      <c r="R27" s="7">
        <f t="shared" si="4"/>
        <v>0</v>
      </c>
      <c r="S27" s="2"/>
      <c r="T27" s="6">
        <v>1241.1300000000001</v>
      </c>
      <c r="U27" s="2"/>
      <c r="V27" s="7">
        <f t="shared" si="5"/>
        <v>0</v>
      </c>
      <c r="W27" s="2"/>
      <c r="X27" s="6">
        <f t="shared" si="6"/>
        <v>-10.560000000000173</v>
      </c>
      <c r="Y27" s="2"/>
      <c r="Z27" s="7">
        <f t="shared" si="7"/>
        <v>-8.5083754320660777E-3</v>
      </c>
    </row>
    <row r="28" spans="1:26" s="29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50504.520000000004</v>
      </c>
      <c r="E28" s="1"/>
      <c r="F28" s="5">
        <f t="shared" ref="F28:F35" si="8">IF(D$12=0,0,D28/D$12)</f>
        <v>0</v>
      </c>
      <c r="G28" s="1"/>
      <c r="H28" s="1">
        <f>SUM(OSRRefH22_1x_0)</f>
        <v>46694.8</v>
      </c>
      <c r="I28" s="1"/>
      <c r="J28" s="5">
        <f t="shared" ref="J28:J35" si="9">IF(H$12=0,0,H28/H$12)</f>
        <v>0</v>
      </c>
      <c r="K28" s="1"/>
      <c r="L28" s="1">
        <f t="shared" ref="L28:L35" si="10">+D28-H28</f>
        <v>3809.7200000000012</v>
      </c>
      <c r="M28" s="1"/>
      <c r="N28" s="5">
        <f t="shared" ref="N28:N35" si="11">IF(H28=0,0,L28/H28)</f>
        <v>8.1587671432365075E-2</v>
      </c>
      <c r="O28" s="14"/>
      <c r="P28" s="1">
        <f>SUM(OSRRefP22_1x_0)</f>
        <v>165990.03999999998</v>
      </c>
      <c r="Q28" s="1"/>
      <c r="R28" s="5">
        <f t="shared" ref="R28:R35" si="12">IF(P$12=0,0,P28/P$12)</f>
        <v>0</v>
      </c>
      <c r="S28" s="1"/>
      <c r="T28" s="1">
        <f>SUM(OSRRefT22_1x_0)</f>
        <v>142927.07999999999</v>
      </c>
      <c r="U28" s="1"/>
      <c r="V28" s="5">
        <f t="shared" ref="V28:V35" si="13">IF(T$12=0,0,T28/T$12)</f>
        <v>0</v>
      </c>
      <c r="W28" s="1"/>
      <c r="X28" s="1">
        <f t="shared" ref="X28:X35" si="14">+P28-T28</f>
        <v>23062.959999999992</v>
      </c>
      <c r="Y28" s="1"/>
      <c r="Z28" s="5">
        <f t="shared" ref="Z28:Z35" si="15">IF(T28=0,0,X28/T28)</f>
        <v>0.16136172375451868</v>
      </c>
    </row>
    <row r="29" spans="1:26" s="24" customFormat="1" hidden="1" outlineLevel="2" x14ac:dyDescent="0.25">
      <c r="A29" s="28"/>
      <c r="B29" s="11" t="str">
        <f>CONCATENATE("          ", "6001", " - ", "ADMINISTRATIVE SALARIES")</f>
        <v xml:space="preserve">          6001 - ADMINISTRATIVE SALARIES</v>
      </c>
      <c r="C29" s="11"/>
      <c r="D29" s="6">
        <v>10717.14</v>
      </c>
      <c r="E29" s="2"/>
      <c r="F29" s="7">
        <f t="shared" si="8"/>
        <v>0</v>
      </c>
      <c r="G29" s="2"/>
      <c r="H29" s="6">
        <v>9884.75</v>
      </c>
      <c r="I29" s="2"/>
      <c r="J29" s="7">
        <f t="shared" si="9"/>
        <v>0</v>
      </c>
      <c r="K29" s="2"/>
      <c r="L29" s="6">
        <f t="shared" si="10"/>
        <v>832.38999999999942</v>
      </c>
      <c r="M29" s="2"/>
      <c r="N29" s="7">
        <f t="shared" si="11"/>
        <v>8.420951465641513E-2</v>
      </c>
      <c r="O29" s="11"/>
      <c r="P29" s="6">
        <v>33758.700000000004</v>
      </c>
      <c r="Q29" s="2"/>
      <c r="R29" s="7">
        <f t="shared" si="12"/>
        <v>0</v>
      </c>
      <c r="S29" s="2"/>
      <c r="T29" s="6">
        <v>33295.75</v>
      </c>
      <c r="U29" s="2"/>
      <c r="V29" s="7">
        <f t="shared" si="13"/>
        <v>0</v>
      </c>
      <c r="W29" s="2"/>
      <c r="X29" s="6">
        <f t="shared" si="14"/>
        <v>462.95000000000437</v>
      </c>
      <c r="Y29" s="2"/>
      <c r="Z29" s="7">
        <f t="shared" si="15"/>
        <v>1.3904176959521992E-2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6">
        <v>10127.67</v>
      </c>
      <c r="E30" s="2"/>
      <c r="F30" s="7">
        <f t="shared" si="8"/>
        <v>0</v>
      </c>
      <c r="G30" s="2"/>
      <c r="H30" s="6">
        <v>7972.85</v>
      </c>
      <c r="I30" s="2"/>
      <c r="J30" s="7">
        <f t="shared" si="9"/>
        <v>0</v>
      </c>
      <c r="K30" s="2"/>
      <c r="L30" s="6">
        <f t="shared" si="10"/>
        <v>2154.8199999999997</v>
      </c>
      <c r="M30" s="2"/>
      <c r="N30" s="7">
        <f t="shared" si="11"/>
        <v>0.27026972788902331</v>
      </c>
      <c r="O30" s="11"/>
      <c r="P30" s="6">
        <v>26866.99</v>
      </c>
      <c r="Q30" s="2"/>
      <c r="R30" s="7">
        <f t="shared" si="12"/>
        <v>0</v>
      </c>
      <c r="S30" s="2"/>
      <c r="T30" s="6">
        <v>23809.550000000003</v>
      </c>
      <c r="U30" s="2"/>
      <c r="V30" s="7">
        <f t="shared" si="13"/>
        <v>0</v>
      </c>
      <c r="W30" s="2"/>
      <c r="X30" s="6">
        <f t="shared" si="14"/>
        <v>3057.4399999999987</v>
      </c>
      <c r="Y30" s="2"/>
      <c r="Z30" s="7">
        <f t="shared" si="15"/>
        <v>0.1284123387464273</v>
      </c>
    </row>
    <row r="31" spans="1:26" s="24" customFormat="1" hidden="1" outlineLevel="2" x14ac:dyDescent="0.25">
      <c r="A31" s="28"/>
      <c r="B31" s="11" t="str">
        <f>CONCATENATE("          ", "6004", " - ", "STAFF HOURLY")</f>
        <v xml:space="preserve">          6004 - STAFF HOURLY</v>
      </c>
      <c r="C31" s="11"/>
      <c r="D31" s="6">
        <v>-1647.01</v>
      </c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-1647.01</v>
      </c>
      <c r="M31" s="2"/>
      <c r="N31" s="7">
        <f t="shared" si="11"/>
        <v>0</v>
      </c>
      <c r="O31" s="11"/>
      <c r="P31" s="6">
        <v>-1647.01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-1647.01</v>
      </c>
      <c r="Y31" s="2"/>
      <c r="Z31" s="7">
        <f t="shared" si="15"/>
        <v>0</v>
      </c>
    </row>
    <row r="32" spans="1:26" s="24" customFormat="1" hidden="1" outlineLevel="2" x14ac:dyDescent="0.25">
      <c r="A32" s="28"/>
      <c r="B32" s="11" t="str">
        <f>CONCATENATE("          ", "6005", " - ", "TEMPORARY WAGES-HOURLY")</f>
        <v xml:space="preserve">          6005 - TEMPORARY WAGES-HOURLY</v>
      </c>
      <c r="C32" s="11"/>
      <c r="D32" s="6">
        <v>7680.09</v>
      </c>
      <c r="E32" s="2"/>
      <c r="F32" s="7">
        <f t="shared" si="8"/>
        <v>0</v>
      </c>
      <c r="G32" s="2"/>
      <c r="H32" s="6">
        <v>5921.54</v>
      </c>
      <c r="I32" s="2"/>
      <c r="J32" s="7">
        <f t="shared" si="9"/>
        <v>0</v>
      </c>
      <c r="K32" s="2"/>
      <c r="L32" s="6">
        <f t="shared" si="10"/>
        <v>1758.5500000000002</v>
      </c>
      <c r="M32" s="2"/>
      <c r="N32" s="7">
        <f t="shared" si="11"/>
        <v>0.29697511120418002</v>
      </c>
      <c r="O32" s="11"/>
      <c r="P32" s="6">
        <v>24167.57</v>
      </c>
      <c r="Q32" s="2"/>
      <c r="R32" s="7">
        <f t="shared" si="12"/>
        <v>0</v>
      </c>
      <c r="S32" s="2"/>
      <c r="T32" s="6">
        <v>13355.67</v>
      </c>
      <c r="U32" s="2"/>
      <c r="V32" s="7">
        <f t="shared" si="13"/>
        <v>0</v>
      </c>
      <c r="W32" s="2"/>
      <c r="X32" s="6">
        <f t="shared" si="14"/>
        <v>10811.9</v>
      </c>
      <c r="Y32" s="2"/>
      <c r="Z32" s="7">
        <f t="shared" si="15"/>
        <v>0.80953632427276201</v>
      </c>
    </row>
    <row r="33" spans="1:26" s="24" customFormat="1" hidden="1" outlineLevel="2" x14ac:dyDescent="0.25">
      <c r="A33" s="28"/>
      <c r="B33" s="11" t="str">
        <f>CONCATENATE("          ", "6006", " - ", "TEMPORARY PART TIME")</f>
        <v xml:space="preserve">          6006 - TEMPORARY PART TIME</v>
      </c>
      <c r="C33" s="11"/>
      <c r="D33" s="6">
        <v>3108.88</v>
      </c>
      <c r="E33" s="2"/>
      <c r="F33" s="7">
        <f t="shared" si="8"/>
        <v>0</v>
      </c>
      <c r="G33" s="2"/>
      <c r="H33" s="6">
        <v>748</v>
      </c>
      <c r="I33" s="2"/>
      <c r="J33" s="7">
        <f t="shared" si="9"/>
        <v>0</v>
      </c>
      <c r="K33" s="2"/>
      <c r="L33" s="6">
        <f t="shared" si="10"/>
        <v>2360.88</v>
      </c>
      <c r="M33" s="2"/>
      <c r="N33" s="7">
        <f t="shared" si="11"/>
        <v>3.1562566844919786</v>
      </c>
      <c r="O33" s="11"/>
      <c r="P33" s="6">
        <v>6836.01</v>
      </c>
      <c r="Q33" s="2"/>
      <c r="R33" s="7">
        <f t="shared" si="12"/>
        <v>0</v>
      </c>
      <c r="S33" s="2"/>
      <c r="T33" s="6">
        <v>1646.37</v>
      </c>
      <c r="U33" s="2"/>
      <c r="V33" s="7">
        <f t="shared" si="13"/>
        <v>0</v>
      </c>
      <c r="W33" s="2"/>
      <c r="X33" s="6">
        <f t="shared" si="14"/>
        <v>5189.6400000000003</v>
      </c>
      <c r="Y33" s="2"/>
      <c r="Z33" s="7">
        <f t="shared" si="15"/>
        <v>3.1521711401446821</v>
      </c>
    </row>
    <row r="34" spans="1:26" s="24" customFormat="1" hidden="1" outlineLevel="2" x14ac:dyDescent="0.25">
      <c r="A34" s="28"/>
      <c r="B34" s="11" t="str">
        <f>CONCATENATE("          ", "6007", " - ", "STUDENT HOURLY")</f>
        <v xml:space="preserve">          6007 - STUDENT HOURLY</v>
      </c>
      <c r="C34" s="11"/>
      <c r="D34" s="6">
        <v>20268.75</v>
      </c>
      <c r="E34" s="2"/>
      <c r="F34" s="7">
        <f t="shared" si="8"/>
        <v>0</v>
      </c>
      <c r="G34" s="2"/>
      <c r="H34" s="6">
        <v>21936.66</v>
      </c>
      <c r="I34" s="2"/>
      <c r="J34" s="7">
        <f t="shared" si="9"/>
        <v>0</v>
      </c>
      <c r="K34" s="2"/>
      <c r="L34" s="6">
        <f t="shared" si="10"/>
        <v>-1667.9099999999999</v>
      </c>
      <c r="M34" s="2"/>
      <c r="N34" s="7">
        <f t="shared" si="11"/>
        <v>-7.6032996819023493E-2</v>
      </c>
      <c r="O34" s="11"/>
      <c r="P34" s="6">
        <v>75455.78</v>
      </c>
      <c r="Q34" s="2"/>
      <c r="R34" s="7">
        <f t="shared" si="12"/>
        <v>0</v>
      </c>
      <c r="S34" s="2"/>
      <c r="T34" s="6">
        <v>70588.739999999991</v>
      </c>
      <c r="U34" s="2"/>
      <c r="V34" s="7">
        <f t="shared" si="13"/>
        <v>0</v>
      </c>
      <c r="W34" s="2"/>
      <c r="X34" s="6">
        <f t="shared" si="14"/>
        <v>4867.0400000000081</v>
      </c>
      <c r="Y34" s="2"/>
      <c r="Z34" s="7">
        <f t="shared" si="15"/>
        <v>6.8949240346264984E-2</v>
      </c>
    </row>
    <row r="35" spans="1:26" s="24" customFormat="1" hidden="1" outlineLevel="2" x14ac:dyDescent="0.25">
      <c r="A35" s="28"/>
      <c r="B35" s="11" t="str">
        <f>CONCATENATE("          ", "6008", " - ", "STUDENT HOURLY-FICA EXEMPT")</f>
        <v xml:space="preserve">          6008 - STUDENT HOURLY-FICA EXEMPT</v>
      </c>
      <c r="C35" s="11"/>
      <c r="D35" s="6">
        <v>249</v>
      </c>
      <c r="E35" s="2"/>
      <c r="F35" s="7">
        <f t="shared" si="8"/>
        <v>0</v>
      </c>
      <c r="G35" s="2"/>
      <c r="H35" s="6">
        <v>231</v>
      </c>
      <c r="I35" s="2"/>
      <c r="J35" s="7">
        <f t="shared" si="9"/>
        <v>0</v>
      </c>
      <c r="K35" s="2"/>
      <c r="L35" s="6">
        <f t="shared" si="10"/>
        <v>18</v>
      </c>
      <c r="M35" s="2"/>
      <c r="N35" s="7">
        <f t="shared" si="11"/>
        <v>7.792207792207792E-2</v>
      </c>
      <c r="O35" s="11"/>
      <c r="P35" s="6">
        <v>552</v>
      </c>
      <c r="Q35" s="2"/>
      <c r="R35" s="7">
        <f t="shared" si="12"/>
        <v>0</v>
      </c>
      <c r="S35" s="2"/>
      <c r="T35" s="6">
        <v>231</v>
      </c>
      <c r="U35" s="2"/>
      <c r="V35" s="7">
        <f t="shared" si="13"/>
        <v>0</v>
      </c>
      <c r="W35" s="2"/>
      <c r="X35" s="6">
        <f t="shared" si="14"/>
        <v>321</v>
      </c>
      <c r="Y35" s="2"/>
      <c r="Z35" s="7">
        <f t="shared" si="15"/>
        <v>1.3896103896103895</v>
      </c>
    </row>
    <row r="36" spans="1:26" s="29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20.260000000000002</v>
      </c>
      <c r="E36" s="1"/>
      <c r="F36" s="5">
        <f t="shared" ref="F36:F44" si="16">IF(D$12=0,0,D36/D$12)</f>
        <v>0</v>
      </c>
      <c r="G36" s="1"/>
      <c r="H36" s="1">
        <f>SUM(OSRRefH22_2x_0)</f>
        <v>2304.37</v>
      </c>
      <c r="I36" s="1"/>
      <c r="J36" s="5">
        <f t="shared" ref="J36:J44" si="17">IF(H$12=0,0,H36/H$12)</f>
        <v>0</v>
      </c>
      <c r="K36" s="1"/>
      <c r="L36" s="1">
        <f t="shared" ref="L36:L44" si="18">+D36-H36</f>
        <v>-2284.1099999999997</v>
      </c>
      <c r="M36" s="1"/>
      <c r="N36" s="5">
        <f t="shared" ref="N36:N44" si="19">IF(H36=0,0,L36/H36)</f>
        <v>-0.99120800913047813</v>
      </c>
      <c r="O36" s="14"/>
      <c r="P36" s="1">
        <f>SUM(OSRRefP22_2x_0)</f>
        <v>796.05</v>
      </c>
      <c r="Q36" s="1"/>
      <c r="R36" s="5">
        <f t="shared" ref="R36:R44" si="20">IF(P$12=0,0,P36/P$12)</f>
        <v>0</v>
      </c>
      <c r="S36" s="1"/>
      <c r="T36" s="1">
        <f>SUM(OSRRefT22_2x_0)</f>
        <v>6647</v>
      </c>
      <c r="U36" s="1"/>
      <c r="V36" s="5">
        <f t="shared" ref="V36:V44" si="21">IF(T$12=0,0,T36/T$12)</f>
        <v>0</v>
      </c>
      <c r="W36" s="1"/>
      <c r="X36" s="1">
        <f t="shared" ref="X36:X44" si="22">+P36-T36</f>
        <v>-5850.95</v>
      </c>
      <c r="Y36" s="1"/>
      <c r="Z36" s="5">
        <f t="shared" ref="Z36:Z44" si="23">IF(T36=0,0,X36/T36)</f>
        <v>-0.88023920565668723</v>
      </c>
    </row>
    <row r="37" spans="1:26" s="24" customFormat="1" hidden="1" outlineLevel="2" x14ac:dyDescent="0.25">
      <c r="A37" s="28"/>
      <c r="B37" s="11" t="str">
        <f>CONCATENATE("          ", "6362", " - ", "ADVERTISING EXPENSE")</f>
        <v xml:space="preserve">          6362 - ADVERTISING EXPENSE</v>
      </c>
      <c r="C37" s="11"/>
      <c r="D37" s="6">
        <v>20.260000000000002</v>
      </c>
      <c r="E37" s="2"/>
      <c r="F37" s="7">
        <f t="shared" si="16"/>
        <v>0</v>
      </c>
      <c r="G37" s="2"/>
      <c r="H37" s="6">
        <v>2304.37</v>
      </c>
      <c r="I37" s="2"/>
      <c r="J37" s="7">
        <f t="shared" si="17"/>
        <v>0</v>
      </c>
      <c r="K37" s="2"/>
      <c r="L37" s="6">
        <f t="shared" si="18"/>
        <v>-2284.1099999999997</v>
      </c>
      <c r="M37" s="2"/>
      <c r="N37" s="7">
        <f t="shared" si="19"/>
        <v>-0.99120800913047813</v>
      </c>
      <c r="O37" s="11"/>
      <c r="P37" s="6">
        <v>796.05</v>
      </c>
      <c r="Q37" s="2"/>
      <c r="R37" s="7">
        <f t="shared" si="20"/>
        <v>0</v>
      </c>
      <c r="S37" s="2"/>
      <c r="T37" s="6">
        <v>6647</v>
      </c>
      <c r="U37" s="2"/>
      <c r="V37" s="7">
        <f t="shared" si="21"/>
        <v>0</v>
      </c>
      <c r="W37" s="2"/>
      <c r="X37" s="6">
        <f t="shared" si="22"/>
        <v>-5850.95</v>
      </c>
      <c r="Y37" s="2"/>
      <c r="Z37" s="7">
        <f t="shared" si="23"/>
        <v>-0.88023920565668723</v>
      </c>
    </row>
    <row r="38" spans="1:26" s="29" customFormat="1" outlineLevel="1" collapsed="1" x14ac:dyDescent="0.25">
      <c r="A38" s="27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SUM(OSRRefD22_3x_0)</f>
        <v>-52.41</v>
      </c>
      <c r="E38" s="1"/>
      <c r="F38" s="5">
        <f t="shared" si="16"/>
        <v>0</v>
      </c>
      <c r="G38" s="1"/>
      <c r="H38" s="1">
        <f>SUM(OSRRefH22_3x_0)</f>
        <v>44.77</v>
      </c>
      <c r="I38" s="1"/>
      <c r="J38" s="5">
        <f t="shared" si="17"/>
        <v>0</v>
      </c>
      <c r="K38" s="1"/>
      <c r="L38" s="1">
        <f t="shared" si="18"/>
        <v>-97.18</v>
      </c>
      <c r="M38" s="1"/>
      <c r="N38" s="5">
        <f t="shared" si="19"/>
        <v>-2.1706499888318072</v>
      </c>
      <c r="O38" s="14"/>
      <c r="P38" s="1">
        <f>SUM(OSRRefP22_3x_0)</f>
        <v>-155.58000000000001</v>
      </c>
      <c r="Q38" s="1"/>
      <c r="R38" s="5">
        <f t="shared" si="20"/>
        <v>0</v>
      </c>
      <c r="S38" s="1"/>
      <c r="T38" s="1">
        <f>SUM(OSRRefT22_3x_0)</f>
        <v>-14.95</v>
      </c>
      <c r="U38" s="1"/>
      <c r="V38" s="5">
        <f t="shared" si="21"/>
        <v>0</v>
      </c>
      <c r="W38" s="1"/>
      <c r="X38" s="1">
        <f t="shared" si="22"/>
        <v>-140.63000000000002</v>
      </c>
      <c r="Y38" s="1"/>
      <c r="Z38" s="5">
        <f t="shared" si="23"/>
        <v>9.4066889632107049</v>
      </c>
    </row>
    <row r="39" spans="1:26" s="24" customFormat="1" hidden="1" outlineLevel="2" x14ac:dyDescent="0.25">
      <c r="A39" s="28"/>
      <c r="B39" s="11" t="str">
        <f>CONCATENATE("          ", "6272", " - ", "CASH (OVER/SHORT)")</f>
        <v xml:space="preserve">          6272 - CASH (OVER/SHORT)</v>
      </c>
      <c r="C39" s="11"/>
      <c r="D39" s="6">
        <v>-52.41</v>
      </c>
      <c r="E39" s="2"/>
      <c r="F39" s="7">
        <f t="shared" si="16"/>
        <v>0</v>
      </c>
      <c r="G39" s="2"/>
      <c r="H39" s="6">
        <v>44.77</v>
      </c>
      <c r="I39" s="2"/>
      <c r="J39" s="7">
        <f t="shared" si="17"/>
        <v>0</v>
      </c>
      <c r="K39" s="2"/>
      <c r="L39" s="6">
        <f t="shared" si="18"/>
        <v>-97.18</v>
      </c>
      <c r="M39" s="2"/>
      <c r="N39" s="7">
        <f t="shared" si="19"/>
        <v>-2.1706499888318072</v>
      </c>
      <c r="O39" s="11"/>
      <c r="P39" s="6">
        <v>-155.58000000000001</v>
      </c>
      <c r="Q39" s="2"/>
      <c r="R39" s="7">
        <f t="shared" si="20"/>
        <v>0</v>
      </c>
      <c r="S39" s="2"/>
      <c r="T39" s="6">
        <v>-14.95</v>
      </c>
      <c r="U39" s="2"/>
      <c r="V39" s="7">
        <f t="shared" si="21"/>
        <v>0</v>
      </c>
      <c r="W39" s="2"/>
      <c r="X39" s="6">
        <f t="shared" si="22"/>
        <v>-140.63000000000002</v>
      </c>
      <c r="Y39" s="2"/>
      <c r="Z39" s="7">
        <f t="shared" si="23"/>
        <v>9.4066889632107049</v>
      </c>
    </row>
    <row r="40" spans="1:26" s="29" customFormat="1" outlineLevel="1" collapsed="1" x14ac:dyDescent="0.25">
      <c r="A40" s="27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SUM(OSRRefD22_4x_0)</f>
        <v>20260.43</v>
      </c>
      <c r="E40" s="1"/>
      <c r="F40" s="5">
        <f t="shared" si="16"/>
        <v>0</v>
      </c>
      <c r="G40" s="1"/>
      <c r="H40" s="1">
        <f>SUM(OSRRefH22_4x_0)</f>
        <v>24340.289999999997</v>
      </c>
      <c r="I40" s="1"/>
      <c r="J40" s="5">
        <f t="shared" si="17"/>
        <v>0</v>
      </c>
      <c r="K40" s="1"/>
      <c r="L40" s="1">
        <f t="shared" si="18"/>
        <v>-4079.8599999999969</v>
      </c>
      <c r="M40" s="1"/>
      <c r="N40" s="5">
        <f t="shared" si="19"/>
        <v>-0.16761755919917132</v>
      </c>
      <c r="O40" s="14"/>
      <c r="P40" s="1">
        <f>SUM(OSRRefP22_4x_0)</f>
        <v>58234.28</v>
      </c>
      <c r="Q40" s="1"/>
      <c r="R40" s="5">
        <f t="shared" si="20"/>
        <v>0</v>
      </c>
      <c r="S40" s="1"/>
      <c r="T40" s="1">
        <f>SUM(OSRRefT22_4x_0)</f>
        <v>59062.460000000006</v>
      </c>
      <c r="U40" s="1"/>
      <c r="V40" s="5">
        <f t="shared" si="21"/>
        <v>0</v>
      </c>
      <c r="W40" s="1"/>
      <c r="X40" s="1">
        <f t="shared" si="22"/>
        <v>-828.18000000000757</v>
      </c>
      <c r="Y40" s="1"/>
      <c r="Z40" s="5">
        <f t="shared" si="23"/>
        <v>-1.4022104734547248E-2</v>
      </c>
    </row>
    <row r="41" spans="1:26" s="24" customFormat="1" hidden="1" outlineLevel="2" x14ac:dyDescent="0.25">
      <c r="A41" s="28"/>
      <c r="B41" s="11" t="str">
        <f>CONCATENATE("          ", "6381", " - ", "BANK/CREDIT CARD FEES")</f>
        <v xml:space="preserve">          6381 - BANK/CREDIT CARD FEES</v>
      </c>
      <c r="C41" s="11"/>
      <c r="D41" s="6">
        <v>20260.43</v>
      </c>
      <c r="E41" s="2"/>
      <c r="F41" s="7">
        <f t="shared" si="16"/>
        <v>0</v>
      </c>
      <c r="G41" s="2"/>
      <c r="H41" s="6">
        <v>24340.289999999997</v>
      </c>
      <c r="I41" s="2"/>
      <c r="J41" s="7">
        <f t="shared" si="17"/>
        <v>0</v>
      </c>
      <c r="K41" s="2"/>
      <c r="L41" s="6">
        <f t="shared" si="18"/>
        <v>-4079.8599999999969</v>
      </c>
      <c r="M41" s="2"/>
      <c r="N41" s="7">
        <f t="shared" si="19"/>
        <v>-0.16761755919917132</v>
      </c>
      <c r="O41" s="11"/>
      <c r="P41" s="6">
        <v>58234.28</v>
      </c>
      <c r="Q41" s="2"/>
      <c r="R41" s="7">
        <f t="shared" si="20"/>
        <v>0</v>
      </c>
      <c r="S41" s="2"/>
      <c r="T41" s="6">
        <v>59062.460000000006</v>
      </c>
      <c r="U41" s="2"/>
      <c r="V41" s="7">
        <f t="shared" si="21"/>
        <v>0</v>
      </c>
      <c r="W41" s="2"/>
      <c r="X41" s="6">
        <f t="shared" si="22"/>
        <v>-828.18000000000757</v>
      </c>
      <c r="Y41" s="2"/>
      <c r="Z41" s="7">
        <f t="shared" si="23"/>
        <v>-1.4022104734547248E-2</v>
      </c>
    </row>
    <row r="42" spans="1:26" s="29" customFormat="1" outlineLevel="1" collapsed="1" x14ac:dyDescent="0.25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SUM(OSRRefD22_5x_0)</f>
        <v>29607.43</v>
      </c>
      <c r="E42" s="1"/>
      <c r="F42" s="5">
        <f t="shared" si="16"/>
        <v>0</v>
      </c>
      <c r="G42" s="1"/>
      <c r="H42" s="1">
        <f>SUM(OSRRefH22_5x_0)</f>
        <v>29330.07</v>
      </c>
      <c r="I42" s="1"/>
      <c r="J42" s="5">
        <f t="shared" si="17"/>
        <v>0</v>
      </c>
      <c r="K42" s="1"/>
      <c r="L42" s="1">
        <f t="shared" si="18"/>
        <v>277.36000000000058</v>
      </c>
      <c r="M42" s="1"/>
      <c r="N42" s="5">
        <f t="shared" si="19"/>
        <v>9.4565065818117914E-3</v>
      </c>
      <c r="O42" s="14"/>
      <c r="P42" s="1">
        <f>SUM(OSRRefP22_5x_0)</f>
        <v>88822.29</v>
      </c>
      <c r="Q42" s="1"/>
      <c r="R42" s="5">
        <f t="shared" si="20"/>
        <v>0</v>
      </c>
      <c r="S42" s="1"/>
      <c r="T42" s="1">
        <f>SUM(OSRRefT22_5x_0)</f>
        <v>87990.21</v>
      </c>
      <c r="U42" s="1"/>
      <c r="V42" s="5">
        <f t="shared" si="21"/>
        <v>0</v>
      </c>
      <c r="W42" s="1"/>
      <c r="X42" s="1">
        <f t="shared" si="22"/>
        <v>832.07999999998719</v>
      </c>
      <c r="Y42" s="1"/>
      <c r="Z42" s="5">
        <f t="shared" si="23"/>
        <v>9.4565065818116266E-3</v>
      </c>
    </row>
    <row r="43" spans="1:26" s="24" customFormat="1" hidden="1" outlineLevel="2" x14ac:dyDescent="0.25">
      <c r="A43" s="28"/>
      <c r="B43" s="11" t="str">
        <f>CONCATENATE("          ", "6321", " - ", "BUILDING DEPRECIATION")</f>
        <v xml:space="preserve">          6321 - BUILDING DEPRECIATION</v>
      </c>
      <c r="C43" s="11"/>
      <c r="D43" s="6">
        <v>16396.52</v>
      </c>
      <c r="E43" s="2"/>
      <c r="F43" s="7">
        <f t="shared" si="16"/>
        <v>0</v>
      </c>
      <c r="G43" s="2"/>
      <c r="H43" s="6">
        <v>16453.38</v>
      </c>
      <c r="I43" s="2"/>
      <c r="J43" s="7">
        <f t="shared" si="17"/>
        <v>0</v>
      </c>
      <c r="K43" s="2"/>
      <c r="L43" s="6">
        <f t="shared" si="18"/>
        <v>-56.860000000000582</v>
      </c>
      <c r="M43" s="2"/>
      <c r="N43" s="7">
        <f t="shared" si="19"/>
        <v>-3.4558248821822978E-3</v>
      </c>
      <c r="O43" s="11"/>
      <c r="P43" s="6">
        <v>49189.56</v>
      </c>
      <c r="Q43" s="2"/>
      <c r="R43" s="7">
        <f t="shared" si="20"/>
        <v>0</v>
      </c>
      <c r="S43" s="2"/>
      <c r="T43" s="6">
        <v>49360.140000000007</v>
      </c>
      <c r="U43" s="2"/>
      <c r="V43" s="7">
        <f t="shared" si="21"/>
        <v>0</v>
      </c>
      <c r="W43" s="2"/>
      <c r="X43" s="6">
        <f t="shared" si="22"/>
        <v>-170.58000000000902</v>
      </c>
      <c r="Y43" s="2"/>
      <c r="Z43" s="7">
        <f t="shared" si="23"/>
        <v>-3.4558248821824453E-3</v>
      </c>
    </row>
    <row r="44" spans="1:26" s="24" customFormat="1" hidden="1" outlineLevel="2" x14ac:dyDescent="0.25">
      <c r="A44" s="28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13210.91</v>
      </c>
      <c r="E44" s="2"/>
      <c r="F44" s="7">
        <f t="shared" si="16"/>
        <v>0</v>
      </c>
      <c r="G44" s="2"/>
      <c r="H44" s="6">
        <v>12876.69</v>
      </c>
      <c r="I44" s="2"/>
      <c r="J44" s="7">
        <f t="shared" si="17"/>
        <v>0</v>
      </c>
      <c r="K44" s="2"/>
      <c r="L44" s="6">
        <f t="shared" si="18"/>
        <v>334.21999999999935</v>
      </c>
      <c r="M44" s="2"/>
      <c r="N44" s="7">
        <f t="shared" si="19"/>
        <v>2.5955427986539967E-2</v>
      </c>
      <c r="O44" s="11"/>
      <c r="P44" s="6">
        <v>39632.729999999996</v>
      </c>
      <c r="Q44" s="2"/>
      <c r="R44" s="7">
        <f t="shared" si="20"/>
        <v>0</v>
      </c>
      <c r="S44" s="2"/>
      <c r="T44" s="6">
        <v>38630.07</v>
      </c>
      <c r="U44" s="2"/>
      <c r="V44" s="7">
        <f t="shared" si="21"/>
        <v>0</v>
      </c>
      <c r="W44" s="2"/>
      <c r="X44" s="6">
        <f t="shared" si="22"/>
        <v>1002.6599999999962</v>
      </c>
      <c r="Y44" s="2"/>
      <c r="Z44" s="7">
        <f t="shared" si="23"/>
        <v>2.5955427986539922E-2</v>
      </c>
    </row>
    <row r="45" spans="1:26" s="29" customFormat="1" outlineLevel="1" collapsed="1" x14ac:dyDescent="0.25">
      <c r="A45" s="27"/>
      <c r="B45" s="14" t="str">
        <f>CONCATENATE("     ","Discounts and Markdowns                           ")</f>
        <v xml:space="preserve">     Discounts and Markdowns                           </v>
      </c>
      <c r="C45" s="14"/>
      <c r="D45" s="1">
        <f>SUM(OSRRefD22_6x_0)</f>
        <v>-212.10000000000002</v>
      </c>
      <c r="E45" s="1"/>
      <c r="F45" s="5">
        <f t="shared" ref="F45:F47" si="24">IF(D$12=0,0,D45/D$12)</f>
        <v>0</v>
      </c>
      <c r="G45" s="1"/>
      <c r="H45" s="1">
        <f>SUM(OSRRefH22_6x_0)</f>
        <v>-393.43</v>
      </c>
      <c r="I45" s="1"/>
      <c r="J45" s="5">
        <f t="shared" ref="J45:J47" si="25">IF(H$12=0,0,H45/H$12)</f>
        <v>0</v>
      </c>
      <c r="K45" s="1"/>
      <c r="L45" s="1">
        <f t="shared" ref="L45:L47" si="26">+D45-H45</f>
        <v>181.32999999999998</v>
      </c>
      <c r="M45" s="1"/>
      <c r="N45" s="5">
        <f t="shared" ref="N45:N47" si="27">IF(H45=0,0,L45/H45)</f>
        <v>-0.46089520372111936</v>
      </c>
      <c r="O45" s="14"/>
      <c r="P45" s="1">
        <f>SUM(OSRRefP22_6x_0)</f>
        <v>-873.69</v>
      </c>
      <c r="Q45" s="1"/>
      <c r="R45" s="5">
        <f t="shared" ref="R45:R47" si="28">IF(P$12=0,0,P45/P$12)</f>
        <v>0</v>
      </c>
      <c r="S45" s="1"/>
      <c r="T45" s="1">
        <f>SUM(OSRRefT22_6x_0)</f>
        <v>-1637.03</v>
      </c>
      <c r="U45" s="1"/>
      <c r="V45" s="5">
        <f t="shared" ref="V45:V47" si="29">IF(T$12=0,0,T45/T$12)</f>
        <v>0</v>
      </c>
      <c r="W45" s="1"/>
      <c r="X45" s="1">
        <f t="shared" ref="X45:X47" si="30">+P45-T45</f>
        <v>763.33999999999992</v>
      </c>
      <c r="Y45" s="1"/>
      <c r="Z45" s="5">
        <f t="shared" ref="Z45:Z47" si="31">IF(T45=0,0,X45/T45)</f>
        <v>-0.46629566959676971</v>
      </c>
    </row>
    <row r="46" spans="1:26" s="24" customFormat="1" hidden="1" outlineLevel="2" x14ac:dyDescent="0.25">
      <c r="A46" s="28"/>
      <c r="B46" s="11" t="str">
        <f>CONCATENATE("          ", "6382", " - ", "DISCOUNTS/MARK DOWNS")</f>
        <v xml:space="preserve">          6382 - DISCOUNTS/MARK DOWNS</v>
      </c>
      <c r="C46" s="11"/>
      <c r="D46" s="6">
        <v>137.5</v>
      </c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137.5</v>
      </c>
      <c r="M46" s="2"/>
      <c r="N46" s="7">
        <f t="shared" si="27"/>
        <v>0</v>
      </c>
      <c r="O46" s="11"/>
      <c r="P46" s="6">
        <v>189.5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189.5</v>
      </c>
      <c r="Y46" s="2"/>
      <c r="Z46" s="7">
        <f t="shared" si="31"/>
        <v>0</v>
      </c>
    </row>
    <row r="47" spans="1:26" s="24" customFormat="1" hidden="1" outlineLevel="2" x14ac:dyDescent="0.25">
      <c r="A47" s="28"/>
      <c r="B47" s="11" t="str">
        <f>CONCATENATE("          ", "9175", " - ", "EARNED DISCOUNTS")</f>
        <v xml:space="preserve">          9175 - EARNED DISCOUNTS</v>
      </c>
      <c r="C47" s="11"/>
      <c r="D47" s="6">
        <v>-349.6</v>
      </c>
      <c r="E47" s="2"/>
      <c r="F47" s="7">
        <f t="shared" si="24"/>
        <v>0</v>
      </c>
      <c r="G47" s="2"/>
      <c r="H47" s="6">
        <v>-393.43</v>
      </c>
      <c r="I47" s="2"/>
      <c r="J47" s="7">
        <f t="shared" si="25"/>
        <v>0</v>
      </c>
      <c r="K47" s="2"/>
      <c r="L47" s="6">
        <f t="shared" si="26"/>
        <v>43.829999999999984</v>
      </c>
      <c r="M47" s="2"/>
      <c r="N47" s="7">
        <f t="shared" si="27"/>
        <v>-0.11140482423811093</v>
      </c>
      <c r="O47" s="11"/>
      <c r="P47" s="6">
        <v>-1063.19</v>
      </c>
      <c r="Q47" s="2"/>
      <c r="R47" s="7">
        <f t="shared" si="28"/>
        <v>0</v>
      </c>
      <c r="S47" s="2"/>
      <c r="T47" s="6">
        <v>-1637.03</v>
      </c>
      <c r="U47" s="2"/>
      <c r="V47" s="7">
        <f t="shared" si="29"/>
        <v>0</v>
      </c>
      <c r="W47" s="2"/>
      <c r="X47" s="6">
        <f t="shared" si="30"/>
        <v>573.83999999999992</v>
      </c>
      <c r="Y47" s="2"/>
      <c r="Z47" s="7">
        <f t="shared" si="31"/>
        <v>-0.35053725344068215</v>
      </c>
    </row>
    <row r="48" spans="1:26" s="29" customFormat="1" outlineLevel="1" collapsed="1" x14ac:dyDescent="0.25">
      <c r="A48" s="27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SUM(OSRRefD22_7x_0)</f>
        <v>1608.36</v>
      </c>
      <c r="E48" s="1"/>
      <c r="F48" s="5">
        <f t="shared" ref="F48:F65" si="32">IF(D$12=0,0,D48/D$12)</f>
        <v>0</v>
      </c>
      <c r="G48" s="1"/>
      <c r="H48" s="1">
        <f>SUM(OSRRefH22_7x_0)</f>
        <v>1039.92</v>
      </c>
      <c r="I48" s="1"/>
      <c r="J48" s="5">
        <f t="shared" ref="J48:J65" si="33">IF(H$12=0,0,H48/H$12)</f>
        <v>0</v>
      </c>
      <c r="K48" s="1"/>
      <c r="L48" s="1">
        <f t="shared" ref="L48:L65" si="34">+D48-H48</f>
        <v>568.43999999999983</v>
      </c>
      <c r="M48" s="1"/>
      <c r="N48" s="5">
        <f t="shared" ref="N48:N65" si="35">IF(H48=0,0,L48/H48)</f>
        <v>0.54661897069005283</v>
      </c>
      <c r="O48" s="14"/>
      <c r="P48" s="1">
        <f>SUM(OSRRefP22_7x_0)</f>
        <v>5225.34</v>
      </c>
      <c r="Q48" s="1"/>
      <c r="R48" s="5">
        <f t="shared" ref="R48:R65" si="36">IF(P$12=0,0,P48/P$12)</f>
        <v>0</v>
      </c>
      <c r="S48" s="1"/>
      <c r="T48" s="1">
        <f>SUM(OSRRefT22_7x_0)</f>
        <v>3235.73</v>
      </c>
      <c r="U48" s="1"/>
      <c r="V48" s="5">
        <f t="shared" ref="V48:V65" si="37">IF(T$12=0,0,T48/T$12)</f>
        <v>0</v>
      </c>
      <c r="W48" s="1"/>
      <c r="X48" s="1">
        <f t="shared" ref="X48:X65" si="38">+P48-T48</f>
        <v>1989.6100000000001</v>
      </c>
      <c r="Y48" s="1"/>
      <c r="Z48" s="5">
        <f t="shared" ref="Z48:Z65" si="39">IF(T48=0,0,X48/T48)</f>
        <v>0.61488752151755555</v>
      </c>
    </row>
    <row r="49" spans="1:26" s="24" customFormat="1" hidden="1" outlineLevel="2" x14ac:dyDescent="0.25">
      <c r="A49" s="28"/>
      <c r="B49" s="11" t="str">
        <f>CONCATENATE("          ", "6399", " - ", "DONATION-ON CAMPUS")</f>
        <v xml:space="preserve">          6399 - DONATION-ON CAMPUS</v>
      </c>
      <c r="C49" s="11"/>
      <c r="D49" s="6">
        <v>1608.36</v>
      </c>
      <c r="E49" s="2"/>
      <c r="F49" s="7">
        <f t="shared" si="32"/>
        <v>0</v>
      </c>
      <c r="G49" s="2"/>
      <c r="H49" s="6">
        <v>1039.92</v>
      </c>
      <c r="I49" s="2"/>
      <c r="J49" s="7">
        <f t="shared" si="33"/>
        <v>0</v>
      </c>
      <c r="K49" s="2"/>
      <c r="L49" s="6">
        <f t="shared" si="34"/>
        <v>568.43999999999983</v>
      </c>
      <c r="M49" s="2"/>
      <c r="N49" s="7">
        <f t="shared" si="35"/>
        <v>0.54661897069005283</v>
      </c>
      <c r="O49" s="11"/>
      <c r="P49" s="6">
        <v>5225.34</v>
      </c>
      <c r="Q49" s="2"/>
      <c r="R49" s="7">
        <f t="shared" si="36"/>
        <v>0</v>
      </c>
      <c r="S49" s="2"/>
      <c r="T49" s="6">
        <v>3235.73</v>
      </c>
      <c r="U49" s="2"/>
      <c r="V49" s="7">
        <f t="shared" si="37"/>
        <v>0</v>
      </c>
      <c r="W49" s="2"/>
      <c r="X49" s="6">
        <f t="shared" si="38"/>
        <v>1989.6100000000001</v>
      </c>
      <c r="Y49" s="2"/>
      <c r="Z49" s="7">
        <f t="shared" si="39"/>
        <v>0.61488752151755555</v>
      </c>
    </row>
    <row r="50" spans="1:26" s="29" customFormat="1" outlineLevel="1" collapsed="1" x14ac:dyDescent="0.25">
      <c r="A50" s="27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SUM(OSRRefD22_8x_0)</f>
        <v>134.26</v>
      </c>
      <c r="E50" s="1"/>
      <c r="F50" s="5">
        <f t="shared" si="32"/>
        <v>0</v>
      </c>
      <c r="G50" s="1"/>
      <c r="H50" s="1">
        <f>SUM(OSRRefH22_8x_0)</f>
        <v>638.13</v>
      </c>
      <c r="I50" s="1"/>
      <c r="J50" s="5">
        <f t="shared" si="33"/>
        <v>0</v>
      </c>
      <c r="K50" s="1"/>
      <c r="L50" s="1">
        <f t="shared" si="34"/>
        <v>-503.87</v>
      </c>
      <c r="M50" s="1"/>
      <c r="N50" s="5">
        <f t="shared" si="35"/>
        <v>-0.78960399918511903</v>
      </c>
      <c r="O50" s="14"/>
      <c r="P50" s="1">
        <f>SUM(OSRRefP22_8x_0)</f>
        <v>451.22</v>
      </c>
      <c r="Q50" s="1"/>
      <c r="R50" s="5">
        <f t="shared" si="36"/>
        <v>0</v>
      </c>
      <c r="S50" s="1"/>
      <c r="T50" s="1">
        <f>SUM(OSRRefT22_8x_0)</f>
        <v>1267.01</v>
      </c>
      <c r="U50" s="1"/>
      <c r="V50" s="5">
        <f t="shared" si="37"/>
        <v>0</v>
      </c>
      <c r="W50" s="1"/>
      <c r="X50" s="1">
        <f t="shared" si="38"/>
        <v>-815.79</v>
      </c>
      <c r="Y50" s="1"/>
      <c r="Z50" s="5">
        <f t="shared" si="39"/>
        <v>-0.64387021412617107</v>
      </c>
    </row>
    <row r="51" spans="1:26" s="24" customFormat="1" hidden="1" outlineLevel="2" x14ac:dyDescent="0.25">
      <c r="A51" s="28"/>
      <c r="B51" s="11" t="str">
        <f>CONCATENATE("          ", "6277", " - ", "EMPLOYEE APPRECIATION")</f>
        <v xml:space="preserve">          6277 - EMPLOYEE APPRECIATION</v>
      </c>
      <c r="C51" s="11"/>
      <c r="D51" s="6">
        <v>134.26</v>
      </c>
      <c r="E51" s="2"/>
      <c r="F51" s="7">
        <f t="shared" si="32"/>
        <v>0</v>
      </c>
      <c r="G51" s="2"/>
      <c r="H51" s="6">
        <v>638.13</v>
      </c>
      <c r="I51" s="2"/>
      <c r="J51" s="7">
        <f t="shared" si="33"/>
        <v>0</v>
      </c>
      <c r="K51" s="2"/>
      <c r="L51" s="6">
        <f t="shared" si="34"/>
        <v>-503.87</v>
      </c>
      <c r="M51" s="2"/>
      <c r="N51" s="7">
        <f t="shared" si="35"/>
        <v>-0.78960399918511903</v>
      </c>
      <c r="O51" s="11"/>
      <c r="P51" s="6">
        <v>451.22</v>
      </c>
      <c r="Q51" s="2"/>
      <c r="R51" s="7">
        <f t="shared" si="36"/>
        <v>0</v>
      </c>
      <c r="S51" s="2"/>
      <c r="T51" s="6">
        <v>1267.01</v>
      </c>
      <c r="U51" s="2"/>
      <c r="V51" s="7">
        <f t="shared" si="37"/>
        <v>0</v>
      </c>
      <c r="W51" s="2"/>
      <c r="X51" s="6">
        <f t="shared" si="38"/>
        <v>-815.79</v>
      </c>
      <c r="Y51" s="2"/>
      <c r="Z51" s="7">
        <f t="shared" si="39"/>
        <v>-0.64387021412617107</v>
      </c>
    </row>
    <row r="52" spans="1:26" s="29" customFormat="1" outlineLevel="1" collapsed="1" x14ac:dyDescent="0.25">
      <c r="A52" s="27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SUM(OSRRefD22_9x_0)</f>
        <v>0</v>
      </c>
      <c r="E52" s="1"/>
      <c r="F52" s="5">
        <f t="shared" si="32"/>
        <v>0</v>
      </c>
      <c r="G52" s="1"/>
      <c r="H52" s="1">
        <f>SUM(OSRRefH22_9x_0)</f>
        <v>8.8000000000000007</v>
      </c>
      <c r="I52" s="1"/>
      <c r="J52" s="5">
        <f t="shared" si="33"/>
        <v>0</v>
      </c>
      <c r="K52" s="1"/>
      <c r="L52" s="1">
        <f t="shared" si="34"/>
        <v>-8.8000000000000007</v>
      </c>
      <c r="M52" s="1"/>
      <c r="N52" s="5">
        <f t="shared" si="35"/>
        <v>-1</v>
      </c>
      <c r="O52" s="14"/>
      <c r="P52" s="1">
        <f>SUM(OSRRefP22_9x_0)</f>
        <v>0</v>
      </c>
      <c r="Q52" s="1"/>
      <c r="R52" s="5">
        <f t="shared" si="36"/>
        <v>0</v>
      </c>
      <c r="S52" s="1"/>
      <c r="T52" s="1">
        <f>SUM(OSRRefT22_9x_0)</f>
        <v>14.36</v>
      </c>
      <c r="U52" s="1"/>
      <c r="V52" s="5">
        <f t="shared" si="37"/>
        <v>0</v>
      </c>
      <c r="W52" s="1"/>
      <c r="X52" s="1">
        <f t="shared" si="38"/>
        <v>-14.36</v>
      </c>
      <c r="Y52" s="1"/>
      <c r="Z52" s="5">
        <f t="shared" si="39"/>
        <v>-1</v>
      </c>
    </row>
    <row r="53" spans="1:26" s="24" customFormat="1" hidden="1" outlineLevel="2" x14ac:dyDescent="0.25">
      <c r="A53" s="28"/>
      <c r="B53" s="11" t="str">
        <f>CONCATENATE("          ", "6307", " - ", "POSTAGE")</f>
        <v xml:space="preserve">          6307 - POSTAGE</v>
      </c>
      <c r="C53" s="11"/>
      <c r="D53" s="6"/>
      <c r="E53" s="2"/>
      <c r="F53" s="7">
        <f t="shared" si="32"/>
        <v>0</v>
      </c>
      <c r="G53" s="2"/>
      <c r="H53" s="6">
        <v>8.8000000000000007</v>
      </c>
      <c r="I53" s="2"/>
      <c r="J53" s="7">
        <f t="shared" si="33"/>
        <v>0</v>
      </c>
      <c r="K53" s="2"/>
      <c r="L53" s="6">
        <f t="shared" si="34"/>
        <v>-8.8000000000000007</v>
      </c>
      <c r="M53" s="2"/>
      <c r="N53" s="7">
        <f t="shared" si="35"/>
        <v>-1</v>
      </c>
      <c r="O53" s="11"/>
      <c r="P53" s="6"/>
      <c r="Q53" s="2"/>
      <c r="R53" s="7">
        <f t="shared" si="36"/>
        <v>0</v>
      </c>
      <c r="S53" s="2"/>
      <c r="T53" s="6">
        <v>14.36</v>
      </c>
      <c r="U53" s="2"/>
      <c r="V53" s="7">
        <f t="shared" si="37"/>
        <v>0</v>
      </c>
      <c r="W53" s="2"/>
      <c r="X53" s="6">
        <f t="shared" si="38"/>
        <v>-14.36</v>
      </c>
      <c r="Y53" s="2"/>
      <c r="Z53" s="7">
        <f t="shared" si="39"/>
        <v>-1</v>
      </c>
    </row>
    <row r="54" spans="1:26" s="29" customFormat="1" outlineLevel="1" collapsed="1" x14ac:dyDescent="0.25">
      <c r="A54" s="27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SUM(OSRRefD22_10x_0)</f>
        <v>53.67</v>
      </c>
      <c r="E54" s="1"/>
      <c r="F54" s="5">
        <f t="shared" si="32"/>
        <v>0</v>
      </c>
      <c r="G54" s="1"/>
      <c r="H54" s="1">
        <f>SUM(OSRRefH22_10x_0)</f>
        <v>0</v>
      </c>
      <c r="I54" s="1"/>
      <c r="J54" s="5">
        <f t="shared" si="33"/>
        <v>0</v>
      </c>
      <c r="K54" s="1"/>
      <c r="L54" s="1">
        <f t="shared" si="34"/>
        <v>53.67</v>
      </c>
      <c r="M54" s="1"/>
      <c r="N54" s="5">
        <f t="shared" si="35"/>
        <v>0</v>
      </c>
      <c r="O54" s="14"/>
      <c r="P54" s="1">
        <f>SUM(OSRRefP22_10x_0)</f>
        <v>-14984.3</v>
      </c>
      <c r="Q54" s="1"/>
      <c r="R54" s="5">
        <f t="shared" si="36"/>
        <v>0</v>
      </c>
      <c r="S54" s="1"/>
      <c r="T54" s="1">
        <f>SUM(OSRRefT22_10x_0)</f>
        <v>-501.3</v>
      </c>
      <c r="U54" s="1"/>
      <c r="V54" s="5">
        <f t="shared" si="37"/>
        <v>0</v>
      </c>
      <c r="W54" s="1"/>
      <c r="X54" s="1">
        <f t="shared" si="38"/>
        <v>-14483</v>
      </c>
      <c r="Y54" s="1"/>
      <c r="Z54" s="5">
        <f t="shared" si="39"/>
        <v>28.890883702373827</v>
      </c>
    </row>
    <row r="55" spans="1:26" s="24" customFormat="1" hidden="1" outlineLevel="2" x14ac:dyDescent="0.25">
      <c r="A55" s="28"/>
      <c r="B55" s="11" t="str">
        <f>CONCATENATE("          ", "6279", " - ", "GENERAL EXPENSE")</f>
        <v xml:space="preserve">          6279 - GENERAL EXPENSE</v>
      </c>
      <c r="C55" s="11"/>
      <c r="D55" s="6">
        <v>53.67</v>
      </c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53.67</v>
      </c>
      <c r="M55" s="2"/>
      <c r="N55" s="7">
        <f t="shared" si="35"/>
        <v>0</v>
      </c>
      <c r="O55" s="11"/>
      <c r="P55" s="6">
        <v>-14984.3</v>
      </c>
      <c r="Q55" s="2"/>
      <c r="R55" s="7">
        <f t="shared" si="36"/>
        <v>0</v>
      </c>
      <c r="S55" s="2"/>
      <c r="T55" s="6">
        <v>-501.3</v>
      </c>
      <c r="U55" s="2"/>
      <c r="V55" s="7">
        <f t="shared" si="37"/>
        <v>0</v>
      </c>
      <c r="W55" s="2"/>
      <c r="X55" s="6">
        <f t="shared" si="38"/>
        <v>-14483</v>
      </c>
      <c r="Y55" s="2"/>
      <c r="Z55" s="7">
        <f t="shared" si="39"/>
        <v>28.890883702373827</v>
      </c>
    </row>
    <row r="56" spans="1:26" s="29" customFormat="1" outlineLevel="1" collapsed="1" x14ac:dyDescent="0.25">
      <c r="A56" s="27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SUM(OSRRefD22_11x_0)</f>
        <v>3883.56</v>
      </c>
      <c r="E56" s="1"/>
      <c r="F56" s="5">
        <f t="shared" si="32"/>
        <v>0</v>
      </c>
      <c r="G56" s="1"/>
      <c r="H56" s="1">
        <f>SUM(OSRRefH22_11x_0)</f>
        <v>3658.12</v>
      </c>
      <c r="I56" s="1"/>
      <c r="J56" s="5">
        <f t="shared" si="33"/>
        <v>0</v>
      </c>
      <c r="K56" s="1"/>
      <c r="L56" s="1">
        <f t="shared" si="34"/>
        <v>225.44000000000005</v>
      </c>
      <c r="M56" s="1"/>
      <c r="N56" s="5">
        <f t="shared" si="35"/>
        <v>6.1627283960066934E-2</v>
      </c>
      <c r="O56" s="14"/>
      <c r="P56" s="1">
        <f>SUM(OSRRefP22_11x_0)</f>
        <v>11650.68</v>
      </c>
      <c r="Q56" s="1"/>
      <c r="R56" s="5">
        <f t="shared" si="36"/>
        <v>0</v>
      </c>
      <c r="S56" s="1"/>
      <c r="T56" s="1">
        <f>SUM(OSRRefT22_11x_0)</f>
        <v>10974.36</v>
      </c>
      <c r="U56" s="1"/>
      <c r="V56" s="5">
        <f t="shared" si="37"/>
        <v>0</v>
      </c>
      <c r="W56" s="1"/>
      <c r="X56" s="1">
        <f t="shared" si="38"/>
        <v>676.31999999999971</v>
      </c>
      <c r="Y56" s="1"/>
      <c r="Z56" s="5">
        <f t="shared" si="39"/>
        <v>6.1627283960066892E-2</v>
      </c>
    </row>
    <row r="57" spans="1:26" s="24" customFormat="1" hidden="1" outlineLevel="2" x14ac:dyDescent="0.25">
      <c r="A57" s="28"/>
      <c r="B57" s="11" t="str">
        <f>CONCATENATE("          ", "6314", " - ", "LIABILITY INSURANCE")</f>
        <v xml:space="preserve">          6314 - LIABILITY INSURANCE</v>
      </c>
      <c r="C57" s="11"/>
      <c r="D57" s="6">
        <v>3883.56</v>
      </c>
      <c r="E57" s="2"/>
      <c r="F57" s="7">
        <f t="shared" si="32"/>
        <v>0</v>
      </c>
      <c r="G57" s="2"/>
      <c r="H57" s="6">
        <v>3658.12</v>
      </c>
      <c r="I57" s="2"/>
      <c r="J57" s="7">
        <f t="shared" si="33"/>
        <v>0</v>
      </c>
      <c r="K57" s="2"/>
      <c r="L57" s="6">
        <f t="shared" si="34"/>
        <v>225.44000000000005</v>
      </c>
      <c r="M57" s="2"/>
      <c r="N57" s="7">
        <f t="shared" si="35"/>
        <v>6.1627283960066934E-2</v>
      </c>
      <c r="O57" s="11"/>
      <c r="P57" s="6">
        <v>11650.68</v>
      </c>
      <c r="Q57" s="2"/>
      <c r="R57" s="7">
        <f t="shared" si="36"/>
        <v>0</v>
      </c>
      <c r="S57" s="2"/>
      <c r="T57" s="6">
        <v>10974.36</v>
      </c>
      <c r="U57" s="2"/>
      <c r="V57" s="7">
        <f t="shared" si="37"/>
        <v>0</v>
      </c>
      <c r="W57" s="2"/>
      <c r="X57" s="6">
        <f t="shared" si="38"/>
        <v>676.31999999999971</v>
      </c>
      <c r="Y57" s="2"/>
      <c r="Z57" s="7">
        <f t="shared" si="39"/>
        <v>6.1627283960066892E-2</v>
      </c>
    </row>
    <row r="58" spans="1:26" s="29" customFormat="1" outlineLevel="1" collapsed="1" x14ac:dyDescent="0.25">
      <c r="A58" s="27"/>
      <c r="B58" s="14" t="str">
        <f>CONCATENATE("     ","Professional Services                             ")</f>
        <v xml:space="preserve">     Professional Services                             </v>
      </c>
      <c r="C58" s="14"/>
      <c r="D58" s="1">
        <f>SUM(OSRRefD22_12x_0)</f>
        <v>0</v>
      </c>
      <c r="E58" s="1"/>
      <c r="F58" s="5">
        <f t="shared" si="32"/>
        <v>0</v>
      </c>
      <c r="G58" s="1"/>
      <c r="H58" s="1">
        <f>SUM(OSRRefH22_12x_0)</f>
        <v>0</v>
      </c>
      <c r="I58" s="1"/>
      <c r="J58" s="5">
        <f t="shared" si="33"/>
        <v>0</v>
      </c>
      <c r="K58" s="1"/>
      <c r="L58" s="1">
        <f t="shared" si="34"/>
        <v>0</v>
      </c>
      <c r="M58" s="1"/>
      <c r="N58" s="5">
        <f t="shared" si="35"/>
        <v>0</v>
      </c>
      <c r="O58" s="14"/>
      <c r="P58" s="1">
        <f>SUM(OSRRefP22_12x_0)</f>
        <v>4658.41</v>
      </c>
      <c r="Q58" s="1"/>
      <c r="R58" s="5">
        <f t="shared" si="36"/>
        <v>0</v>
      </c>
      <c r="S58" s="1"/>
      <c r="T58" s="1">
        <f>SUM(OSRRefT22_12x_0)</f>
        <v>6776.43</v>
      </c>
      <c r="U58" s="1"/>
      <c r="V58" s="5">
        <f t="shared" si="37"/>
        <v>0</v>
      </c>
      <c r="W58" s="1"/>
      <c r="X58" s="1">
        <f t="shared" si="38"/>
        <v>-2118.0200000000004</v>
      </c>
      <c r="Y58" s="1"/>
      <c r="Z58" s="5">
        <f t="shared" si="39"/>
        <v>-0.31255690680786202</v>
      </c>
    </row>
    <row r="59" spans="1:26" s="24" customFormat="1" hidden="1" outlineLevel="2" x14ac:dyDescent="0.25">
      <c r="A59" s="28"/>
      <c r="B59" s="11" t="str">
        <f>CONCATENATE("          ", "6336", " - ", "PROFESSIONAL SERVICES")</f>
        <v xml:space="preserve">          6336 - PROFESSIONAL SERVICES</v>
      </c>
      <c r="C59" s="11"/>
      <c r="D59" s="6"/>
      <c r="E59" s="2"/>
      <c r="F59" s="7">
        <f t="shared" si="32"/>
        <v>0</v>
      </c>
      <c r="G59" s="2"/>
      <c r="H59" s="6"/>
      <c r="I59" s="2"/>
      <c r="J59" s="7">
        <f t="shared" si="33"/>
        <v>0</v>
      </c>
      <c r="K59" s="2"/>
      <c r="L59" s="6">
        <f t="shared" si="34"/>
        <v>0</v>
      </c>
      <c r="M59" s="2"/>
      <c r="N59" s="7">
        <f t="shared" si="35"/>
        <v>0</v>
      </c>
      <c r="O59" s="11"/>
      <c r="P59" s="6">
        <v>4658.41</v>
      </c>
      <c r="Q59" s="2"/>
      <c r="R59" s="7">
        <f t="shared" si="36"/>
        <v>0</v>
      </c>
      <c r="S59" s="2"/>
      <c r="T59" s="6">
        <v>6776.43</v>
      </c>
      <c r="U59" s="2"/>
      <c r="V59" s="7">
        <f t="shared" si="37"/>
        <v>0</v>
      </c>
      <c r="W59" s="2"/>
      <c r="X59" s="6">
        <f t="shared" si="38"/>
        <v>-2118.0200000000004</v>
      </c>
      <c r="Y59" s="2"/>
      <c r="Z59" s="7">
        <f t="shared" si="39"/>
        <v>-0.31255690680786202</v>
      </c>
    </row>
    <row r="60" spans="1:26" s="29" customFormat="1" outlineLevel="1" collapsed="1" x14ac:dyDescent="0.25">
      <c r="A60" s="27"/>
      <c r="B60" s="14" t="str">
        <f>CONCATENATE("     ","Rent                                              ")</f>
        <v xml:space="preserve">     Rent                                              </v>
      </c>
      <c r="C60" s="14"/>
      <c r="D60" s="1">
        <f>SUM(OSRRefD22_13x_0)</f>
        <v>-800</v>
      </c>
      <c r="E60" s="1"/>
      <c r="F60" s="5">
        <f t="shared" si="32"/>
        <v>0</v>
      </c>
      <c r="G60" s="1"/>
      <c r="H60" s="1">
        <f>SUM(OSRRefH22_13x_0)</f>
        <v>-800</v>
      </c>
      <c r="I60" s="1"/>
      <c r="J60" s="5">
        <f t="shared" si="33"/>
        <v>0</v>
      </c>
      <c r="K60" s="1"/>
      <c r="L60" s="1">
        <f t="shared" si="34"/>
        <v>0</v>
      </c>
      <c r="M60" s="1"/>
      <c r="N60" s="5">
        <f t="shared" si="35"/>
        <v>0</v>
      </c>
      <c r="O60" s="14"/>
      <c r="P60" s="1">
        <f>SUM(OSRRefP22_13x_0)</f>
        <v>-2400</v>
      </c>
      <c r="Q60" s="1"/>
      <c r="R60" s="5">
        <f t="shared" si="36"/>
        <v>0</v>
      </c>
      <c r="S60" s="1"/>
      <c r="T60" s="1">
        <f>SUM(OSRRefT22_13x_0)</f>
        <v>-1498.92</v>
      </c>
      <c r="U60" s="1"/>
      <c r="V60" s="5">
        <f t="shared" si="37"/>
        <v>0</v>
      </c>
      <c r="W60" s="1"/>
      <c r="X60" s="1">
        <f t="shared" si="38"/>
        <v>-901.07999999999993</v>
      </c>
      <c r="Y60" s="1"/>
      <c r="Z60" s="5">
        <f t="shared" si="39"/>
        <v>0.60115283003762698</v>
      </c>
    </row>
    <row r="61" spans="1:26" s="24" customFormat="1" hidden="1" outlineLevel="2" x14ac:dyDescent="0.25">
      <c r="A61" s="28"/>
      <c r="B61" s="11" t="str">
        <f>CONCATENATE("          ", "6273", " - ", "RENT")</f>
        <v xml:space="preserve">          6273 - RENT</v>
      </c>
      <c r="C61" s="11"/>
      <c r="D61" s="6">
        <v>-800</v>
      </c>
      <c r="E61" s="2"/>
      <c r="F61" s="7">
        <f t="shared" si="32"/>
        <v>0</v>
      </c>
      <c r="G61" s="2"/>
      <c r="H61" s="6">
        <v>-800</v>
      </c>
      <c r="I61" s="2"/>
      <c r="J61" s="7">
        <f t="shared" si="33"/>
        <v>0</v>
      </c>
      <c r="K61" s="2"/>
      <c r="L61" s="6">
        <f t="shared" si="34"/>
        <v>0</v>
      </c>
      <c r="M61" s="2"/>
      <c r="N61" s="7">
        <f t="shared" si="35"/>
        <v>0</v>
      </c>
      <c r="O61" s="11"/>
      <c r="P61" s="6">
        <v>-2400</v>
      </c>
      <c r="Q61" s="2"/>
      <c r="R61" s="7">
        <f t="shared" si="36"/>
        <v>0</v>
      </c>
      <c r="S61" s="2"/>
      <c r="T61" s="6">
        <v>-1498.92</v>
      </c>
      <c r="U61" s="2"/>
      <c r="V61" s="7">
        <f t="shared" si="37"/>
        <v>0</v>
      </c>
      <c r="W61" s="2"/>
      <c r="X61" s="6">
        <f t="shared" si="38"/>
        <v>-901.07999999999993</v>
      </c>
      <c r="Y61" s="2"/>
      <c r="Z61" s="7">
        <f t="shared" si="39"/>
        <v>0.60115283003762698</v>
      </c>
    </row>
    <row r="62" spans="1:26" s="29" customFormat="1" outlineLevel="1" collapsed="1" x14ac:dyDescent="0.25">
      <c r="A62" s="27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SUM(OSRRefD22_14x_0)</f>
        <v>3994.06</v>
      </c>
      <c r="E62" s="1"/>
      <c r="F62" s="5">
        <f t="shared" si="32"/>
        <v>0</v>
      </c>
      <c r="G62" s="1"/>
      <c r="H62" s="1">
        <f>SUM(OSRRefH22_14x_0)</f>
        <v>3810.42</v>
      </c>
      <c r="I62" s="1"/>
      <c r="J62" s="5">
        <f t="shared" si="33"/>
        <v>0</v>
      </c>
      <c r="K62" s="1"/>
      <c r="L62" s="1">
        <f t="shared" si="34"/>
        <v>183.63999999999987</v>
      </c>
      <c r="M62" s="1"/>
      <c r="N62" s="5">
        <f t="shared" si="35"/>
        <v>4.8194162323313409E-2</v>
      </c>
      <c r="O62" s="14"/>
      <c r="P62" s="1">
        <f>SUM(OSRRefP22_14x_0)</f>
        <v>29812.42</v>
      </c>
      <c r="Q62" s="1"/>
      <c r="R62" s="5">
        <f t="shared" si="36"/>
        <v>0</v>
      </c>
      <c r="S62" s="1"/>
      <c r="T62" s="1">
        <f>SUM(OSRRefT22_14x_0)</f>
        <v>60607.08</v>
      </c>
      <c r="U62" s="1"/>
      <c r="V62" s="5">
        <f t="shared" si="37"/>
        <v>0</v>
      </c>
      <c r="W62" s="1"/>
      <c r="X62" s="1">
        <f t="shared" si="38"/>
        <v>-30794.660000000003</v>
      </c>
      <c r="Y62" s="1"/>
      <c r="Z62" s="5">
        <f t="shared" si="39"/>
        <v>-0.50810334370175902</v>
      </c>
    </row>
    <row r="63" spans="1:26" s="24" customFormat="1" hidden="1" outlineLevel="2" x14ac:dyDescent="0.25">
      <c r="A63" s="28"/>
      <c r="B63" s="11" t="str">
        <f>CONCATENATE("          ", "6371", " - ", "COMPUTER SOFTWARE MAINTENANCE")</f>
        <v xml:space="preserve">          6371 - COMPUTER SOFTWARE MAINTENANCE</v>
      </c>
      <c r="C63" s="11"/>
      <c r="D63" s="6">
        <v>3662.15</v>
      </c>
      <c r="E63" s="2"/>
      <c r="F63" s="7">
        <f t="shared" si="32"/>
        <v>0</v>
      </c>
      <c r="G63" s="2"/>
      <c r="H63" s="6">
        <v>622.75</v>
      </c>
      <c r="I63" s="2"/>
      <c r="J63" s="7">
        <f t="shared" si="33"/>
        <v>0</v>
      </c>
      <c r="K63" s="2"/>
      <c r="L63" s="6">
        <f t="shared" si="34"/>
        <v>3039.4</v>
      </c>
      <c r="M63" s="2"/>
      <c r="N63" s="7">
        <f t="shared" si="35"/>
        <v>4.8806101967081492</v>
      </c>
      <c r="O63" s="11"/>
      <c r="P63" s="6">
        <v>12150.4</v>
      </c>
      <c r="Q63" s="2"/>
      <c r="R63" s="7">
        <f t="shared" si="36"/>
        <v>0</v>
      </c>
      <c r="S63" s="2"/>
      <c r="T63" s="6">
        <v>44599.55</v>
      </c>
      <c r="U63" s="2"/>
      <c r="V63" s="7">
        <f t="shared" si="37"/>
        <v>0</v>
      </c>
      <c r="W63" s="2"/>
      <c r="X63" s="6">
        <f t="shared" si="38"/>
        <v>-32449.15</v>
      </c>
      <c r="Y63" s="2"/>
      <c r="Z63" s="7">
        <f t="shared" si="39"/>
        <v>-0.72756675796056236</v>
      </c>
    </row>
    <row r="64" spans="1:26" s="24" customFormat="1" hidden="1" outlineLevel="2" x14ac:dyDescent="0.25">
      <c r="A64" s="28"/>
      <c r="B64" s="11" t="str">
        <f>CONCATENATE("          ", "6373", " - ", "MAINTENANCE CONTRACTS")</f>
        <v xml:space="preserve">          6373 - MAINTENANCE CONTRACTS</v>
      </c>
      <c r="C64" s="11"/>
      <c r="D64" s="6"/>
      <c r="E64" s="2"/>
      <c r="F64" s="7">
        <f t="shared" si="32"/>
        <v>0</v>
      </c>
      <c r="G64" s="2"/>
      <c r="H64" s="6">
        <v>1949.21</v>
      </c>
      <c r="I64" s="2"/>
      <c r="J64" s="7">
        <f t="shared" si="33"/>
        <v>0</v>
      </c>
      <c r="K64" s="2"/>
      <c r="L64" s="6">
        <f t="shared" si="34"/>
        <v>-1949.21</v>
      </c>
      <c r="M64" s="2"/>
      <c r="N64" s="7">
        <f t="shared" si="35"/>
        <v>-1</v>
      </c>
      <c r="O64" s="11"/>
      <c r="P64" s="6">
        <v>516</v>
      </c>
      <c r="Q64" s="2"/>
      <c r="R64" s="7">
        <f t="shared" si="36"/>
        <v>0</v>
      </c>
      <c r="S64" s="2"/>
      <c r="T64" s="6">
        <v>5006.3500000000004</v>
      </c>
      <c r="U64" s="2"/>
      <c r="V64" s="7">
        <f t="shared" si="37"/>
        <v>0</v>
      </c>
      <c r="W64" s="2"/>
      <c r="X64" s="6">
        <f t="shared" si="38"/>
        <v>-4490.3500000000004</v>
      </c>
      <c r="Y64" s="2"/>
      <c r="Z64" s="7">
        <f t="shared" si="39"/>
        <v>-0.89693089775984502</v>
      </c>
    </row>
    <row r="65" spans="1:26" s="24" customFormat="1" hidden="1" outlineLevel="2" x14ac:dyDescent="0.25">
      <c r="A65" s="28"/>
      <c r="B65" s="11" t="str">
        <f>CONCATENATE("          ", "6375", " - ", "OUTSIDE REPAIRS &amp; MAINTENANCE")</f>
        <v xml:space="preserve">          6375 - OUTSIDE REPAIRS &amp; MAINTENANCE</v>
      </c>
      <c r="C65" s="11"/>
      <c r="D65" s="6">
        <v>331.91</v>
      </c>
      <c r="E65" s="2"/>
      <c r="F65" s="7">
        <f t="shared" si="32"/>
        <v>0</v>
      </c>
      <c r="G65" s="2"/>
      <c r="H65" s="6">
        <v>1238.46</v>
      </c>
      <c r="I65" s="2"/>
      <c r="J65" s="7">
        <f t="shared" si="33"/>
        <v>0</v>
      </c>
      <c r="K65" s="2"/>
      <c r="L65" s="6">
        <f t="shared" si="34"/>
        <v>-906.55</v>
      </c>
      <c r="M65" s="2"/>
      <c r="N65" s="7">
        <f t="shared" si="35"/>
        <v>-0.73199780372397971</v>
      </c>
      <c r="O65" s="11"/>
      <c r="P65" s="6">
        <v>17146.02</v>
      </c>
      <c r="Q65" s="2"/>
      <c r="R65" s="7">
        <f t="shared" si="36"/>
        <v>0</v>
      </c>
      <c r="S65" s="2"/>
      <c r="T65" s="6">
        <v>11001.18</v>
      </c>
      <c r="U65" s="2"/>
      <c r="V65" s="7">
        <f t="shared" si="37"/>
        <v>0</v>
      </c>
      <c r="W65" s="2"/>
      <c r="X65" s="6">
        <f t="shared" si="38"/>
        <v>6144.84</v>
      </c>
      <c r="Y65" s="2"/>
      <c r="Z65" s="7">
        <f t="shared" si="39"/>
        <v>0.55856189972348425</v>
      </c>
    </row>
    <row r="66" spans="1:26" s="29" customFormat="1" outlineLevel="1" collapsed="1" x14ac:dyDescent="0.25">
      <c r="A66" s="27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SUM(OSRRefD22_15x_0)</f>
        <v>3447.04</v>
      </c>
      <c r="E66" s="1"/>
      <c r="F66" s="5">
        <f t="shared" ref="F66:F69" si="40">IF(D$12=0,0,D66/D$12)</f>
        <v>0</v>
      </c>
      <c r="G66" s="1"/>
      <c r="H66" s="1">
        <f>SUM(OSRRefH22_15x_0)</f>
        <v>3872.74</v>
      </c>
      <c r="I66" s="1"/>
      <c r="J66" s="5">
        <f t="shared" ref="J66:J69" si="41">IF(H$12=0,0,H66/H$12)</f>
        <v>0</v>
      </c>
      <c r="K66" s="1"/>
      <c r="L66" s="1">
        <f t="shared" ref="L66:L69" si="42">+D66-H66</f>
        <v>-425.69999999999982</v>
      </c>
      <c r="M66" s="1"/>
      <c r="N66" s="5">
        <f t="shared" ref="N66:N69" si="43">IF(H66=0,0,L66/H66)</f>
        <v>-0.10992217396468645</v>
      </c>
      <c r="O66" s="14"/>
      <c r="P66" s="1">
        <f>SUM(OSRRefP22_15x_0)</f>
        <v>11807.12</v>
      </c>
      <c r="Q66" s="1"/>
      <c r="R66" s="5">
        <f t="shared" ref="R66:R69" si="44">IF(P$12=0,0,P66/P$12)</f>
        <v>0</v>
      </c>
      <c r="S66" s="1"/>
      <c r="T66" s="1">
        <f>SUM(OSRRefT22_15x_0)</f>
        <v>11793.1</v>
      </c>
      <c r="U66" s="1"/>
      <c r="V66" s="5">
        <f t="shared" ref="V66:V69" si="45">IF(T$12=0,0,T66/T$12)</f>
        <v>0</v>
      </c>
      <c r="W66" s="1"/>
      <c r="X66" s="1">
        <f t="shared" ref="X66:X69" si="46">+P66-T66</f>
        <v>14.020000000000437</v>
      </c>
      <c r="Y66" s="1"/>
      <c r="Z66" s="5">
        <f t="shared" ref="Z66:Z69" si="47">IF(T66=0,0,X66/T66)</f>
        <v>1.1888307569680946E-3</v>
      </c>
    </row>
    <row r="67" spans="1:26" s="24" customFormat="1" hidden="1" outlineLevel="2" x14ac:dyDescent="0.25">
      <c r="A67" s="28"/>
      <c r="B67" s="11" t="str">
        <f>CONCATENATE("          ", "6282", " - ", "JANITORIAL/EXTERMINATOR EXPENS")</f>
        <v xml:space="preserve">          6282 - JANITORIAL/EXTERMINATOR EXPENS</v>
      </c>
      <c r="C67" s="11"/>
      <c r="D67" s="6">
        <v>222.5</v>
      </c>
      <c r="E67" s="2"/>
      <c r="F67" s="7">
        <f t="shared" si="40"/>
        <v>0</v>
      </c>
      <c r="G67" s="2"/>
      <c r="H67" s="6">
        <v>194.5</v>
      </c>
      <c r="I67" s="2"/>
      <c r="J67" s="7">
        <f t="shared" si="41"/>
        <v>0</v>
      </c>
      <c r="K67" s="2"/>
      <c r="L67" s="6">
        <f t="shared" si="42"/>
        <v>28</v>
      </c>
      <c r="M67" s="2"/>
      <c r="N67" s="7">
        <f t="shared" si="43"/>
        <v>0.14395886889460155</v>
      </c>
      <c r="O67" s="11"/>
      <c r="P67" s="6">
        <v>667.5</v>
      </c>
      <c r="Q67" s="2"/>
      <c r="R67" s="7">
        <f t="shared" si="44"/>
        <v>0</v>
      </c>
      <c r="S67" s="2"/>
      <c r="T67" s="6">
        <v>583.5</v>
      </c>
      <c r="U67" s="2"/>
      <c r="V67" s="7">
        <f t="shared" si="45"/>
        <v>0</v>
      </c>
      <c r="W67" s="2"/>
      <c r="X67" s="6">
        <f t="shared" si="46"/>
        <v>84</v>
      </c>
      <c r="Y67" s="2"/>
      <c r="Z67" s="7">
        <f t="shared" si="47"/>
        <v>0.14395886889460155</v>
      </c>
    </row>
    <row r="68" spans="1:26" s="24" customFormat="1" hidden="1" outlineLevel="2" x14ac:dyDescent="0.25">
      <c r="A68" s="28"/>
      <c r="B68" s="11" t="str">
        <f>CONCATENATE("          ", "6283", " - ", "PLANT SERVICE")</f>
        <v xml:space="preserve">          6283 - PLANT SERVICE</v>
      </c>
      <c r="C68" s="11"/>
      <c r="D68" s="6">
        <v>121.11</v>
      </c>
      <c r="E68" s="2"/>
      <c r="F68" s="7">
        <f t="shared" si="40"/>
        <v>0</v>
      </c>
      <c r="G68" s="2"/>
      <c r="H68" s="6">
        <v>117</v>
      </c>
      <c r="I68" s="2"/>
      <c r="J68" s="7">
        <f t="shared" si="41"/>
        <v>0</v>
      </c>
      <c r="K68" s="2"/>
      <c r="L68" s="6">
        <f t="shared" si="42"/>
        <v>4.1099999999999994</v>
      </c>
      <c r="M68" s="2"/>
      <c r="N68" s="7">
        <f t="shared" si="43"/>
        <v>3.5128205128205123E-2</v>
      </c>
      <c r="O68" s="11"/>
      <c r="P68" s="6">
        <v>363.33</v>
      </c>
      <c r="Q68" s="2"/>
      <c r="R68" s="7">
        <f t="shared" si="44"/>
        <v>0</v>
      </c>
      <c r="S68" s="2"/>
      <c r="T68" s="6">
        <v>351</v>
      </c>
      <c r="U68" s="2"/>
      <c r="V68" s="7">
        <f t="shared" si="45"/>
        <v>0</v>
      </c>
      <c r="W68" s="2"/>
      <c r="X68" s="6">
        <f t="shared" si="46"/>
        <v>12.329999999999984</v>
      </c>
      <c r="Y68" s="2"/>
      <c r="Z68" s="7">
        <f t="shared" si="47"/>
        <v>3.5128205128205081E-2</v>
      </c>
    </row>
    <row r="69" spans="1:26" s="24" customFormat="1" hidden="1" outlineLevel="2" x14ac:dyDescent="0.25">
      <c r="A69" s="28"/>
      <c r="B69" s="11" t="str">
        <f>CONCATENATE("          ", "6285", " - ", "JANITORIAL SERVICES")</f>
        <v xml:space="preserve">          6285 - JANITORIAL SERVICES</v>
      </c>
      <c r="C69" s="11"/>
      <c r="D69" s="6">
        <v>3103.43</v>
      </c>
      <c r="E69" s="2"/>
      <c r="F69" s="7">
        <f t="shared" si="40"/>
        <v>0</v>
      </c>
      <c r="G69" s="2"/>
      <c r="H69" s="6">
        <v>3561.24</v>
      </c>
      <c r="I69" s="2"/>
      <c r="J69" s="7">
        <f t="shared" si="41"/>
        <v>0</v>
      </c>
      <c r="K69" s="2"/>
      <c r="L69" s="6">
        <f t="shared" si="42"/>
        <v>-457.80999999999995</v>
      </c>
      <c r="M69" s="2"/>
      <c r="N69" s="7">
        <f t="shared" si="43"/>
        <v>-0.1285535375318709</v>
      </c>
      <c r="O69" s="11"/>
      <c r="P69" s="6">
        <v>10776.29</v>
      </c>
      <c r="Q69" s="2"/>
      <c r="R69" s="7">
        <f t="shared" si="44"/>
        <v>0</v>
      </c>
      <c r="S69" s="2"/>
      <c r="T69" s="6">
        <v>10858.6</v>
      </c>
      <c r="U69" s="2"/>
      <c r="V69" s="7">
        <f t="shared" si="45"/>
        <v>0</v>
      </c>
      <c r="W69" s="2"/>
      <c r="X69" s="6">
        <f t="shared" si="46"/>
        <v>-82.309999999999491</v>
      </c>
      <c r="Y69" s="2"/>
      <c r="Z69" s="7">
        <f t="shared" si="47"/>
        <v>-7.5801668723407701E-3</v>
      </c>
    </row>
    <row r="70" spans="1:26" s="29" customFormat="1" outlineLevel="1" collapsed="1" x14ac:dyDescent="0.25">
      <c r="A70" s="27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SUM(OSRRefD22_16x_0)</f>
        <v>159.97999999999999</v>
      </c>
      <c r="E70" s="1"/>
      <c r="F70" s="5">
        <f t="shared" ref="F70:F77" si="48">IF(D$12=0,0,D70/D$12)</f>
        <v>0</v>
      </c>
      <c r="G70" s="1"/>
      <c r="H70" s="1">
        <f>SUM(OSRRefH22_16x_0)</f>
        <v>144.97999999999999</v>
      </c>
      <c r="I70" s="1"/>
      <c r="J70" s="5">
        <f t="shared" ref="J70:J77" si="49">IF(H$12=0,0,H70/H$12)</f>
        <v>0</v>
      </c>
      <c r="K70" s="1"/>
      <c r="L70" s="1">
        <f t="shared" ref="L70:L77" si="50">+D70-H70</f>
        <v>15</v>
      </c>
      <c r="M70" s="1"/>
      <c r="N70" s="5">
        <f t="shared" ref="N70:N77" si="51">IF(H70=0,0,L70/H70)</f>
        <v>0.10346254655814596</v>
      </c>
      <c r="O70" s="14"/>
      <c r="P70" s="1">
        <f>SUM(OSRRefP22_16x_0)</f>
        <v>479.94</v>
      </c>
      <c r="Q70" s="1"/>
      <c r="R70" s="5">
        <f t="shared" ref="R70:R77" si="52">IF(P$12=0,0,P70/P$12)</f>
        <v>0</v>
      </c>
      <c r="S70" s="1"/>
      <c r="T70" s="1">
        <f>SUM(OSRRefT22_16x_0)</f>
        <v>439.19</v>
      </c>
      <c r="U70" s="1"/>
      <c r="V70" s="5">
        <f t="shared" ref="V70:V77" si="53">IF(T$12=0,0,T70/T$12)</f>
        <v>0</v>
      </c>
      <c r="W70" s="1"/>
      <c r="X70" s="1">
        <f t="shared" ref="X70:X77" si="54">+P70-T70</f>
        <v>40.75</v>
      </c>
      <c r="Y70" s="1"/>
      <c r="Z70" s="5">
        <f t="shared" ref="Z70:Z77" si="55">IF(T70=0,0,X70/T70)</f>
        <v>9.2784444090257059E-2</v>
      </c>
    </row>
    <row r="71" spans="1:26" s="24" customFormat="1" hidden="1" outlineLevel="2" x14ac:dyDescent="0.25">
      <c r="A71" s="28"/>
      <c r="B71" s="11" t="str">
        <f>CONCATENATE("          ", "6275", " - ", "SUBSCRIPTIONS")</f>
        <v xml:space="preserve">          6275 - SUBSCRIPTIONS</v>
      </c>
      <c r="C71" s="11"/>
      <c r="D71" s="6">
        <v>159.97999999999999</v>
      </c>
      <c r="E71" s="2"/>
      <c r="F71" s="7">
        <f t="shared" si="48"/>
        <v>0</v>
      </c>
      <c r="G71" s="2"/>
      <c r="H71" s="6">
        <v>144.97999999999999</v>
      </c>
      <c r="I71" s="2"/>
      <c r="J71" s="7">
        <f t="shared" si="49"/>
        <v>0</v>
      </c>
      <c r="K71" s="2"/>
      <c r="L71" s="6">
        <f t="shared" si="50"/>
        <v>15</v>
      </c>
      <c r="M71" s="2"/>
      <c r="N71" s="7">
        <f t="shared" si="51"/>
        <v>0.10346254655814596</v>
      </c>
      <c r="O71" s="11"/>
      <c r="P71" s="6">
        <v>479.94</v>
      </c>
      <c r="Q71" s="2"/>
      <c r="R71" s="7">
        <f t="shared" si="52"/>
        <v>0</v>
      </c>
      <c r="S71" s="2"/>
      <c r="T71" s="6">
        <v>439.19</v>
      </c>
      <c r="U71" s="2"/>
      <c r="V71" s="7">
        <f t="shared" si="53"/>
        <v>0</v>
      </c>
      <c r="W71" s="2"/>
      <c r="X71" s="6">
        <f t="shared" si="54"/>
        <v>40.75</v>
      </c>
      <c r="Y71" s="2"/>
      <c r="Z71" s="7">
        <f t="shared" si="55"/>
        <v>9.2784444090257059E-2</v>
      </c>
    </row>
    <row r="72" spans="1:26" s="29" customFormat="1" outlineLevel="1" collapsed="1" x14ac:dyDescent="0.25">
      <c r="A72" s="27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SUM(OSRRefD22_17x_0)</f>
        <v>10909.33</v>
      </c>
      <c r="E72" s="1"/>
      <c r="F72" s="5">
        <f t="shared" si="48"/>
        <v>0</v>
      </c>
      <c r="G72" s="1"/>
      <c r="H72" s="1">
        <f>SUM(OSRRefH22_17x_0)</f>
        <v>904.13000000000011</v>
      </c>
      <c r="I72" s="1"/>
      <c r="J72" s="5">
        <f t="shared" si="49"/>
        <v>0</v>
      </c>
      <c r="K72" s="1"/>
      <c r="L72" s="1">
        <f t="shared" si="50"/>
        <v>10005.200000000001</v>
      </c>
      <c r="M72" s="1"/>
      <c r="N72" s="5">
        <f t="shared" si="51"/>
        <v>11.066107749991705</v>
      </c>
      <c r="O72" s="14"/>
      <c r="P72" s="1">
        <f>SUM(OSRRefP22_17x_0)</f>
        <v>6661.48</v>
      </c>
      <c r="Q72" s="1"/>
      <c r="R72" s="5">
        <f t="shared" si="52"/>
        <v>0</v>
      </c>
      <c r="S72" s="1"/>
      <c r="T72" s="1">
        <f>SUM(OSRRefT22_17x_0)</f>
        <v>19024.260000000002</v>
      </c>
      <c r="U72" s="1"/>
      <c r="V72" s="5">
        <f t="shared" si="53"/>
        <v>0</v>
      </c>
      <c r="W72" s="1"/>
      <c r="X72" s="1">
        <f t="shared" si="54"/>
        <v>-12362.780000000002</v>
      </c>
      <c r="Y72" s="1"/>
      <c r="Z72" s="5">
        <f t="shared" si="55"/>
        <v>-0.6498428848218013</v>
      </c>
    </row>
    <row r="73" spans="1:26" s="24" customFormat="1" hidden="1" outlineLevel="2" x14ac:dyDescent="0.25">
      <c r="A73" s="28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0</v>
      </c>
      <c r="M73" s="2"/>
      <c r="N73" s="7">
        <f t="shared" si="51"/>
        <v>0</v>
      </c>
      <c r="O73" s="11"/>
      <c r="P73" s="6">
        <v>714.78</v>
      </c>
      <c r="Q73" s="2"/>
      <c r="R73" s="7">
        <f t="shared" si="52"/>
        <v>0</v>
      </c>
      <c r="S73" s="2"/>
      <c r="T73" s="6">
        <v>357.21</v>
      </c>
      <c r="U73" s="2"/>
      <c r="V73" s="7">
        <f t="shared" si="53"/>
        <v>0</v>
      </c>
      <c r="W73" s="2"/>
      <c r="X73" s="6">
        <f t="shared" si="54"/>
        <v>357.57</v>
      </c>
      <c r="Y73" s="2"/>
      <c r="Z73" s="7">
        <f t="shared" si="55"/>
        <v>1.00100781053162</v>
      </c>
    </row>
    <row r="74" spans="1:26" s="24" customFormat="1" hidden="1" outlineLevel="2" x14ac:dyDescent="0.25">
      <c r="A74" s="28"/>
      <c r="B74" s="11" t="str">
        <f>CONCATENATE("          ", "6237", " - ", "JANITORIAL SUPPLIES")</f>
        <v xml:space="preserve">          6237 - JANITORIAL SUPPLIES</v>
      </c>
      <c r="C74" s="11"/>
      <c r="D74" s="6">
        <v>883.55</v>
      </c>
      <c r="E74" s="2"/>
      <c r="F74" s="7">
        <f t="shared" si="48"/>
        <v>0</v>
      </c>
      <c r="G74" s="2"/>
      <c r="H74" s="6">
        <v>124.76</v>
      </c>
      <c r="I74" s="2"/>
      <c r="J74" s="7">
        <f t="shared" si="49"/>
        <v>0</v>
      </c>
      <c r="K74" s="2"/>
      <c r="L74" s="6">
        <f t="shared" si="50"/>
        <v>758.79</v>
      </c>
      <c r="M74" s="2"/>
      <c r="N74" s="7">
        <f t="shared" si="51"/>
        <v>6.0819974350753441</v>
      </c>
      <c r="O74" s="11"/>
      <c r="P74" s="6">
        <v>1658.95</v>
      </c>
      <c r="Q74" s="2"/>
      <c r="R74" s="7">
        <f t="shared" si="52"/>
        <v>0</v>
      </c>
      <c r="S74" s="2"/>
      <c r="T74" s="6">
        <v>1139.04</v>
      </c>
      <c r="U74" s="2"/>
      <c r="V74" s="7">
        <f t="shared" si="53"/>
        <v>0</v>
      </c>
      <c r="W74" s="2"/>
      <c r="X74" s="6">
        <f t="shared" si="54"/>
        <v>519.91000000000008</v>
      </c>
      <c r="Y74" s="2"/>
      <c r="Z74" s="7">
        <f t="shared" si="55"/>
        <v>0.45644577890153121</v>
      </c>
    </row>
    <row r="75" spans="1:26" s="24" customFormat="1" hidden="1" outlineLevel="2" x14ac:dyDescent="0.25">
      <c r="A75" s="28"/>
      <c r="B75" s="11" t="str">
        <f>CONCATENATE("          ", "6241", " - ", "OFFICE EXPENSE")</f>
        <v xml:space="preserve">          6241 - OFFICE EXPENSE</v>
      </c>
      <c r="C75" s="11"/>
      <c r="D75" s="6">
        <v>1658.61</v>
      </c>
      <c r="E75" s="2"/>
      <c r="F75" s="7">
        <f t="shared" si="48"/>
        <v>0</v>
      </c>
      <c r="G75" s="2"/>
      <c r="H75" s="6">
        <v>148.91</v>
      </c>
      <c r="I75" s="2"/>
      <c r="J75" s="7">
        <f t="shared" si="49"/>
        <v>0</v>
      </c>
      <c r="K75" s="2"/>
      <c r="L75" s="6">
        <f t="shared" si="50"/>
        <v>1509.6999999999998</v>
      </c>
      <c r="M75" s="2"/>
      <c r="N75" s="7">
        <f t="shared" si="51"/>
        <v>10.138338593781478</v>
      </c>
      <c r="O75" s="11"/>
      <c r="P75" s="6">
        <v>4250.9399999999996</v>
      </c>
      <c r="Q75" s="2"/>
      <c r="R75" s="7">
        <f t="shared" si="52"/>
        <v>0</v>
      </c>
      <c r="S75" s="2"/>
      <c r="T75" s="6">
        <v>4112.3500000000004</v>
      </c>
      <c r="U75" s="2"/>
      <c r="V75" s="7">
        <f t="shared" si="53"/>
        <v>0</v>
      </c>
      <c r="W75" s="2"/>
      <c r="X75" s="6">
        <f t="shared" si="54"/>
        <v>138.58999999999924</v>
      </c>
      <c r="Y75" s="2"/>
      <c r="Z75" s="7">
        <f t="shared" si="55"/>
        <v>3.3700925261711485E-2</v>
      </c>
    </row>
    <row r="76" spans="1:26" s="24" customFormat="1" hidden="1" outlineLevel="2" x14ac:dyDescent="0.25">
      <c r="A76" s="28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48"/>
        <v>0</v>
      </c>
      <c r="G76" s="2"/>
      <c r="H76" s="6">
        <v>92.39</v>
      </c>
      <c r="I76" s="2"/>
      <c r="J76" s="7">
        <f t="shared" si="49"/>
        <v>0</v>
      </c>
      <c r="K76" s="2"/>
      <c r="L76" s="6">
        <f t="shared" si="50"/>
        <v>-92.39</v>
      </c>
      <c r="M76" s="2"/>
      <c r="N76" s="7">
        <f t="shared" si="51"/>
        <v>-1</v>
      </c>
      <c r="O76" s="11"/>
      <c r="P76" s="6">
        <v>19.73</v>
      </c>
      <c r="Q76" s="2"/>
      <c r="R76" s="7">
        <f t="shared" si="52"/>
        <v>0</v>
      </c>
      <c r="S76" s="2"/>
      <c r="T76" s="6">
        <v>369.98</v>
      </c>
      <c r="U76" s="2"/>
      <c r="V76" s="7">
        <f t="shared" si="53"/>
        <v>0</v>
      </c>
      <c r="W76" s="2"/>
      <c r="X76" s="6">
        <f t="shared" si="54"/>
        <v>-350.25</v>
      </c>
      <c r="Y76" s="2"/>
      <c r="Z76" s="7">
        <f t="shared" si="55"/>
        <v>-0.94667279312395258</v>
      </c>
    </row>
    <row r="77" spans="1:26" s="24" customFormat="1" hidden="1" outlineLevel="2" x14ac:dyDescent="0.25">
      <c r="A77" s="28"/>
      <c r="B77" s="11" t="str">
        <f>CONCATENATE("          ", "6247", " - ", "STORE SUPPLIES")</f>
        <v xml:space="preserve">          6247 - STORE SUPPLIES</v>
      </c>
      <c r="C77" s="11"/>
      <c r="D77" s="6">
        <v>8367.17</v>
      </c>
      <c r="E77" s="2"/>
      <c r="F77" s="7">
        <f t="shared" si="48"/>
        <v>0</v>
      </c>
      <c r="G77" s="2"/>
      <c r="H77" s="6">
        <v>538.07000000000005</v>
      </c>
      <c r="I77" s="2"/>
      <c r="J77" s="7">
        <f t="shared" si="49"/>
        <v>0</v>
      </c>
      <c r="K77" s="2"/>
      <c r="L77" s="6">
        <f t="shared" si="50"/>
        <v>7829.1</v>
      </c>
      <c r="M77" s="2"/>
      <c r="N77" s="7">
        <f t="shared" si="51"/>
        <v>14.550337316706004</v>
      </c>
      <c r="O77" s="11"/>
      <c r="P77" s="6">
        <v>17.079999999999998</v>
      </c>
      <c r="Q77" s="2"/>
      <c r="R77" s="7">
        <f t="shared" si="52"/>
        <v>0</v>
      </c>
      <c r="S77" s="2"/>
      <c r="T77" s="6">
        <v>13045.68</v>
      </c>
      <c r="U77" s="2"/>
      <c r="V77" s="7">
        <f t="shared" si="53"/>
        <v>0</v>
      </c>
      <c r="W77" s="2"/>
      <c r="X77" s="6">
        <f t="shared" si="54"/>
        <v>-13028.6</v>
      </c>
      <c r="Y77" s="2"/>
      <c r="Z77" s="7">
        <f t="shared" si="55"/>
        <v>-0.99869075433400178</v>
      </c>
    </row>
    <row r="78" spans="1:26" s="29" customFormat="1" outlineLevel="1" collapsed="1" x14ac:dyDescent="0.25">
      <c r="A78" s="27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SUM(OSRRefD22_18x_0)</f>
        <v>699.06</v>
      </c>
      <c r="E78" s="1"/>
      <c r="F78" s="5">
        <f t="shared" ref="F78:F84" si="56">IF(D$12=0,0,D78/D$12)</f>
        <v>0</v>
      </c>
      <c r="G78" s="1"/>
      <c r="H78" s="1">
        <f>SUM(OSRRefH22_18x_0)</f>
        <v>649.05999999999995</v>
      </c>
      <c r="I78" s="1"/>
      <c r="J78" s="5">
        <f t="shared" ref="J78:J84" si="57">IF(H$12=0,0,H78/H$12)</f>
        <v>0</v>
      </c>
      <c r="K78" s="1"/>
      <c r="L78" s="1">
        <f t="shared" ref="L78:L84" si="58">+D78-H78</f>
        <v>50</v>
      </c>
      <c r="M78" s="1"/>
      <c r="N78" s="5">
        <f t="shared" ref="N78:N84" si="59">IF(H78=0,0,L78/H78)</f>
        <v>7.7034480633531577E-2</v>
      </c>
      <c r="O78" s="14"/>
      <c r="P78" s="1">
        <f>SUM(OSRRefP22_18x_0)</f>
        <v>1604.08</v>
      </c>
      <c r="Q78" s="1"/>
      <c r="R78" s="5">
        <f t="shared" ref="R78:R84" si="60">IF(P$12=0,0,P78/P$12)</f>
        <v>0</v>
      </c>
      <c r="S78" s="1"/>
      <c r="T78" s="1">
        <f>SUM(OSRRefT22_18x_0)</f>
        <v>1481.93</v>
      </c>
      <c r="U78" s="1"/>
      <c r="V78" s="5">
        <f t="shared" ref="V78:V84" si="61">IF(T$12=0,0,T78/T$12)</f>
        <v>0</v>
      </c>
      <c r="W78" s="1"/>
      <c r="X78" s="1">
        <f t="shared" ref="X78:X84" si="62">+P78-T78</f>
        <v>122.14999999999986</v>
      </c>
      <c r="Y78" s="1"/>
      <c r="Z78" s="5">
        <f t="shared" ref="Z78:Z84" si="63">IF(T78=0,0,X78/T78)</f>
        <v>8.2426295439055733E-2</v>
      </c>
    </row>
    <row r="79" spans="1:26" s="24" customFormat="1" hidden="1" outlineLevel="2" x14ac:dyDescent="0.25">
      <c r="A79" s="28"/>
      <c r="B79" s="11" t="str">
        <f>CONCATENATE("          ", "6309", " - ", "TELEPHONE")</f>
        <v xml:space="preserve">          6309 - TELEPHONE</v>
      </c>
      <c r="C79" s="11"/>
      <c r="D79" s="6">
        <v>699.06</v>
      </c>
      <c r="E79" s="2"/>
      <c r="F79" s="7">
        <f t="shared" si="56"/>
        <v>0</v>
      </c>
      <c r="G79" s="2"/>
      <c r="H79" s="6">
        <v>649.05999999999995</v>
      </c>
      <c r="I79" s="2"/>
      <c r="J79" s="7">
        <f t="shared" si="57"/>
        <v>0</v>
      </c>
      <c r="K79" s="2"/>
      <c r="L79" s="6">
        <f t="shared" si="58"/>
        <v>50</v>
      </c>
      <c r="M79" s="2"/>
      <c r="N79" s="7">
        <f t="shared" si="59"/>
        <v>7.7034480633531577E-2</v>
      </c>
      <c r="O79" s="11"/>
      <c r="P79" s="6">
        <v>1604.08</v>
      </c>
      <c r="Q79" s="2"/>
      <c r="R79" s="7">
        <f t="shared" si="60"/>
        <v>0</v>
      </c>
      <c r="S79" s="2"/>
      <c r="T79" s="6">
        <v>1481.93</v>
      </c>
      <c r="U79" s="2"/>
      <c r="V79" s="7">
        <f t="shared" si="61"/>
        <v>0</v>
      </c>
      <c r="W79" s="2"/>
      <c r="X79" s="6">
        <f t="shared" si="62"/>
        <v>122.14999999999986</v>
      </c>
      <c r="Y79" s="2"/>
      <c r="Z79" s="7">
        <f t="shared" si="63"/>
        <v>8.2426295439055733E-2</v>
      </c>
    </row>
    <row r="80" spans="1:26" s="29" customFormat="1" outlineLevel="1" collapsed="1" x14ac:dyDescent="0.25">
      <c r="A80" s="27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SUM(OSRRefD22_19x_0)</f>
        <v>-5000</v>
      </c>
      <c r="E80" s="1"/>
      <c r="F80" s="5">
        <f t="shared" si="56"/>
        <v>0</v>
      </c>
      <c r="G80" s="1"/>
      <c r="H80" s="1">
        <f>SUM(OSRRefH22_19x_0)</f>
        <v>1875.65</v>
      </c>
      <c r="I80" s="1"/>
      <c r="J80" s="5">
        <f t="shared" si="57"/>
        <v>0</v>
      </c>
      <c r="K80" s="1"/>
      <c r="L80" s="1">
        <f t="shared" si="58"/>
        <v>-6875.65</v>
      </c>
      <c r="M80" s="1"/>
      <c r="N80" s="5">
        <f t="shared" si="59"/>
        <v>-3.6657425425852366</v>
      </c>
      <c r="O80" s="14"/>
      <c r="P80" s="1">
        <f>SUM(OSRRefP22_19x_0)</f>
        <v>1671.56</v>
      </c>
      <c r="Q80" s="1"/>
      <c r="R80" s="5">
        <f t="shared" si="60"/>
        <v>0</v>
      </c>
      <c r="S80" s="1"/>
      <c r="T80" s="1">
        <f>SUM(OSRRefT22_19x_0)</f>
        <v>612</v>
      </c>
      <c r="U80" s="1"/>
      <c r="V80" s="5">
        <f t="shared" si="61"/>
        <v>0</v>
      </c>
      <c r="W80" s="1"/>
      <c r="X80" s="1">
        <f t="shared" si="62"/>
        <v>1059.56</v>
      </c>
      <c r="Y80" s="1"/>
      <c r="Z80" s="5">
        <f t="shared" si="63"/>
        <v>1.7313071895424836</v>
      </c>
    </row>
    <row r="81" spans="1:26" s="24" customFormat="1" hidden="1" outlineLevel="2" x14ac:dyDescent="0.25">
      <c r="A81" s="28"/>
      <c r="B81" s="11" t="str">
        <f>CONCATENATE("          ", "6376", " - ", "TRAINING")</f>
        <v xml:space="preserve">          6376 - TRAINING</v>
      </c>
      <c r="C81" s="11"/>
      <c r="D81" s="6">
        <v>-5000</v>
      </c>
      <c r="E81" s="2"/>
      <c r="F81" s="7">
        <f t="shared" si="56"/>
        <v>0</v>
      </c>
      <c r="G81" s="2"/>
      <c r="H81" s="6">
        <v>1875.65</v>
      </c>
      <c r="I81" s="2"/>
      <c r="J81" s="7">
        <f t="shared" si="57"/>
        <v>0</v>
      </c>
      <c r="K81" s="2"/>
      <c r="L81" s="6">
        <f t="shared" si="58"/>
        <v>-6875.65</v>
      </c>
      <c r="M81" s="2"/>
      <c r="N81" s="7">
        <f t="shared" si="59"/>
        <v>-3.6657425425852366</v>
      </c>
      <c r="O81" s="11"/>
      <c r="P81" s="6">
        <v>1671.56</v>
      </c>
      <c r="Q81" s="2"/>
      <c r="R81" s="7">
        <f t="shared" si="60"/>
        <v>0</v>
      </c>
      <c r="S81" s="2"/>
      <c r="T81" s="6">
        <v>612</v>
      </c>
      <c r="U81" s="2"/>
      <c r="V81" s="7">
        <f t="shared" si="61"/>
        <v>0</v>
      </c>
      <c r="W81" s="2"/>
      <c r="X81" s="6">
        <f t="shared" si="62"/>
        <v>1059.56</v>
      </c>
      <c r="Y81" s="2"/>
      <c r="Z81" s="7">
        <f t="shared" si="63"/>
        <v>1.7313071895424836</v>
      </c>
    </row>
    <row r="82" spans="1:26" s="29" customFormat="1" outlineLevel="1" collapsed="1" x14ac:dyDescent="0.25">
      <c r="A82" s="27"/>
      <c r="B82" s="14" t="str">
        <f>CONCATENATE("     ","Travel                                            ")</f>
        <v xml:space="preserve">     Travel                                            </v>
      </c>
      <c r="C82" s="14"/>
      <c r="D82" s="1">
        <f>SUM(OSRRefD22_20x_0)</f>
        <v>174.39999999999998</v>
      </c>
      <c r="E82" s="1"/>
      <c r="F82" s="5">
        <f t="shared" si="56"/>
        <v>0</v>
      </c>
      <c r="G82" s="1"/>
      <c r="H82" s="1">
        <f>SUM(OSRRefH22_20x_0)</f>
        <v>172.82</v>
      </c>
      <c r="I82" s="1"/>
      <c r="J82" s="5">
        <f t="shared" si="57"/>
        <v>0</v>
      </c>
      <c r="K82" s="1"/>
      <c r="L82" s="1">
        <f t="shared" si="58"/>
        <v>1.5799999999999841</v>
      </c>
      <c r="M82" s="1"/>
      <c r="N82" s="5">
        <f t="shared" si="59"/>
        <v>9.142460363383776E-3</v>
      </c>
      <c r="O82" s="14"/>
      <c r="P82" s="1">
        <f>SUM(OSRRefP22_20x_0)</f>
        <v>511.76</v>
      </c>
      <c r="Q82" s="1"/>
      <c r="R82" s="5">
        <f t="shared" si="60"/>
        <v>0</v>
      </c>
      <c r="S82" s="1"/>
      <c r="T82" s="1">
        <f>SUM(OSRRefT22_20x_0)</f>
        <v>473.6</v>
      </c>
      <c r="U82" s="1"/>
      <c r="V82" s="5">
        <f t="shared" si="61"/>
        <v>0</v>
      </c>
      <c r="W82" s="1"/>
      <c r="X82" s="1">
        <f t="shared" si="62"/>
        <v>38.159999999999968</v>
      </c>
      <c r="Y82" s="1"/>
      <c r="Z82" s="5">
        <f t="shared" si="63"/>
        <v>8.0574324324324251E-2</v>
      </c>
    </row>
    <row r="83" spans="1:26" s="24" customFormat="1" hidden="1" outlineLevel="2" x14ac:dyDescent="0.25">
      <c r="A83" s="28"/>
      <c r="B83" s="11" t="str">
        <f>CONCATENATE("          ", "6292", " - ", "TRAVEL/CONFERENCE")</f>
        <v xml:space="preserve">          6292 - TRAVEL/CONFERENCE</v>
      </c>
      <c r="C83" s="11"/>
      <c r="D83" s="6">
        <v>91.13</v>
      </c>
      <c r="E83" s="2"/>
      <c r="F83" s="7">
        <f t="shared" si="56"/>
        <v>0</v>
      </c>
      <c r="G83" s="2"/>
      <c r="H83" s="6">
        <v>150.6</v>
      </c>
      <c r="I83" s="2"/>
      <c r="J83" s="7">
        <f t="shared" si="57"/>
        <v>0</v>
      </c>
      <c r="K83" s="2"/>
      <c r="L83" s="6">
        <f t="shared" si="58"/>
        <v>-59.47</v>
      </c>
      <c r="M83" s="2"/>
      <c r="N83" s="7">
        <f t="shared" si="59"/>
        <v>-0.39488711819389111</v>
      </c>
      <c r="O83" s="11"/>
      <c r="P83" s="6">
        <v>341.77</v>
      </c>
      <c r="Q83" s="2"/>
      <c r="R83" s="7">
        <f t="shared" si="60"/>
        <v>0</v>
      </c>
      <c r="S83" s="2"/>
      <c r="T83" s="6">
        <v>400.6</v>
      </c>
      <c r="U83" s="2"/>
      <c r="V83" s="7">
        <f t="shared" si="61"/>
        <v>0</v>
      </c>
      <c r="W83" s="2"/>
      <c r="X83" s="6">
        <f t="shared" si="62"/>
        <v>-58.830000000000041</v>
      </c>
      <c r="Y83" s="2"/>
      <c r="Z83" s="7">
        <f t="shared" si="63"/>
        <v>-0.14685471792311541</v>
      </c>
    </row>
    <row r="84" spans="1:26" s="24" customFormat="1" hidden="1" outlineLevel="2" x14ac:dyDescent="0.25">
      <c r="A84" s="28"/>
      <c r="B84" s="11" t="str">
        <f>CONCATENATE("          ", "6298", " - ", "VEHICLE MILEAGE")</f>
        <v xml:space="preserve">          6298 - VEHICLE MILEAGE</v>
      </c>
      <c r="C84" s="11"/>
      <c r="D84" s="6">
        <v>83.27</v>
      </c>
      <c r="E84" s="2"/>
      <c r="F84" s="7">
        <f t="shared" si="56"/>
        <v>0</v>
      </c>
      <c r="G84" s="2"/>
      <c r="H84" s="6">
        <v>22.22</v>
      </c>
      <c r="I84" s="2"/>
      <c r="J84" s="7">
        <f t="shared" si="57"/>
        <v>0</v>
      </c>
      <c r="K84" s="2"/>
      <c r="L84" s="6">
        <f t="shared" si="58"/>
        <v>61.05</v>
      </c>
      <c r="M84" s="2"/>
      <c r="N84" s="7">
        <f t="shared" si="59"/>
        <v>2.7475247524752477</v>
      </c>
      <c r="O84" s="11"/>
      <c r="P84" s="6">
        <v>169.99</v>
      </c>
      <c r="Q84" s="2"/>
      <c r="R84" s="7">
        <f t="shared" si="60"/>
        <v>0</v>
      </c>
      <c r="S84" s="2"/>
      <c r="T84" s="6">
        <v>73</v>
      </c>
      <c r="U84" s="2"/>
      <c r="V84" s="7">
        <f t="shared" si="61"/>
        <v>0</v>
      </c>
      <c r="W84" s="2"/>
      <c r="X84" s="6">
        <f t="shared" si="62"/>
        <v>96.990000000000009</v>
      </c>
      <c r="Y84" s="2"/>
      <c r="Z84" s="7">
        <f t="shared" si="63"/>
        <v>1.3286301369863014</v>
      </c>
    </row>
    <row r="85" spans="1:26" s="29" customFormat="1" outlineLevel="1" collapsed="1" x14ac:dyDescent="0.25">
      <c r="A85" s="27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SUM(OSRRefD22_21x_0)</f>
        <v>5593</v>
      </c>
      <c r="E85" s="1"/>
      <c r="F85" s="5">
        <f t="shared" ref="F85:F86" si="64">IF(D$12=0,0,D85/D$12)</f>
        <v>0</v>
      </c>
      <c r="G85" s="1"/>
      <c r="H85" s="1">
        <f>SUM(OSRRefH22_21x_0)</f>
        <v>4879</v>
      </c>
      <c r="I85" s="1"/>
      <c r="J85" s="5">
        <f t="shared" ref="J85:J86" si="65">IF(H$12=0,0,H85/H$12)</f>
        <v>0</v>
      </c>
      <c r="K85" s="1"/>
      <c r="L85" s="1">
        <f t="shared" ref="L85:L86" si="66">+D85-H85</f>
        <v>714</v>
      </c>
      <c r="M85" s="1"/>
      <c r="N85" s="5">
        <f t="shared" ref="N85:N86" si="67">IF(H85=0,0,L85/H85)</f>
        <v>0.14634146341463414</v>
      </c>
      <c r="O85" s="14"/>
      <c r="P85" s="1">
        <f>SUM(OSRRefP22_21x_0)</f>
        <v>11186</v>
      </c>
      <c r="Q85" s="1"/>
      <c r="R85" s="5">
        <f t="shared" ref="R85:R86" si="68">IF(P$12=0,0,P85/P$12)</f>
        <v>0</v>
      </c>
      <c r="S85" s="1"/>
      <c r="T85" s="1">
        <f>SUM(OSRRefT22_21x_0)</f>
        <v>16779</v>
      </c>
      <c r="U85" s="1"/>
      <c r="V85" s="5">
        <f t="shared" ref="V85:V86" si="69">IF(T$12=0,0,T85/T$12)</f>
        <v>0</v>
      </c>
      <c r="W85" s="1"/>
      <c r="X85" s="1">
        <f t="shared" ref="X85:X86" si="70">+P85-T85</f>
        <v>-5593</v>
      </c>
      <c r="Y85" s="1"/>
      <c r="Z85" s="5">
        <f t="shared" ref="Z85:Z86" si="71">IF(T85=0,0,X85/T85)</f>
        <v>-0.33333333333333331</v>
      </c>
    </row>
    <row r="86" spans="1:26" s="24" customFormat="1" hidden="1" outlineLevel="2" x14ac:dyDescent="0.25">
      <c r="A86" s="28"/>
      <c r="B86" s="11" t="str">
        <f>CONCATENATE("          ", "6274", " - ", "UTILITIES")</f>
        <v xml:space="preserve">          6274 - UTILITIES</v>
      </c>
      <c r="C86" s="11"/>
      <c r="D86" s="6">
        <v>5593</v>
      </c>
      <c r="E86" s="2"/>
      <c r="F86" s="7">
        <f t="shared" si="64"/>
        <v>0</v>
      </c>
      <c r="G86" s="2"/>
      <c r="H86" s="6">
        <v>4879</v>
      </c>
      <c r="I86" s="2"/>
      <c r="J86" s="7">
        <f t="shared" si="65"/>
        <v>0</v>
      </c>
      <c r="K86" s="2"/>
      <c r="L86" s="6">
        <f t="shared" si="66"/>
        <v>714</v>
      </c>
      <c r="M86" s="2"/>
      <c r="N86" s="7">
        <f t="shared" si="67"/>
        <v>0.14634146341463414</v>
      </c>
      <c r="O86" s="11"/>
      <c r="P86" s="6">
        <v>11186</v>
      </c>
      <c r="Q86" s="2"/>
      <c r="R86" s="7">
        <f t="shared" si="68"/>
        <v>0</v>
      </c>
      <c r="S86" s="2"/>
      <c r="T86" s="6">
        <v>16779</v>
      </c>
      <c r="U86" s="2"/>
      <c r="V86" s="7">
        <f t="shared" si="69"/>
        <v>0</v>
      </c>
      <c r="W86" s="2"/>
      <c r="X86" s="6">
        <f t="shared" si="70"/>
        <v>-5593</v>
      </c>
      <c r="Y86" s="2"/>
      <c r="Z86" s="7">
        <f t="shared" si="71"/>
        <v>-0.33333333333333331</v>
      </c>
    </row>
    <row r="87" spans="1:26" s="53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25">
      <c r="A88" s="10"/>
      <c r="B88" s="25" t="s">
        <v>0</v>
      </c>
      <c r="C88" s="10"/>
      <c r="D88" s="4">
        <f>SUM(OSRRefD25x_0)</f>
        <v>14984.380000000001</v>
      </c>
      <c r="E88" s="4"/>
      <c r="F88" s="12">
        <f t="shared" ref="F88:F90" si="72">IF(D$12=0,0,D88/D$12)</f>
        <v>0</v>
      </c>
      <c r="G88" s="4"/>
      <c r="H88" s="4">
        <f>SUM(OSRRefH25x_0)</f>
        <v>18240.400000000001</v>
      </c>
      <c r="I88" s="4"/>
      <c r="J88" s="12">
        <f t="shared" ref="J88:J90" si="73">IF(H$12=0,0,H88/H$12)</f>
        <v>0</v>
      </c>
      <c r="K88" s="4"/>
      <c r="L88" s="4">
        <f t="shared" ref="L88:L90" si="74">+D88-H88</f>
        <v>-3256.0200000000004</v>
      </c>
      <c r="M88" s="4"/>
      <c r="N88" s="12">
        <f t="shared" ref="N88:N90" si="75">IF(H88=0,0,L88/H88)</f>
        <v>-0.17850595381680226</v>
      </c>
      <c r="O88" s="10"/>
      <c r="P88" s="4">
        <f>SUM(OSRRefP25x_0)</f>
        <v>69634.3</v>
      </c>
      <c r="Q88" s="4"/>
      <c r="R88" s="12">
        <f t="shared" ref="R88:R90" si="76">IF(P$12=0,0,P88/P$12)</f>
        <v>0</v>
      </c>
      <c r="S88" s="4"/>
      <c r="T88" s="4">
        <f>SUM(OSRRefT25x_0)</f>
        <v>120100.5</v>
      </c>
      <c r="U88" s="4"/>
      <c r="V88" s="12">
        <f t="shared" ref="V88:V90" si="77">IF(T$12=0,0,T88/T$12)</f>
        <v>0</v>
      </c>
      <c r="W88" s="4"/>
      <c r="X88" s="4">
        <f t="shared" ref="X88:X90" si="78">+P88-T88</f>
        <v>-50466.2</v>
      </c>
      <c r="Y88" s="4"/>
      <c r="Z88" s="12">
        <f t="shared" ref="Z88:Z90" si="79">IF(T88=0,0,X88/T88)</f>
        <v>-0.42019974937656379</v>
      </c>
    </row>
    <row r="89" spans="1:26" s="24" customFormat="1" hidden="1" outlineLevel="1" x14ac:dyDescent="0.25">
      <c r="A89" s="44"/>
      <c r="B89" s="11" t="str">
        <f>CONCATENATE("          ", "9150", " - ", "MISC. INCOME")</f>
        <v xml:space="preserve">          9150 - MISC. INCOME</v>
      </c>
      <c r="C89" s="11"/>
      <c r="D89" s="2">
        <f>--19202.56</f>
        <v>19202.560000000001</v>
      </c>
      <c r="E89" s="2"/>
      <c r="F89" s="19">
        <f t="shared" si="72"/>
        <v>0</v>
      </c>
      <c r="G89" s="2"/>
      <c r="H89" s="2">
        <f>--17574.5</f>
        <v>17574.5</v>
      </c>
      <c r="I89" s="2"/>
      <c r="J89" s="19">
        <f t="shared" si="73"/>
        <v>0</v>
      </c>
      <c r="K89" s="2"/>
      <c r="L89" s="2">
        <f t="shared" si="74"/>
        <v>1628.0600000000013</v>
      </c>
      <c r="M89" s="2"/>
      <c r="N89" s="19">
        <f t="shared" si="75"/>
        <v>9.2637628382030851E-2</v>
      </c>
      <c r="O89" s="11"/>
      <c r="P89" s="2">
        <f>--74116.99</f>
        <v>74116.990000000005</v>
      </c>
      <c r="Q89" s="2"/>
      <c r="R89" s="19">
        <f t="shared" si="76"/>
        <v>0</v>
      </c>
      <c r="S89" s="2"/>
      <c r="T89" s="2">
        <f>--119039.71</f>
        <v>119039.71</v>
      </c>
      <c r="U89" s="2"/>
      <c r="V89" s="19">
        <f t="shared" si="77"/>
        <v>0</v>
      </c>
      <c r="W89" s="2"/>
      <c r="X89" s="2">
        <f t="shared" si="78"/>
        <v>-44922.720000000001</v>
      </c>
      <c r="Y89" s="2"/>
      <c r="Z89" s="19">
        <f t="shared" si="79"/>
        <v>-0.37737591934657772</v>
      </c>
    </row>
    <row r="90" spans="1:26" s="24" customFormat="1" hidden="1" outlineLevel="1" x14ac:dyDescent="0.25">
      <c r="A90" s="44"/>
      <c r="B90" s="11" t="str">
        <f>CONCATENATE("          ", "9151", " - ", "MISC. INCOME")</f>
        <v xml:space="preserve">          9151 - MISC. INCOME</v>
      </c>
      <c r="C90" s="11"/>
      <c r="D90" s="2">
        <f>-4218.18</f>
        <v>-4218.18</v>
      </c>
      <c r="E90" s="2"/>
      <c r="F90" s="19">
        <f t="shared" si="72"/>
        <v>0</v>
      </c>
      <c r="G90" s="2"/>
      <c r="H90" s="2">
        <f>--665.9</f>
        <v>665.9</v>
      </c>
      <c r="I90" s="2"/>
      <c r="J90" s="19">
        <f t="shared" si="73"/>
        <v>0</v>
      </c>
      <c r="K90" s="2"/>
      <c r="L90" s="2">
        <f t="shared" si="74"/>
        <v>-4884.08</v>
      </c>
      <c r="M90" s="2"/>
      <c r="N90" s="19">
        <f t="shared" si="75"/>
        <v>-7.3345547379486407</v>
      </c>
      <c r="O90" s="11"/>
      <c r="P90" s="2">
        <f>-4482.69</f>
        <v>-4482.6899999999996</v>
      </c>
      <c r="Q90" s="2"/>
      <c r="R90" s="19">
        <f t="shared" si="76"/>
        <v>0</v>
      </c>
      <c r="S90" s="2"/>
      <c r="T90" s="2">
        <f>--1060.79</f>
        <v>1060.79</v>
      </c>
      <c r="U90" s="2"/>
      <c r="V90" s="19">
        <f t="shared" si="77"/>
        <v>0</v>
      </c>
      <c r="W90" s="2"/>
      <c r="X90" s="2">
        <f t="shared" si="78"/>
        <v>-5543.48</v>
      </c>
      <c r="Y90" s="2"/>
      <c r="Z90" s="19">
        <f t="shared" si="79"/>
        <v>-5.2258034106656357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6" t="s">
        <v>3</v>
      </c>
      <c r="C92" s="26"/>
      <c r="D92" s="21">
        <f>+D16-D18+D88</f>
        <v>-125067.08999999997</v>
      </c>
      <c r="E92" s="13"/>
      <c r="F92" s="20">
        <f>IF(D$12=0,0,D92/D$12)</f>
        <v>0</v>
      </c>
      <c r="G92" s="13"/>
      <c r="H92" s="21">
        <f>+H16-H18+H88</f>
        <v>-117043.65000000005</v>
      </c>
      <c r="I92" s="13"/>
      <c r="J92" s="20">
        <f>IF(H$12=0,0,H92/H$12)</f>
        <v>0</v>
      </c>
      <c r="K92" s="15"/>
      <c r="L92" s="21">
        <f>+D92-H92</f>
        <v>-8023.439999999915</v>
      </c>
      <c r="M92" s="15"/>
      <c r="N92" s="20">
        <f>IF(H92=0,0,L92/H92)</f>
        <v>6.8550835521618739E-2</v>
      </c>
      <c r="O92" s="25"/>
      <c r="P92" s="21">
        <f>+P16-P18+P88</f>
        <v>-355944.76000000007</v>
      </c>
      <c r="Q92" s="13"/>
      <c r="R92" s="20">
        <f>IF(P$12=0,0,P92/P$12)</f>
        <v>0</v>
      </c>
      <c r="S92" s="13"/>
      <c r="T92" s="21">
        <f>+T16-T18+T88</f>
        <v>-343822.55999999982</v>
      </c>
      <c r="U92" s="13"/>
      <c r="V92" s="20">
        <f>IF(T$12=0,0,T92/T$12)</f>
        <v>0</v>
      </c>
      <c r="W92" s="15"/>
      <c r="X92" s="21">
        <f>+P92-T92</f>
        <v>-12122.200000000244</v>
      </c>
      <c r="Y92" s="15"/>
      <c r="Z92" s="20">
        <f>IF(T92=0,0,X92/T92)</f>
        <v>3.5257139612945264E-2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13</v>
      </c>
      <c r="C94" s="10"/>
      <c r="D94" s="4"/>
      <c r="E94" s="4"/>
      <c r="F94" s="12">
        <f>IF(D$12=0,0,D94/D$12)</f>
        <v>0</v>
      </c>
      <c r="G94" s="4"/>
      <c r="H94" s="4"/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/>
      <c r="Q94" s="4"/>
      <c r="R94" s="12">
        <f>IF(P$12=0,0,P94/P$12)</f>
        <v>0</v>
      </c>
      <c r="S94" s="4"/>
      <c r="T94" s="4"/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6" t="s">
        <v>4</v>
      </c>
      <c r="C96" s="26"/>
      <c r="D96" s="35">
        <f>+D92-D94</f>
        <v>-125067.08999999997</v>
      </c>
      <c r="E96" s="13"/>
      <c r="F96" s="30">
        <f>IF(D$12=0,0,D96/D$12)</f>
        <v>0</v>
      </c>
      <c r="G96" s="13"/>
      <c r="H96" s="35">
        <f>+H92-H94</f>
        <v>-117043.65000000005</v>
      </c>
      <c r="I96" s="13"/>
      <c r="J96" s="30">
        <f>IF(H$12=0,0,H96/H$12)</f>
        <v>0</v>
      </c>
      <c r="K96" s="15"/>
      <c r="L96" s="35">
        <f>D96-H96</f>
        <v>-8023.439999999915</v>
      </c>
      <c r="M96" s="15"/>
      <c r="N96" s="30">
        <f>IF(H96=0,0,L96/H96)</f>
        <v>6.8550835521618739E-2</v>
      </c>
      <c r="O96" s="25"/>
      <c r="P96" s="35">
        <f>+P92-P94</f>
        <v>-355944.76000000007</v>
      </c>
      <c r="Q96" s="13"/>
      <c r="R96" s="30">
        <f>IF(P$12=0,0,P96/P$12)</f>
        <v>0</v>
      </c>
      <c r="S96" s="13"/>
      <c r="T96" s="35">
        <f>+T92-T94</f>
        <v>-343822.55999999982</v>
      </c>
      <c r="U96" s="13"/>
      <c r="V96" s="30">
        <f>IF(T$12=0,0,T96/T$12)</f>
        <v>0</v>
      </c>
      <c r="W96" s="15"/>
      <c r="X96" s="35">
        <f>P96-T96</f>
        <v>-12122.200000000244</v>
      </c>
      <c r="Y96" s="15"/>
      <c r="Z96" s="30">
        <f>IF(T96=0,0,X96/T96)</f>
        <v>3.5257139612945264E-2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5</v>
      </c>
      <c r="C99" s="26"/>
      <c r="D99" s="36">
        <f>SUM(D96:D98)</f>
        <v>-125067.08999999997</v>
      </c>
      <c r="E99" s="13"/>
      <c r="F99" s="31">
        <f>IF(D$12=0,0,D99/D$12)</f>
        <v>0</v>
      </c>
      <c r="G99" s="13"/>
      <c r="H99" s="36">
        <f>SUM(H96:H98)</f>
        <v>-117043.65000000005</v>
      </c>
      <c r="I99" s="13"/>
      <c r="J99" s="31">
        <f>IF(H$12=0,0,H99/H$12)</f>
        <v>0</v>
      </c>
      <c r="K99" s="15"/>
      <c r="L99" s="36">
        <f>+D99-H99</f>
        <v>-8023.439999999915</v>
      </c>
      <c r="M99" s="15"/>
      <c r="N99" s="31">
        <f>IF(H99=0,0,L99/H99)</f>
        <v>6.8550835521618739E-2</v>
      </c>
      <c r="O99" s="25"/>
      <c r="P99" s="36">
        <f>SUM(P96:P98)</f>
        <v>-355944.76000000007</v>
      </c>
      <c r="Q99" s="13"/>
      <c r="R99" s="31">
        <f>IF(P$12=0,0,P99/P$12)</f>
        <v>0</v>
      </c>
      <c r="S99" s="13"/>
      <c r="T99" s="36">
        <f>SUM(T96:T98)</f>
        <v>-343822.55999999982</v>
      </c>
      <c r="U99" s="13"/>
      <c r="V99" s="31">
        <f>IF(T$12=0,0,T99/T$12)</f>
        <v>0</v>
      </c>
      <c r="W99" s="15"/>
      <c r="X99" s="36">
        <f>+P99-T99</f>
        <v>-12122.200000000244</v>
      </c>
      <c r="Y99" s="15"/>
      <c r="Z99" s="31">
        <f>IF(T99=0,0,X99/T99)</f>
        <v>3.5257139612945264E-2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5">
        <v>43756.462868136572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6" t="s">
        <v>313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57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","306", " - ", "Warehouse")</f>
        <v>Department 306 - Warehouse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38445.409999999996</v>
      </c>
      <c r="E18" s="22"/>
      <c r="F18" s="34">
        <f t="shared" ref="F18:F28" si="0">IF(D$12=0,0,D18/D$12)</f>
        <v>0</v>
      </c>
      <c r="G18" s="22"/>
      <c r="H18" s="22">
        <f>SUM(OSRRefH22x_0)</f>
        <v>40108.619999999995</v>
      </c>
      <c r="I18" s="22"/>
      <c r="J18" s="34">
        <f t="shared" ref="J18:J28" si="1">IF(H$12=0,0,H18/H$12)</f>
        <v>0</v>
      </c>
      <c r="K18" s="4"/>
      <c r="L18" s="22">
        <f t="shared" ref="L18:L28" si="2">+D18-H18</f>
        <v>-1663.2099999999991</v>
      </c>
      <c r="M18" s="4"/>
      <c r="N18" s="34">
        <f t="shared" ref="N18:N28" si="3">IF(H18=0,0,L18/H18)</f>
        <v>-4.1467644611058653E-2</v>
      </c>
      <c r="O18" s="10"/>
      <c r="P18" s="22">
        <f>SUM(OSRRefP22x_0)</f>
        <v>149863.49000000002</v>
      </c>
      <c r="Q18" s="22"/>
      <c r="R18" s="34">
        <f t="shared" ref="R18:R28" si="4">IF(P$12=0,0,P18/P$12)</f>
        <v>0</v>
      </c>
      <c r="S18" s="22"/>
      <c r="T18" s="22">
        <f>SUM(OSRRefT22x_0)</f>
        <v>169836.39</v>
      </c>
      <c r="U18" s="22"/>
      <c r="V18" s="34">
        <f t="shared" ref="V18:V28" si="5">IF(T$12=0,0,T18/T$12)</f>
        <v>0</v>
      </c>
      <c r="W18" s="4"/>
      <c r="X18" s="22">
        <f t="shared" ref="X18:X28" si="6">+P18-T18</f>
        <v>-19972.899999999994</v>
      </c>
      <c r="Y18" s="4"/>
      <c r="Z18" s="34">
        <f t="shared" ref="Z18:Z28" si="7">IF(T18=0,0,X18/T18)</f>
        <v>-0.11760082747872816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5633.09</v>
      </c>
      <c r="E19" s="1"/>
      <c r="F19" s="5">
        <f t="shared" si="0"/>
        <v>0</v>
      </c>
      <c r="G19" s="1"/>
      <c r="H19" s="1">
        <f>SUM(OSRRefH22_0x_0)</f>
        <v>5335.69</v>
      </c>
      <c r="I19" s="1"/>
      <c r="J19" s="5">
        <f t="shared" si="1"/>
        <v>0</v>
      </c>
      <c r="K19" s="1"/>
      <c r="L19" s="1">
        <f t="shared" si="2"/>
        <v>297.40000000000055</v>
      </c>
      <c r="M19" s="1"/>
      <c r="N19" s="5">
        <f t="shared" si="3"/>
        <v>5.5737870828327839E-2</v>
      </c>
      <c r="O19" s="14"/>
      <c r="P19" s="1">
        <f>SUM(OSRRefP22_0x_0)</f>
        <v>21327.910000000007</v>
      </c>
      <c r="Q19" s="1"/>
      <c r="R19" s="5">
        <f t="shared" si="4"/>
        <v>0</v>
      </c>
      <c r="S19" s="1"/>
      <c r="T19" s="1">
        <f>SUM(OSRRefT22_0x_0)</f>
        <v>21504.390000000003</v>
      </c>
      <c r="U19" s="1"/>
      <c r="V19" s="5">
        <f t="shared" si="5"/>
        <v>0</v>
      </c>
      <c r="W19" s="1"/>
      <c r="X19" s="1">
        <f t="shared" si="6"/>
        <v>-176.47999999999593</v>
      </c>
      <c r="Y19" s="1"/>
      <c r="Z19" s="5">
        <f t="shared" si="7"/>
        <v>-8.206696400130201E-3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1016.39</v>
      </c>
      <c r="E20" s="2"/>
      <c r="F20" s="7">
        <f t="shared" si="0"/>
        <v>0</v>
      </c>
      <c r="G20" s="2"/>
      <c r="H20" s="6">
        <v>1355.97</v>
      </c>
      <c r="I20" s="2"/>
      <c r="J20" s="7">
        <f t="shared" si="1"/>
        <v>0</v>
      </c>
      <c r="K20" s="2"/>
      <c r="L20" s="6">
        <f t="shared" si="2"/>
        <v>-339.58000000000004</v>
      </c>
      <c r="M20" s="2"/>
      <c r="N20" s="7">
        <f t="shared" si="3"/>
        <v>-0.25043326917262182</v>
      </c>
      <c r="O20" s="11"/>
      <c r="P20" s="6">
        <v>6790.63</v>
      </c>
      <c r="Q20" s="2"/>
      <c r="R20" s="7">
        <f t="shared" si="4"/>
        <v>0</v>
      </c>
      <c r="S20" s="2"/>
      <c r="T20" s="6">
        <v>7886.4</v>
      </c>
      <c r="U20" s="2"/>
      <c r="V20" s="7">
        <f t="shared" si="5"/>
        <v>0</v>
      </c>
      <c r="W20" s="2"/>
      <c r="X20" s="6">
        <f t="shared" si="6"/>
        <v>-1095.7699999999995</v>
      </c>
      <c r="Y20" s="2"/>
      <c r="Z20" s="7">
        <f t="shared" si="7"/>
        <v>-0.13894425847027789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855.44</v>
      </c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855.44</v>
      </c>
      <c r="M21" s="2"/>
      <c r="N21" s="7">
        <f t="shared" si="3"/>
        <v>0</v>
      </c>
      <c r="O21" s="11"/>
      <c r="P21" s="6">
        <v>2364.3200000000002</v>
      </c>
      <c r="Q21" s="2"/>
      <c r="R21" s="7">
        <f t="shared" si="4"/>
        <v>0</v>
      </c>
      <c r="S21" s="2"/>
      <c r="T21" s="6">
        <v>1070.8900000000001</v>
      </c>
      <c r="U21" s="2"/>
      <c r="V21" s="7">
        <f t="shared" si="5"/>
        <v>0</v>
      </c>
      <c r="W21" s="2"/>
      <c r="X21" s="6">
        <f t="shared" si="6"/>
        <v>1293.43</v>
      </c>
      <c r="Y21" s="2"/>
      <c r="Z21" s="7">
        <f t="shared" si="7"/>
        <v>1.2078084583850814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1949.27</v>
      </c>
      <c r="E22" s="2"/>
      <c r="F22" s="7">
        <f t="shared" si="0"/>
        <v>0</v>
      </c>
      <c r="G22" s="2"/>
      <c r="H22" s="6">
        <v>2104.1999999999998</v>
      </c>
      <c r="I22" s="2"/>
      <c r="J22" s="7">
        <f t="shared" si="1"/>
        <v>0</v>
      </c>
      <c r="K22" s="2"/>
      <c r="L22" s="6">
        <f t="shared" si="2"/>
        <v>-154.92999999999984</v>
      </c>
      <c r="M22" s="2"/>
      <c r="N22" s="7">
        <f t="shared" si="3"/>
        <v>-7.3628932610968464E-2</v>
      </c>
      <c r="O22" s="11"/>
      <c r="P22" s="6">
        <v>5847.81</v>
      </c>
      <c r="Q22" s="2"/>
      <c r="R22" s="7">
        <f t="shared" si="4"/>
        <v>0</v>
      </c>
      <c r="S22" s="2"/>
      <c r="T22" s="6">
        <v>4999.37</v>
      </c>
      <c r="U22" s="2"/>
      <c r="V22" s="7">
        <f t="shared" si="5"/>
        <v>0</v>
      </c>
      <c r="W22" s="2"/>
      <c r="X22" s="6">
        <f t="shared" si="6"/>
        <v>848.44000000000051</v>
      </c>
      <c r="Y22" s="2"/>
      <c r="Z22" s="7">
        <f t="shared" si="7"/>
        <v>0.16970938338230629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117.06</v>
      </c>
      <c r="E23" s="2"/>
      <c r="F23" s="7">
        <f t="shared" si="0"/>
        <v>0</v>
      </c>
      <c r="G23" s="2"/>
      <c r="H23" s="6">
        <v>135.69999999999999</v>
      </c>
      <c r="I23" s="2"/>
      <c r="J23" s="7">
        <f t="shared" si="1"/>
        <v>0</v>
      </c>
      <c r="K23" s="2"/>
      <c r="L23" s="6">
        <f t="shared" si="2"/>
        <v>-18.639999999999986</v>
      </c>
      <c r="M23" s="2"/>
      <c r="N23" s="7">
        <f t="shared" si="3"/>
        <v>-0.13736182756079579</v>
      </c>
      <c r="O23" s="11"/>
      <c r="P23" s="6">
        <v>315.75</v>
      </c>
      <c r="Q23" s="2"/>
      <c r="R23" s="7">
        <f t="shared" si="4"/>
        <v>0</v>
      </c>
      <c r="S23" s="2"/>
      <c r="T23" s="6">
        <v>389.53</v>
      </c>
      <c r="U23" s="2"/>
      <c r="V23" s="7">
        <f t="shared" si="5"/>
        <v>0</v>
      </c>
      <c r="W23" s="2"/>
      <c r="X23" s="6">
        <f t="shared" si="6"/>
        <v>-73.779999999999973</v>
      </c>
      <c r="Y23" s="2"/>
      <c r="Z23" s="7">
        <f t="shared" si="7"/>
        <v>-0.18940774779862907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691.3</v>
      </c>
      <c r="E24" s="2"/>
      <c r="F24" s="7">
        <f t="shared" si="0"/>
        <v>0</v>
      </c>
      <c r="G24" s="2"/>
      <c r="H24" s="6">
        <v>616.78</v>
      </c>
      <c r="I24" s="2"/>
      <c r="J24" s="7">
        <f t="shared" si="1"/>
        <v>0</v>
      </c>
      <c r="K24" s="2"/>
      <c r="L24" s="6">
        <f t="shared" si="2"/>
        <v>74.519999999999982</v>
      </c>
      <c r="M24" s="2"/>
      <c r="N24" s="7">
        <f t="shared" si="3"/>
        <v>0.12082103829566455</v>
      </c>
      <c r="O24" s="11"/>
      <c r="P24" s="6">
        <v>2073.9</v>
      </c>
      <c r="Q24" s="2"/>
      <c r="R24" s="7">
        <f t="shared" si="4"/>
        <v>0</v>
      </c>
      <c r="S24" s="2"/>
      <c r="T24" s="6">
        <v>2149.75</v>
      </c>
      <c r="U24" s="2"/>
      <c r="V24" s="7">
        <f t="shared" si="5"/>
        <v>0</v>
      </c>
      <c r="W24" s="2"/>
      <c r="X24" s="6">
        <f t="shared" si="6"/>
        <v>-75.849999999999909</v>
      </c>
      <c r="Y24" s="2"/>
      <c r="Z24" s="7">
        <f t="shared" si="7"/>
        <v>-3.5283172461914133E-2</v>
      </c>
    </row>
    <row r="25" spans="1:26" s="24" customFormat="1" hidden="1" outlineLevel="2" x14ac:dyDescent="0.25">
      <c r="A25" s="28"/>
      <c r="B25" s="11" t="str">
        <f>CONCATENATE("          ", "6117", " - ", "RETIREMENT STAFF HOURLY")</f>
        <v xml:space="preserve">          6117 - RETIREMENT STAFF HOURLY</v>
      </c>
      <c r="C25" s="11"/>
      <c r="D25" s="6"/>
      <c r="E25" s="2"/>
      <c r="F25" s="7">
        <f t="shared" si="0"/>
        <v>0</v>
      </c>
      <c r="G25" s="2"/>
      <c r="H25" s="6">
        <v>135.07</v>
      </c>
      <c r="I25" s="2"/>
      <c r="J25" s="7">
        <f t="shared" si="1"/>
        <v>0</v>
      </c>
      <c r="K25" s="2"/>
      <c r="L25" s="6">
        <f t="shared" si="2"/>
        <v>-135.07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254.38</v>
      </c>
      <c r="U25" s="2"/>
      <c r="V25" s="7">
        <f t="shared" si="5"/>
        <v>0</v>
      </c>
      <c r="W25" s="2"/>
      <c r="X25" s="6">
        <f t="shared" si="6"/>
        <v>-254.38</v>
      </c>
      <c r="Y25" s="2"/>
      <c r="Z25" s="7">
        <f t="shared" si="7"/>
        <v>-1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>
        <v>280.8</v>
      </c>
      <c r="E26" s="2"/>
      <c r="F26" s="7">
        <f t="shared" si="0"/>
        <v>0</v>
      </c>
      <c r="G26" s="2"/>
      <c r="H26" s="6">
        <v>412.42</v>
      </c>
      <c r="I26" s="2"/>
      <c r="J26" s="7">
        <f t="shared" si="1"/>
        <v>0</v>
      </c>
      <c r="K26" s="2"/>
      <c r="L26" s="6">
        <f t="shared" si="2"/>
        <v>-131.62</v>
      </c>
      <c r="M26" s="2"/>
      <c r="N26" s="7">
        <f t="shared" si="3"/>
        <v>-0.31914068182920324</v>
      </c>
      <c r="O26" s="11"/>
      <c r="P26" s="6">
        <v>1044.6500000000001</v>
      </c>
      <c r="Q26" s="2"/>
      <c r="R26" s="7">
        <f t="shared" si="4"/>
        <v>0</v>
      </c>
      <c r="S26" s="2"/>
      <c r="T26" s="6">
        <v>1796.77</v>
      </c>
      <c r="U26" s="2"/>
      <c r="V26" s="7">
        <f t="shared" si="5"/>
        <v>0</v>
      </c>
      <c r="W26" s="2"/>
      <c r="X26" s="6">
        <f t="shared" si="6"/>
        <v>-752.11999999999989</v>
      </c>
      <c r="Y26" s="2"/>
      <c r="Z26" s="7">
        <f t="shared" si="7"/>
        <v>-0.41859559097714227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>
        <v>374.44</v>
      </c>
      <c r="E27" s="2"/>
      <c r="F27" s="7">
        <f t="shared" si="0"/>
        <v>0</v>
      </c>
      <c r="G27" s="2"/>
      <c r="H27" s="6">
        <v>353.06</v>
      </c>
      <c r="I27" s="2"/>
      <c r="J27" s="7">
        <f t="shared" si="1"/>
        <v>0</v>
      </c>
      <c r="K27" s="2"/>
      <c r="L27" s="6">
        <f t="shared" si="2"/>
        <v>21.379999999999995</v>
      </c>
      <c r="M27" s="2"/>
      <c r="N27" s="7">
        <f t="shared" si="3"/>
        <v>6.0556279385940055E-2</v>
      </c>
      <c r="O27" s="11"/>
      <c r="P27" s="6">
        <v>2001.95</v>
      </c>
      <c r="Q27" s="2"/>
      <c r="R27" s="7">
        <f t="shared" si="4"/>
        <v>0</v>
      </c>
      <c r="S27" s="2"/>
      <c r="T27" s="6">
        <v>2231.98</v>
      </c>
      <c r="U27" s="2"/>
      <c r="V27" s="7">
        <f t="shared" si="5"/>
        <v>0</v>
      </c>
      <c r="W27" s="2"/>
      <c r="X27" s="6">
        <f t="shared" si="6"/>
        <v>-230.02999999999997</v>
      </c>
      <c r="Y27" s="2"/>
      <c r="Z27" s="7">
        <f t="shared" si="7"/>
        <v>-0.10306095932759253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>
        <v>348.39</v>
      </c>
      <c r="E28" s="2"/>
      <c r="F28" s="7">
        <f t="shared" si="0"/>
        <v>0</v>
      </c>
      <c r="G28" s="2"/>
      <c r="H28" s="6">
        <v>222.49</v>
      </c>
      <c r="I28" s="2"/>
      <c r="J28" s="7">
        <f t="shared" si="1"/>
        <v>0</v>
      </c>
      <c r="K28" s="2"/>
      <c r="L28" s="6">
        <f t="shared" si="2"/>
        <v>125.89999999999998</v>
      </c>
      <c r="M28" s="2"/>
      <c r="N28" s="7">
        <f t="shared" si="3"/>
        <v>0.56586812890466975</v>
      </c>
      <c r="O28" s="11"/>
      <c r="P28" s="6">
        <v>888.9</v>
      </c>
      <c r="Q28" s="2"/>
      <c r="R28" s="7">
        <f t="shared" si="4"/>
        <v>0</v>
      </c>
      <c r="S28" s="2"/>
      <c r="T28" s="6">
        <v>725.32</v>
      </c>
      <c r="U28" s="2"/>
      <c r="V28" s="7">
        <f t="shared" si="5"/>
        <v>0</v>
      </c>
      <c r="W28" s="2"/>
      <c r="X28" s="6">
        <f t="shared" si="6"/>
        <v>163.57999999999993</v>
      </c>
      <c r="Y28" s="2"/>
      <c r="Z28" s="7">
        <f t="shared" si="7"/>
        <v>0.22552804279490421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32421.310000000005</v>
      </c>
      <c r="E29" s="1"/>
      <c r="F29" s="5">
        <f t="shared" ref="F29:F34" si="8">IF(D$12=0,0,D29/D$12)</f>
        <v>0</v>
      </c>
      <c r="G29" s="1"/>
      <c r="H29" s="1">
        <f>SUM(OSRRefH22_1x_0)</f>
        <v>34259.89</v>
      </c>
      <c r="I29" s="1"/>
      <c r="J29" s="5">
        <f t="shared" ref="J29:J34" si="9">IF(H$12=0,0,H29/H$12)</f>
        <v>0</v>
      </c>
      <c r="K29" s="1"/>
      <c r="L29" s="1">
        <f t="shared" ref="L29:L34" si="10">+D29-H29</f>
        <v>-1838.5799999999945</v>
      </c>
      <c r="M29" s="1"/>
      <c r="N29" s="5">
        <f t="shared" ref="N29:N34" si="11">IF(H29=0,0,L29/H29)</f>
        <v>-5.3665671430935549E-2</v>
      </c>
      <c r="O29" s="14"/>
      <c r="P29" s="1">
        <f>SUM(OSRRefP22_1x_0)</f>
        <v>127643.68999999999</v>
      </c>
      <c r="Q29" s="1"/>
      <c r="R29" s="5">
        <f t="shared" ref="R29:R34" si="12">IF(P$12=0,0,P29/P$12)</f>
        <v>0</v>
      </c>
      <c r="S29" s="1"/>
      <c r="T29" s="1">
        <f>SUM(OSRRefT22_1x_0)</f>
        <v>144615.60999999999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-16971.919999999998</v>
      </c>
      <c r="Y29" s="1"/>
      <c r="Z29" s="5">
        <f t="shared" ref="Z29:Z34" si="15">IF(T29=0,0,X29/T29)</f>
        <v>-0.11735883837159765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6">
        <v>8117.84</v>
      </c>
      <c r="E30" s="2"/>
      <c r="F30" s="7">
        <f t="shared" si="8"/>
        <v>0</v>
      </c>
      <c r="G30" s="2"/>
      <c r="H30" s="6">
        <v>6868.82</v>
      </c>
      <c r="I30" s="2"/>
      <c r="J30" s="7">
        <f t="shared" si="9"/>
        <v>0</v>
      </c>
      <c r="K30" s="2"/>
      <c r="L30" s="6">
        <f t="shared" si="10"/>
        <v>1249.0200000000004</v>
      </c>
      <c r="M30" s="2"/>
      <c r="N30" s="7">
        <f t="shared" si="11"/>
        <v>0.18183909317757643</v>
      </c>
      <c r="O30" s="11"/>
      <c r="P30" s="6">
        <v>25614.52</v>
      </c>
      <c r="Q30" s="2"/>
      <c r="R30" s="7">
        <f t="shared" si="12"/>
        <v>0</v>
      </c>
      <c r="S30" s="2"/>
      <c r="T30" s="6">
        <v>23366.54</v>
      </c>
      <c r="U30" s="2"/>
      <c r="V30" s="7">
        <f t="shared" si="13"/>
        <v>0</v>
      </c>
      <c r="W30" s="2"/>
      <c r="X30" s="6">
        <f t="shared" si="14"/>
        <v>2247.9799999999996</v>
      </c>
      <c r="Y30" s="2"/>
      <c r="Z30" s="7">
        <f t="shared" si="15"/>
        <v>9.6205086418442762E-2</v>
      </c>
    </row>
    <row r="31" spans="1:26" s="24" customFormat="1" hidden="1" outlineLevel="2" x14ac:dyDescent="0.25">
      <c r="A31" s="28"/>
      <c r="B31" s="11" t="str">
        <f>CONCATENATE("          ", "6005", " - ", "TEMPORARY WAGES-HOURLY")</f>
        <v xml:space="preserve">          6005 - TEMPORARY WAGES-HOURLY</v>
      </c>
      <c r="C31" s="11"/>
      <c r="D31" s="6">
        <v>2292.7399999999998</v>
      </c>
      <c r="E31" s="2"/>
      <c r="F31" s="7">
        <f t="shared" si="8"/>
        <v>0</v>
      </c>
      <c r="G31" s="2"/>
      <c r="H31" s="6">
        <v>4420.7700000000004</v>
      </c>
      <c r="I31" s="2"/>
      <c r="J31" s="7">
        <f t="shared" si="9"/>
        <v>0</v>
      </c>
      <c r="K31" s="2"/>
      <c r="L31" s="6">
        <f t="shared" si="10"/>
        <v>-2128.0300000000007</v>
      </c>
      <c r="M31" s="2"/>
      <c r="N31" s="7">
        <f t="shared" si="11"/>
        <v>-0.48137089240109765</v>
      </c>
      <c r="O31" s="11"/>
      <c r="P31" s="6">
        <v>7519.68</v>
      </c>
      <c r="Q31" s="2"/>
      <c r="R31" s="7">
        <f t="shared" si="12"/>
        <v>0</v>
      </c>
      <c r="S31" s="2"/>
      <c r="T31" s="6">
        <v>10592.67</v>
      </c>
      <c r="U31" s="2"/>
      <c r="V31" s="7">
        <f t="shared" si="13"/>
        <v>0</v>
      </c>
      <c r="W31" s="2"/>
      <c r="X31" s="6">
        <f t="shared" si="14"/>
        <v>-3072.99</v>
      </c>
      <c r="Y31" s="2"/>
      <c r="Z31" s="7">
        <f t="shared" si="15"/>
        <v>-0.29010532755197693</v>
      </c>
    </row>
    <row r="32" spans="1:26" s="24" customFormat="1" hidden="1" outlineLevel="2" x14ac:dyDescent="0.25">
      <c r="A32" s="28"/>
      <c r="B32" s="11" t="str">
        <f>CONCATENATE("          ", "6006", " - ", "TEMPORARY PART TIME")</f>
        <v xml:space="preserve">          6006 - TEMPORARY PART TIME</v>
      </c>
      <c r="C32" s="11"/>
      <c r="D32" s="6">
        <v>2833.5</v>
      </c>
      <c r="E32" s="2"/>
      <c r="F32" s="7">
        <f t="shared" si="8"/>
        <v>0</v>
      </c>
      <c r="G32" s="2"/>
      <c r="H32" s="6">
        <v>5675.95</v>
      </c>
      <c r="I32" s="2"/>
      <c r="J32" s="7">
        <f t="shared" si="9"/>
        <v>0</v>
      </c>
      <c r="K32" s="2"/>
      <c r="L32" s="6">
        <f t="shared" si="10"/>
        <v>-2842.45</v>
      </c>
      <c r="M32" s="2"/>
      <c r="N32" s="7">
        <f t="shared" si="11"/>
        <v>-0.50078841427426246</v>
      </c>
      <c r="O32" s="11"/>
      <c r="P32" s="6">
        <v>7297.5</v>
      </c>
      <c r="Q32" s="2"/>
      <c r="R32" s="7">
        <f t="shared" si="12"/>
        <v>0</v>
      </c>
      <c r="S32" s="2"/>
      <c r="T32" s="6">
        <v>14138.89</v>
      </c>
      <c r="U32" s="2"/>
      <c r="V32" s="7">
        <f t="shared" si="13"/>
        <v>0</v>
      </c>
      <c r="W32" s="2"/>
      <c r="X32" s="6">
        <f t="shared" si="14"/>
        <v>-6841.3899999999994</v>
      </c>
      <c r="Y32" s="2"/>
      <c r="Z32" s="7">
        <f t="shared" si="15"/>
        <v>-0.48387037454849707</v>
      </c>
    </row>
    <row r="33" spans="1:26" s="24" customFormat="1" hidden="1" outlineLevel="2" x14ac:dyDescent="0.25">
      <c r="A33" s="28"/>
      <c r="B33" s="11" t="str">
        <f>CONCATENATE("          ", "6007", " - ", "STUDENT HOURLY")</f>
        <v xml:space="preserve">          6007 - STUDENT HOURLY</v>
      </c>
      <c r="C33" s="11"/>
      <c r="D33" s="6">
        <v>17764.230000000003</v>
      </c>
      <c r="E33" s="2"/>
      <c r="F33" s="7">
        <f t="shared" si="8"/>
        <v>0</v>
      </c>
      <c r="G33" s="2"/>
      <c r="H33" s="6">
        <v>14635.1</v>
      </c>
      <c r="I33" s="2"/>
      <c r="J33" s="7">
        <f t="shared" si="9"/>
        <v>0</v>
      </c>
      <c r="K33" s="2"/>
      <c r="L33" s="6">
        <f t="shared" si="10"/>
        <v>3129.1300000000028</v>
      </c>
      <c r="M33" s="2"/>
      <c r="N33" s="7">
        <f t="shared" si="11"/>
        <v>0.21380995005158848</v>
      </c>
      <c r="O33" s="11"/>
      <c r="P33" s="6">
        <v>84334.989999999991</v>
      </c>
      <c r="Q33" s="2"/>
      <c r="R33" s="7">
        <f t="shared" si="12"/>
        <v>0</v>
      </c>
      <c r="S33" s="2"/>
      <c r="T33" s="6">
        <v>89298.76</v>
      </c>
      <c r="U33" s="2"/>
      <c r="V33" s="7">
        <f t="shared" si="13"/>
        <v>0</v>
      </c>
      <c r="W33" s="2"/>
      <c r="X33" s="6">
        <f t="shared" si="14"/>
        <v>-4963.7700000000041</v>
      </c>
      <c r="Y33" s="2"/>
      <c r="Z33" s="7">
        <f t="shared" si="15"/>
        <v>-5.5586102203434899E-2</v>
      </c>
    </row>
    <row r="34" spans="1:26" s="24" customFormat="1" hidden="1" outlineLevel="2" x14ac:dyDescent="0.25">
      <c r="A34" s="28"/>
      <c r="B34" s="11" t="str">
        <f>CONCATENATE("          ", "6008", " - ", "STUDENT HOURLY-FICA EXEMPT")</f>
        <v xml:space="preserve">          6008 - STUDENT HOURLY-FICA EXEMPT</v>
      </c>
      <c r="C34" s="11"/>
      <c r="D34" s="6">
        <v>1413</v>
      </c>
      <c r="E34" s="2"/>
      <c r="F34" s="7">
        <f t="shared" si="8"/>
        <v>0</v>
      </c>
      <c r="G34" s="2"/>
      <c r="H34" s="6">
        <v>2659.25</v>
      </c>
      <c r="I34" s="2"/>
      <c r="J34" s="7">
        <f t="shared" si="9"/>
        <v>0</v>
      </c>
      <c r="K34" s="2"/>
      <c r="L34" s="6">
        <f t="shared" si="10"/>
        <v>-1246.25</v>
      </c>
      <c r="M34" s="2"/>
      <c r="N34" s="7">
        <f t="shared" si="11"/>
        <v>-0.46864717495534453</v>
      </c>
      <c r="O34" s="11"/>
      <c r="P34" s="6">
        <v>2877</v>
      </c>
      <c r="Q34" s="2"/>
      <c r="R34" s="7">
        <f t="shared" si="12"/>
        <v>0</v>
      </c>
      <c r="S34" s="2"/>
      <c r="T34" s="6">
        <v>7218.75</v>
      </c>
      <c r="U34" s="2"/>
      <c r="V34" s="7">
        <f t="shared" si="13"/>
        <v>0</v>
      </c>
      <c r="W34" s="2"/>
      <c r="X34" s="6">
        <f t="shared" si="14"/>
        <v>-4341.75</v>
      </c>
      <c r="Y34" s="2"/>
      <c r="Z34" s="7">
        <f t="shared" si="15"/>
        <v>-0.60145454545454546</v>
      </c>
    </row>
    <row r="35" spans="1:26" s="29" customFormat="1" outlineLevel="1" collapsed="1" x14ac:dyDescent="0.25">
      <c r="A35" s="27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0</v>
      </c>
      <c r="E35" s="1"/>
      <c r="F35" s="5">
        <f t="shared" ref="F35:F46" si="16">IF(D$12=0,0,D35/D$12)</f>
        <v>0</v>
      </c>
      <c r="G35" s="1"/>
      <c r="H35" s="1">
        <f>SUM(OSRRefH22_2x_0)</f>
        <v>0</v>
      </c>
      <c r="I35" s="1"/>
      <c r="J35" s="5">
        <f t="shared" ref="J35:J46" si="17">IF(H$12=0,0,H35/H$12)</f>
        <v>0</v>
      </c>
      <c r="K35" s="1"/>
      <c r="L35" s="1">
        <f t="shared" ref="L35:L46" si="18">+D35-H35</f>
        <v>0</v>
      </c>
      <c r="M35" s="1"/>
      <c r="N35" s="5">
        <f t="shared" ref="N35:N46" si="19">IF(H35=0,0,L35/H35)</f>
        <v>0</v>
      </c>
      <c r="O35" s="14"/>
      <c r="P35" s="1">
        <f>SUM(OSRRefP22_2x_0)</f>
        <v>138</v>
      </c>
      <c r="Q35" s="1"/>
      <c r="R35" s="5">
        <f t="shared" ref="R35:R46" si="20">IF(P$12=0,0,P35/P$12)</f>
        <v>0</v>
      </c>
      <c r="S35" s="1"/>
      <c r="T35" s="1">
        <f>SUM(OSRRefT22_2x_0)</f>
        <v>402</v>
      </c>
      <c r="U35" s="1"/>
      <c r="V35" s="5">
        <f t="shared" ref="V35:V46" si="21">IF(T$12=0,0,T35/T$12)</f>
        <v>0</v>
      </c>
      <c r="W35" s="1"/>
      <c r="X35" s="1">
        <f t="shared" ref="X35:X46" si="22">+P35-T35</f>
        <v>-264</v>
      </c>
      <c r="Y35" s="1"/>
      <c r="Z35" s="5">
        <f t="shared" ref="Z35:Z46" si="23">IF(T35=0,0,X35/T35)</f>
        <v>-0.65671641791044777</v>
      </c>
    </row>
    <row r="36" spans="1:26" s="24" customFormat="1" hidden="1" outlineLevel="2" x14ac:dyDescent="0.25">
      <c r="A36" s="28"/>
      <c r="B36" s="11" t="str">
        <f>CONCATENATE("          ", "6362", " - ", "ADVERTISING EXPENSE")</f>
        <v xml:space="preserve">          6362 - ADVERTISING EXPENSE</v>
      </c>
      <c r="C36" s="11"/>
      <c r="D36" s="6"/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138</v>
      </c>
      <c r="Q36" s="2"/>
      <c r="R36" s="7">
        <f t="shared" si="20"/>
        <v>0</v>
      </c>
      <c r="S36" s="2"/>
      <c r="T36" s="6">
        <v>402</v>
      </c>
      <c r="U36" s="2"/>
      <c r="V36" s="7">
        <f t="shared" si="21"/>
        <v>0</v>
      </c>
      <c r="W36" s="2"/>
      <c r="X36" s="6">
        <f t="shared" si="22"/>
        <v>-264</v>
      </c>
      <c r="Y36" s="2"/>
      <c r="Z36" s="7">
        <f t="shared" si="23"/>
        <v>-0.65671641791044777</v>
      </c>
    </row>
    <row r="37" spans="1:26" s="29" customFormat="1" outlineLevel="1" collapsed="1" x14ac:dyDescent="0.25">
      <c r="A37" s="27"/>
      <c r="B37" s="14" t="str">
        <f>CONCATENATE("     ","Employees' Appreciation                           ")</f>
        <v xml:space="preserve">     Employees' Appreciation                           </v>
      </c>
      <c r="C37" s="14"/>
      <c r="D37" s="1">
        <f>SUM(OSRRefD22_3x_0)</f>
        <v>0</v>
      </c>
      <c r="E37" s="1"/>
      <c r="F37" s="5">
        <f t="shared" si="16"/>
        <v>0</v>
      </c>
      <c r="G37" s="1"/>
      <c r="H37" s="1">
        <f>SUM(OSRRefH22_3x_0)</f>
        <v>19.07</v>
      </c>
      <c r="I37" s="1"/>
      <c r="J37" s="5">
        <f t="shared" si="17"/>
        <v>0</v>
      </c>
      <c r="K37" s="1"/>
      <c r="L37" s="1">
        <f t="shared" si="18"/>
        <v>-19.07</v>
      </c>
      <c r="M37" s="1"/>
      <c r="N37" s="5">
        <f t="shared" si="19"/>
        <v>-1</v>
      </c>
      <c r="O37" s="14"/>
      <c r="P37" s="1">
        <f>SUM(OSRRefP22_3x_0)</f>
        <v>0</v>
      </c>
      <c r="Q37" s="1"/>
      <c r="R37" s="5">
        <f t="shared" si="20"/>
        <v>0</v>
      </c>
      <c r="S37" s="1"/>
      <c r="T37" s="1">
        <f>SUM(OSRRefT22_3x_0)</f>
        <v>19.07</v>
      </c>
      <c r="U37" s="1"/>
      <c r="V37" s="5">
        <f t="shared" si="21"/>
        <v>0</v>
      </c>
      <c r="W37" s="1"/>
      <c r="X37" s="1">
        <f t="shared" si="22"/>
        <v>-19.07</v>
      </c>
      <c r="Y37" s="1"/>
      <c r="Z37" s="5">
        <f t="shared" si="23"/>
        <v>-1</v>
      </c>
    </row>
    <row r="38" spans="1:26" s="24" customFormat="1" hidden="1" outlineLevel="2" x14ac:dyDescent="0.25">
      <c r="A38" s="28"/>
      <c r="B38" s="11" t="str">
        <f>CONCATENATE("          ", "6277", " - ", "EMPLOYEE APPRECIATION")</f>
        <v xml:space="preserve">          6277 - EMPLOYEE APPRECIATION</v>
      </c>
      <c r="C38" s="11"/>
      <c r="D38" s="6"/>
      <c r="E38" s="2"/>
      <c r="F38" s="7">
        <f t="shared" si="16"/>
        <v>0</v>
      </c>
      <c r="G38" s="2"/>
      <c r="H38" s="6">
        <v>19.07</v>
      </c>
      <c r="I38" s="2"/>
      <c r="J38" s="7">
        <f t="shared" si="17"/>
        <v>0</v>
      </c>
      <c r="K38" s="2"/>
      <c r="L38" s="6">
        <f t="shared" si="18"/>
        <v>-19.07</v>
      </c>
      <c r="M38" s="2"/>
      <c r="N38" s="7">
        <f t="shared" si="19"/>
        <v>-1</v>
      </c>
      <c r="O38" s="11"/>
      <c r="P38" s="6"/>
      <c r="Q38" s="2"/>
      <c r="R38" s="7">
        <f t="shared" si="20"/>
        <v>0</v>
      </c>
      <c r="S38" s="2"/>
      <c r="T38" s="6">
        <v>19.07</v>
      </c>
      <c r="U38" s="2"/>
      <c r="V38" s="7">
        <f t="shared" si="21"/>
        <v>0</v>
      </c>
      <c r="W38" s="2"/>
      <c r="X38" s="6">
        <f t="shared" si="22"/>
        <v>-19.07</v>
      </c>
      <c r="Y38" s="2"/>
      <c r="Z38" s="7">
        <f t="shared" si="23"/>
        <v>-1</v>
      </c>
    </row>
    <row r="39" spans="1:26" s="29" customFormat="1" outlineLevel="1" collapsed="1" x14ac:dyDescent="0.25">
      <c r="A39" s="27"/>
      <c r="B39" s="14" t="str">
        <f>CONCATENATE("     ","Equipment Rental                                  ")</f>
        <v xml:space="preserve">     Equipment Rental                                  </v>
      </c>
      <c r="C39" s="14"/>
      <c r="D39" s="1">
        <f>SUM(OSRRefD22_4x_0)</f>
        <v>0</v>
      </c>
      <c r="E39" s="1"/>
      <c r="F39" s="5">
        <f t="shared" si="16"/>
        <v>0</v>
      </c>
      <c r="G39" s="1"/>
      <c r="H39" s="1">
        <f>SUM(OSRRefH22_4x_0)</f>
        <v>166.24</v>
      </c>
      <c r="I39" s="1"/>
      <c r="J39" s="5">
        <f t="shared" si="17"/>
        <v>0</v>
      </c>
      <c r="K39" s="1"/>
      <c r="L39" s="1">
        <f t="shared" si="18"/>
        <v>-166.24</v>
      </c>
      <c r="M39" s="1"/>
      <c r="N39" s="5">
        <f t="shared" si="19"/>
        <v>-1</v>
      </c>
      <c r="O39" s="14"/>
      <c r="P39" s="1">
        <f>SUM(OSRRefP22_4x_0)</f>
        <v>0</v>
      </c>
      <c r="Q39" s="1"/>
      <c r="R39" s="5">
        <f t="shared" si="20"/>
        <v>0</v>
      </c>
      <c r="S39" s="1"/>
      <c r="T39" s="1">
        <f>SUM(OSRRefT22_4x_0)</f>
        <v>498.72</v>
      </c>
      <c r="U39" s="1"/>
      <c r="V39" s="5">
        <f t="shared" si="21"/>
        <v>0</v>
      </c>
      <c r="W39" s="1"/>
      <c r="X39" s="1">
        <f t="shared" si="22"/>
        <v>-498.72</v>
      </c>
      <c r="Y39" s="1"/>
      <c r="Z39" s="5">
        <f t="shared" si="23"/>
        <v>-1</v>
      </c>
    </row>
    <row r="40" spans="1:26" s="24" customFormat="1" hidden="1" outlineLevel="2" x14ac:dyDescent="0.25">
      <c r="A40" s="28"/>
      <c r="B40" s="11" t="str">
        <f>CONCATENATE("          ", "6351", " - ", "EQUIPMENT RENTAL")</f>
        <v xml:space="preserve">          6351 - EQUIPMENT RENTAL</v>
      </c>
      <c r="C40" s="11"/>
      <c r="D40" s="6"/>
      <c r="E40" s="2"/>
      <c r="F40" s="7">
        <f t="shared" si="16"/>
        <v>0</v>
      </c>
      <c r="G40" s="2"/>
      <c r="H40" s="6">
        <v>166.24</v>
      </c>
      <c r="I40" s="2"/>
      <c r="J40" s="7">
        <f t="shared" si="17"/>
        <v>0</v>
      </c>
      <c r="K40" s="2"/>
      <c r="L40" s="6">
        <f t="shared" si="18"/>
        <v>-166.24</v>
      </c>
      <c r="M40" s="2"/>
      <c r="N40" s="7">
        <f t="shared" si="19"/>
        <v>-1</v>
      </c>
      <c r="O40" s="11"/>
      <c r="P40" s="6"/>
      <c r="Q40" s="2"/>
      <c r="R40" s="7">
        <f t="shared" si="20"/>
        <v>0</v>
      </c>
      <c r="S40" s="2"/>
      <c r="T40" s="6">
        <v>498.72</v>
      </c>
      <c r="U40" s="2"/>
      <c r="V40" s="7">
        <f t="shared" si="21"/>
        <v>0</v>
      </c>
      <c r="W40" s="2"/>
      <c r="X40" s="6">
        <f t="shared" si="22"/>
        <v>-498.72</v>
      </c>
      <c r="Y40" s="2"/>
      <c r="Z40" s="7">
        <f t="shared" si="23"/>
        <v>-1</v>
      </c>
    </row>
    <row r="41" spans="1:26" s="29" customFormat="1" outlineLevel="1" collapsed="1" x14ac:dyDescent="0.25">
      <c r="A41" s="27"/>
      <c r="B41" s="14" t="str">
        <f>CONCATENATE("     ","Repair and Maintenance                            ")</f>
        <v xml:space="preserve">     Repair and Maintenance                            </v>
      </c>
      <c r="C41" s="14"/>
      <c r="D41" s="1">
        <f>SUM(OSRRefD22_5x_0)</f>
        <v>14.56</v>
      </c>
      <c r="E41" s="1"/>
      <c r="F41" s="5">
        <f t="shared" si="16"/>
        <v>0</v>
      </c>
      <c r="G41" s="1"/>
      <c r="H41" s="1">
        <f>SUM(OSRRefH22_5x_0)</f>
        <v>102.31</v>
      </c>
      <c r="I41" s="1"/>
      <c r="J41" s="5">
        <f t="shared" si="17"/>
        <v>0</v>
      </c>
      <c r="K41" s="1"/>
      <c r="L41" s="1">
        <f t="shared" si="18"/>
        <v>-87.75</v>
      </c>
      <c r="M41" s="1"/>
      <c r="N41" s="5">
        <f t="shared" si="19"/>
        <v>-0.85768742058449809</v>
      </c>
      <c r="O41" s="14"/>
      <c r="P41" s="1">
        <f>SUM(OSRRefP22_5x_0)</f>
        <v>14.56</v>
      </c>
      <c r="Q41" s="1"/>
      <c r="R41" s="5">
        <f t="shared" si="20"/>
        <v>0</v>
      </c>
      <c r="S41" s="1"/>
      <c r="T41" s="1">
        <f>SUM(OSRRefT22_5x_0)</f>
        <v>160.41</v>
      </c>
      <c r="U41" s="1"/>
      <c r="V41" s="5">
        <f t="shared" si="21"/>
        <v>0</v>
      </c>
      <c r="W41" s="1"/>
      <c r="X41" s="1">
        <f t="shared" si="22"/>
        <v>-145.85</v>
      </c>
      <c r="Y41" s="1"/>
      <c r="Z41" s="5">
        <f t="shared" si="23"/>
        <v>-0.90923259148432145</v>
      </c>
    </row>
    <row r="42" spans="1:26" s="24" customFormat="1" hidden="1" outlineLevel="2" x14ac:dyDescent="0.25">
      <c r="A42" s="28"/>
      <c r="B42" s="11" t="str">
        <f>CONCATENATE("          ", "6373", " - ", "MAINTENANCE CONTRACTS")</f>
        <v xml:space="preserve">          6373 - MAINTENANCE CONTRACTS</v>
      </c>
      <c r="C42" s="11"/>
      <c r="D42" s="6">
        <v>14.56</v>
      </c>
      <c r="E42" s="2"/>
      <c r="F42" s="7">
        <f t="shared" si="16"/>
        <v>0</v>
      </c>
      <c r="G42" s="2"/>
      <c r="H42" s="6">
        <v>102.31</v>
      </c>
      <c r="I42" s="2"/>
      <c r="J42" s="7">
        <f t="shared" si="17"/>
        <v>0</v>
      </c>
      <c r="K42" s="2"/>
      <c r="L42" s="6">
        <f t="shared" si="18"/>
        <v>-87.75</v>
      </c>
      <c r="M42" s="2"/>
      <c r="N42" s="7">
        <f t="shared" si="19"/>
        <v>-0.85768742058449809</v>
      </c>
      <c r="O42" s="11"/>
      <c r="P42" s="6">
        <v>14.56</v>
      </c>
      <c r="Q42" s="2"/>
      <c r="R42" s="7">
        <f t="shared" si="20"/>
        <v>0</v>
      </c>
      <c r="S42" s="2"/>
      <c r="T42" s="6">
        <v>160.41</v>
      </c>
      <c r="U42" s="2"/>
      <c r="V42" s="7">
        <f t="shared" si="21"/>
        <v>0</v>
      </c>
      <c r="W42" s="2"/>
      <c r="X42" s="6">
        <f t="shared" si="22"/>
        <v>-145.85</v>
      </c>
      <c r="Y42" s="2"/>
      <c r="Z42" s="7">
        <f t="shared" si="23"/>
        <v>-0.90923259148432145</v>
      </c>
    </row>
    <row r="43" spans="1:26" s="29" customFormat="1" outlineLevel="1" collapsed="1" x14ac:dyDescent="0.25">
      <c r="A43" s="27"/>
      <c r="B43" s="14" t="str">
        <f>CONCATENATE("     ","Supplies                                          ")</f>
        <v xml:space="preserve">     Supplies                                          </v>
      </c>
      <c r="C43" s="14"/>
      <c r="D43" s="1">
        <f>SUM(OSRRefD22_6x_0)</f>
        <v>161.44999999999999</v>
      </c>
      <c r="E43" s="1"/>
      <c r="F43" s="5">
        <f t="shared" si="16"/>
        <v>0</v>
      </c>
      <c r="G43" s="1"/>
      <c r="H43" s="1">
        <f>SUM(OSRRefH22_6x_0)</f>
        <v>8.42</v>
      </c>
      <c r="I43" s="1"/>
      <c r="J43" s="5">
        <f t="shared" si="17"/>
        <v>0</v>
      </c>
      <c r="K43" s="1"/>
      <c r="L43" s="1">
        <f t="shared" si="18"/>
        <v>153.03</v>
      </c>
      <c r="M43" s="1"/>
      <c r="N43" s="5">
        <f t="shared" si="19"/>
        <v>18.174584323040381</v>
      </c>
      <c r="O43" s="14"/>
      <c r="P43" s="1">
        <f>SUM(OSRRefP22_6x_0)</f>
        <v>296.48</v>
      </c>
      <c r="Q43" s="1"/>
      <c r="R43" s="5">
        <f t="shared" si="20"/>
        <v>0</v>
      </c>
      <c r="S43" s="1"/>
      <c r="T43" s="1">
        <f>SUM(OSRRefT22_6x_0)</f>
        <v>1809.0900000000001</v>
      </c>
      <c r="U43" s="1"/>
      <c r="V43" s="5">
        <f t="shared" si="21"/>
        <v>0</v>
      </c>
      <c r="W43" s="1"/>
      <c r="X43" s="1">
        <f t="shared" si="22"/>
        <v>-1512.6100000000001</v>
      </c>
      <c r="Y43" s="1"/>
      <c r="Z43" s="5">
        <f t="shared" si="23"/>
        <v>-0.83611650056105558</v>
      </c>
    </row>
    <row r="44" spans="1:26" s="24" customFormat="1" hidden="1" outlineLevel="2" x14ac:dyDescent="0.25">
      <c r="A44" s="28"/>
      <c r="B44" s="11" t="str">
        <f>CONCATENATE("          ", "6241", " - ", "OFFICE EXPENSE")</f>
        <v xml:space="preserve">          6241 - OFFICE EXPENSE</v>
      </c>
      <c r="C44" s="11"/>
      <c r="D44" s="6">
        <v>8.81</v>
      </c>
      <c r="E44" s="2"/>
      <c r="F44" s="7">
        <f t="shared" si="16"/>
        <v>0</v>
      </c>
      <c r="G44" s="2"/>
      <c r="H44" s="6">
        <v>8.42</v>
      </c>
      <c r="I44" s="2"/>
      <c r="J44" s="7">
        <f t="shared" si="17"/>
        <v>0</v>
      </c>
      <c r="K44" s="2"/>
      <c r="L44" s="6">
        <f t="shared" si="18"/>
        <v>0.39000000000000057</v>
      </c>
      <c r="M44" s="2"/>
      <c r="N44" s="7">
        <f t="shared" si="19"/>
        <v>4.6318289786223349E-2</v>
      </c>
      <c r="O44" s="11"/>
      <c r="P44" s="6">
        <v>143.84</v>
      </c>
      <c r="Q44" s="2"/>
      <c r="R44" s="7">
        <f t="shared" si="20"/>
        <v>0</v>
      </c>
      <c r="S44" s="2"/>
      <c r="T44" s="6">
        <v>1020.08</v>
      </c>
      <c r="U44" s="2"/>
      <c r="V44" s="7">
        <f t="shared" si="21"/>
        <v>0</v>
      </c>
      <c r="W44" s="2"/>
      <c r="X44" s="6">
        <f t="shared" si="22"/>
        <v>-876.24</v>
      </c>
      <c r="Y44" s="2"/>
      <c r="Z44" s="7">
        <f t="shared" si="23"/>
        <v>-0.85899145165085089</v>
      </c>
    </row>
    <row r="45" spans="1:26" s="24" customFormat="1" hidden="1" outlineLevel="2" x14ac:dyDescent="0.25">
      <c r="A45" s="28"/>
      <c r="B45" s="11" t="str">
        <f>CONCATENATE("          ", "6245", " - ", "PRINTING")</f>
        <v xml:space="preserve">          6245 - PRINTING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3.09</v>
      </c>
      <c r="U45" s="2"/>
      <c r="V45" s="7">
        <f t="shared" si="21"/>
        <v>0</v>
      </c>
      <c r="W45" s="2"/>
      <c r="X45" s="6">
        <f t="shared" si="22"/>
        <v>-3.09</v>
      </c>
      <c r="Y45" s="2"/>
      <c r="Z45" s="7">
        <f t="shared" si="23"/>
        <v>-1</v>
      </c>
    </row>
    <row r="46" spans="1:26" s="24" customFormat="1" hidden="1" outlineLevel="2" x14ac:dyDescent="0.25">
      <c r="A46" s="28"/>
      <c r="B46" s="11" t="str">
        <f>CONCATENATE("          ", "6247", " - ", "STORE SUPPLIES")</f>
        <v xml:space="preserve">          6247 - STORE SUPPLIES</v>
      </c>
      <c r="C46" s="11"/>
      <c r="D46" s="6">
        <v>152.63999999999999</v>
      </c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152.63999999999999</v>
      </c>
      <c r="M46" s="2"/>
      <c r="N46" s="7">
        <f t="shared" si="19"/>
        <v>0</v>
      </c>
      <c r="O46" s="11"/>
      <c r="P46" s="6">
        <v>152.63999999999999</v>
      </c>
      <c r="Q46" s="2"/>
      <c r="R46" s="7">
        <f t="shared" si="20"/>
        <v>0</v>
      </c>
      <c r="S46" s="2"/>
      <c r="T46" s="6">
        <v>785.92</v>
      </c>
      <c r="U46" s="2"/>
      <c r="V46" s="7">
        <f t="shared" si="21"/>
        <v>0</v>
      </c>
      <c r="W46" s="2"/>
      <c r="X46" s="6">
        <f t="shared" si="22"/>
        <v>-633.28</v>
      </c>
      <c r="Y46" s="2"/>
      <c r="Z46" s="7">
        <f t="shared" si="23"/>
        <v>-0.80578175895765469</v>
      </c>
    </row>
    <row r="47" spans="1:26" s="29" customFormat="1" outlineLevel="1" collapsed="1" x14ac:dyDescent="0.25">
      <c r="A47" s="27"/>
      <c r="B47" s="14" t="str">
        <f>CONCATENATE("     ","Telephone/Data Lines                              ")</f>
        <v xml:space="preserve">     Telephone/Data Lines                              </v>
      </c>
      <c r="C47" s="14"/>
      <c r="D47" s="1">
        <f>SUM(OSRRefD22_7x_0)</f>
        <v>215</v>
      </c>
      <c r="E47" s="1"/>
      <c r="F47" s="5">
        <f t="shared" ref="F47:F50" si="24">IF(D$12=0,0,D47/D$12)</f>
        <v>0</v>
      </c>
      <c r="G47" s="1"/>
      <c r="H47" s="1">
        <f>SUM(OSRRefH22_7x_0)</f>
        <v>217</v>
      </c>
      <c r="I47" s="1"/>
      <c r="J47" s="5">
        <f t="shared" ref="J47:J50" si="25">IF(H$12=0,0,H47/H$12)</f>
        <v>0</v>
      </c>
      <c r="K47" s="1"/>
      <c r="L47" s="1">
        <f t="shared" ref="L47:L50" si="26">+D47-H47</f>
        <v>-2</v>
      </c>
      <c r="M47" s="1"/>
      <c r="N47" s="5">
        <f t="shared" ref="N47:N50" si="27">IF(H47=0,0,L47/H47)</f>
        <v>-9.2165898617511521E-3</v>
      </c>
      <c r="O47" s="14"/>
      <c r="P47" s="1">
        <f>SUM(OSRRefP22_7x_0)</f>
        <v>442.85</v>
      </c>
      <c r="Q47" s="1"/>
      <c r="R47" s="5">
        <f t="shared" ref="R47:R50" si="28">IF(P$12=0,0,P47/P$12)</f>
        <v>0</v>
      </c>
      <c r="S47" s="1"/>
      <c r="T47" s="1">
        <f>SUM(OSRRefT22_7x_0)</f>
        <v>432.1</v>
      </c>
      <c r="U47" s="1"/>
      <c r="V47" s="5">
        <f t="shared" ref="V47:V50" si="29">IF(T$12=0,0,T47/T$12)</f>
        <v>0</v>
      </c>
      <c r="W47" s="1"/>
      <c r="X47" s="1">
        <f t="shared" ref="X47:X50" si="30">+P47-T47</f>
        <v>10.75</v>
      </c>
      <c r="Y47" s="1"/>
      <c r="Z47" s="5">
        <f t="shared" ref="Z47:Z50" si="31">IF(T47=0,0,X47/T47)</f>
        <v>2.4878500347141865E-2</v>
      </c>
    </row>
    <row r="48" spans="1:26" s="24" customFormat="1" hidden="1" outlineLevel="2" x14ac:dyDescent="0.25">
      <c r="A48" s="28"/>
      <c r="B48" s="11" t="str">
        <f>CONCATENATE("          ", "6309", " - ", "TELEPHONE")</f>
        <v xml:space="preserve">          6309 - TELEPHONE</v>
      </c>
      <c r="C48" s="11"/>
      <c r="D48" s="6">
        <v>215</v>
      </c>
      <c r="E48" s="2"/>
      <c r="F48" s="7">
        <f t="shared" si="24"/>
        <v>0</v>
      </c>
      <c r="G48" s="2"/>
      <c r="H48" s="6">
        <v>217</v>
      </c>
      <c r="I48" s="2"/>
      <c r="J48" s="7">
        <f t="shared" si="25"/>
        <v>0</v>
      </c>
      <c r="K48" s="2"/>
      <c r="L48" s="6">
        <f t="shared" si="26"/>
        <v>-2</v>
      </c>
      <c r="M48" s="2"/>
      <c r="N48" s="7">
        <f t="shared" si="27"/>
        <v>-9.2165898617511521E-3</v>
      </c>
      <c r="O48" s="11"/>
      <c r="P48" s="6">
        <v>442.85</v>
      </c>
      <c r="Q48" s="2"/>
      <c r="R48" s="7">
        <f t="shared" si="28"/>
        <v>0</v>
      </c>
      <c r="S48" s="2"/>
      <c r="T48" s="6">
        <v>432.1</v>
      </c>
      <c r="U48" s="2"/>
      <c r="V48" s="7">
        <f t="shared" si="29"/>
        <v>0</v>
      </c>
      <c r="W48" s="2"/>
      <c r="X48" s="6">
        <f t="shared" si="30"/>
        <v>10.75</v>
      </c>
      <c r="Y48" s="2"/>
      <c r="Z48" s="7">
        <f t="shared" si="31"/>
        <v>2.4878500347141865E-2</v>
      </c>
    </row>
    <row r="49" spans="1:26" s="29" customFormat="1" outlineLevel="1" collapsed="1" x14ac:dyDescent="0.25">
      <c r="A49" s="27"/>
      <c r="B49" s="14" t="str">
        <f>CONCATENATE("     ","Training                                          ")</f>
        <v xml:space="preserve">     Training                                          </v>
      </c>
      <c r="C49" s="14"/>
      <c r="D49" s="1">
        <f>SUM(OSRRefD22_8x_0)</f>
        <v>0</v>
      </c>
      <c r="E49" s="1"/>
      <c r="F49" s="5">
        <f t="shared" si="24"/>
        <v>0</v>
      </c>
      <c r="G49" s="1"/>
      <c r="H49" s="1">
        <f>SUM(OSRRefH22_8x_0)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4"/>
      <c r="P49" s="1">
        <f>SUM(OSRRefP22_8x_0)</f>
        <v>0</v>
      </c>
      <c r="Q49" s="1"/>
      <c r="R49" s="5">
        <f t="shared" si="28"/>
        <v>0</v>
      </c>
      <c r="S49" s="1"/>
      <c r="T49" s="1">
        <f>SUM(OSRRefT22_8x_0)</f>
        <v>395</v>
      </c>
      <c r="U49" s="1"/>
      <c r="V49" s="5">
        <f t="shared" si="29"/>
        <v>0</v>
      </c>
      <c r="W49" s="1"/>
      <c r="X49" s="1">
        <f t="shared" si="30"/>
        <v>-395</v>
      </c>
      <c r="Y49" s="1"/>
      <c r="Z49" s="5">
        <f t="shared" si="31"/>
        <v>-1</v>
      </c>
    </row>
    <row r="50" spans="1:26" s="24" customFormat="1" hidden="1" outlineLevel="2" x14ac:dyDescent="0.25">
      <c r="A50" s="28"/>
      <c r="B50" s="11" t="str">
        <f>CONCATENATE("          ", "6376", " - ", "TRAINING")</f>
        <v xml:space="preserve">          6376 - TRAINING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/>
      <c r="Q50" s="2"/>
      <c r="R50" s="7">
        <f t="shared" si="28"/>
        <v>0</v>
      </c>
      <c r="S50" s="2"/>
      <c r="T50" s="6">
        <v>395</v>
      </c>
      <c r="U50" s="2"/>
      <c r="V50" s="7">
        <f t="shared" si="29"/>
        <v>0</v>
      </c>
      <c r="W50" s="2"/>
      <c r="X50" s="6">
        <f t="shared" si="30"/>
        <v>-395</v>
      </c>
      <c r="Y50" s="2"/>
      <c r="Z50" s="7">
        <f t="shared" si="31"/>
        <v>-1</v>
      </c>
    </row>
    <row r="51" spans="1:26" s="53" customFormat="1" x14ac:dyDescent="0.25">
      <c r="A51" s="37"/>
      <c r="B51" s="37"/>
      <c r="C51" s="37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25">
      <c r="A52" s="10"/>
      <c r="B52" s="25" t="s">
        <v>0</v>
      </c>
      <c r="C52" s="10"/>
      <c r="D52" s="4">
        <f>SUM(0)</f>
        <v>0</v>
      </c>
      <c r="E52" s="4"/>
      <c r="F52" s="12">
        <f>IF(D$12=0,0,D52/D$12)</f>
        <v>0</v>
      </c>
      <c r="G52" s="4"/>
      <c r="H52" s="4">
        <f>SUM(0)</f>
        <v>0</v>
      </c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>
        <f>SUM(0)</f>
        <v>0</v>
      </c>
      <c r="Q52" s="4"/>
      <c r="R52" s="12">
        <f>IF(P$12=0,0,P52/P$12)</f>
        <v>0</v>
      </c>
      <c r="S52" s="4"/>
      <c r="T52" s="4">
        <f>SUM(0)</f>
        <v>0</v>
      </c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6" t="s">
        <v>3</v>
      </c>
      <c r="C54" s="26"/>
      <c r="D54" s="21">
        <f>+D16-D18+D52</f>
        <v>-38445.409999999996</v>
      </c>
      <c r="E54" s="13"/>
      <c r="F54" s="20">
        <f>IF(D$12=0,0,D54/D$12)</f>
        <v>0</v>
      </c>
      <c r="G54" s="13"/>
      <c r="H54" s="21">
        <f>+H16-H18+H52</f>
        <v>-40108.619999999995</v>
      </c>
      <c r="I54" s="13"/>
      <c r="J54" s="20">
        <f>IF(H$12=0,0,H54/H$12)</f>
        <v>0</v>
      </c>
      <c r="K54" s="15"/>
      <c r="L54" s="21">
        <f>+D54-H54</f>
        <v>1663.2099999999991</v>
      </c>
      <c r="M54" s="15"/>
      <c r="N54" s="20">
        <f>IF(H54=0,0,L54/H54)</f>
        <v>-4.1467644611058653E-2</v>
      </c>
      <c r="O54" s="25"/>
      <c r="P54" s="21">
        <f>+P16-P18+P52</f>
        <v>-149863.49000000002</v>
      </c>
      <c r="Q54" s="13"/>
      <c r="R54" s="20">
        <f>IF(P$12=0,0,P54/P$12)</f>
        <v>0</v>
      </c>
      <c r="S54" s="13"/>
      <c r="T54" s="21">
        <f>+T16-T18+T52</f>
        <v>-169836.39</v>
      </c>
      <c r="U54" s="13"/>
      <c r="V54" s="20">
        <f>IF(T$12=0,0,T54/T$12)</f>
        <v>0</v>
      </c>
      <c r="W54" s="15"/>
      <c r="X54" s="21">
        <f>+P54-T54</f>
        <v>19972.899999999994</v>
      </c>
      <c r="Y54" s="15"/>
      <c r="Z54" s="20">
        <f>IF(T54=0,0,X54/T54)</f>
        <v>-0.11760082747872816</v>
      </c>
    </row>
    <row r="55" spans="1:26" x14ac:dyDescent="0.2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51"/>
      <c r="B56" s="10" t="s">
        <v>13</v>
      </c>
      <c r="C56" s="10"/>
      <c r="D56" s="4"/>
      <c r="E56" s="4"/>
      <c r="F56" s="12">
        <f>IF(D$12=0,0,D56/D$12)</f>
        <v>0</v>
      </c>
      <c r="G56" s="4"/>
      <c r="H56" s="4"/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/>
      <c r="Q56" s="4"/>
      <c r="R56" s="12">
        <f>IF(P$12=0,0,P56/P$12)</f>
        <v>0</v>
      </c>
      <c r="S56" s="4"/>
      <c r="T56" s="4"/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6" t="s">
        <v>4</v>
      </c>
      <c r="C58" s="26"/>
      <c r="D58" s="35">
        <f>+D54-D56</f>
        <v>-38445.409999999996</v>
      </c>
      <c r="E58" s="13"/>
      <c r="F58" s="30">
        <f>IF(D$12=0,0,D58/D$12)</f>
        <v>0</v>
      </c>
      <c r="G58" s="13"/>
      <c r="H58" s="35">
        <f>+H54-H56</f>
        <v>-40108.619999999995</v>
      </c>
      <c r="I58" s="13"/>
      <c r="J58" s="30">
        <f>IF(H$12=0,0,H58/H$12)</f>
        <v>0</v>
      </c>
      <c r="K58" s="15"/>
      <c r="L58" s="35">
        <f>D58-H58</f>
        <v>1663.2099999999991</v>
      </c>
      <c r="M58" s="15"/>
      <c r="N58" s="30">
        <f>IF(H58=0,0,L58/H58)</f>
        <v>-4.1467644611058653E-2</v>
      </c>
      <c r="O58" s="25"/>
      <c r="P58" s="35">
        <f>+P54-P56</f>
        <v>-149863.49000000002</v>
      </c>
      <c r="Q58" s="13"/>
      <c r="R58" s="30">
        <f>IF(P$12=0,0,P58/P$12)</f>
        <v>0</v>
      </c>
      <c r="S58" s="13"/>
      <c r="T58" s="35">
        <f>+T54-T56</f>
        <v>-169836.39</v>
      </c>
      <c r="U58" s="13"/>
      <c r="V58" s="30">
        <f>IF(T$12=0,0,T58/T$12)</f>
        <v>0</v>
      </c>
      <c r="W58" s="15"/>
      <c r="X58" s="35">
        <f>P58-T58</f>
        <v>19972.899999999994</v>
      </c>
      <c r="Y58" s="15"/>
      <c r="Z58" s="30">
        <f>IF(T58=0,0,X58/T58)</f>
        <v>-0.11760082747872816</v>
      </c>
    </row>
    <row r="59" spans="1:26" ht="15.75" thickTop="1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6" t="s">
        <v>5</v>
      </c>
      <c r="C61" s="26"/>
      <c r="D61" s="36">
        <f>SUM(D58:D60)</f>
        <v>-38445.409999999996</v>
      </c>
      <c r="E61" s="13"/>
      <c r="F61" s="31">
        <f>IF(D$12=0,0,D61/D$12)</f>
        <v>0</v>
      </c>
      <c r="G61" s="13"/>
      <c r="H61" s="36">
        <f>SUM(H58:H60)</f>
        <v>-40108.619999999995</v>
      </c>
      <c r="I61" s="13"/>
      <c r="J61" s="31">
        <f>IF(H$12=0,0,H61/H$12)</f>
        <v>0</v>
      </c>
      <c r="K61" s="15"/>
      <c r="L61" s="36">
        <f>+D61-H61</f>
        <v>1663.2099999999991</v>
      </c>
      <c r="M61" s="15"/>
      <c r="N61" s="31">
        <f>IF(H61=0,0,L61/H61)</f>
        <v>-4.1467644611058653E-2</v>
      </c>
      <c r="O61" s="25"/>
      <c r="P61" s="36">
        <f>SUM(P58:P60)</f>
        <v>-149863.49000000002</v>
      </c>
      <c r="Q61" s="13"/>
      <c r="R61" s="31">
        <f>IF(P$12=0,0,P61/P$12)</f>
        <v>0</v>
      </c>
      <c r="S61" s="13"/>
      <c r="T61" s="36">
        <f>SUM(T58:T60)</f>
        <v>-169836.39</v>
      </c>
      <c r="U61" s="13"/>
      <c r="V61" s="31">
        <f>IF(T$12=0,0,T61/T$12)</f>
        <v>0</v>
      </c>
      <c r="W61" s="15"/>
      <c r="X61" s="36">
        <f>+P61-T61</f>
        <v>19972.899999999994</v>
      </c>
      <c r="Y61" s="15"/>
      <c r="Z61" s="31">
        <f>IF(T61=0,0,X61/T61)</f>
        <v>-0.11760082747872816</v>
      </c>
    </row>
    <row r="62" spans="1:26" ht="15.75" thickTop="1" x14ac:dyDescent="0.25">
      <c r="A62" s="9"/>
      <c r="C62" s="9"/>
      <c r="D62" s="18"/>
      <c r="E62" s="18"/>
      <c r="G62" s="18"/>
      <c r="H62" s="18"/>
      <c r="I62" s="18"/>
      <c r="J62" s="42"/>
      <c r="K62" s="18"/>
      <c r="L62" s="18"/>
      <c r="M62" s="18"/>
      <c r="P62" s="18"/>
      <c r="Q62" s="18"/>
      <c r="R62" s="42"/>
      <c r="S62" s="18"/>
      <c r="T62" s="18"/>
      <c r="U62" s="18"/>
      <c r="V62" s="42"/>
      <c r="W62" s="18"/>
      <c r="X62" s="18"/>
    </row>
    <row r="63" spans="1:26" x14ac:dyDescent="0.25">
      <c r="A63" s="9"/>
      <c r="B63" s="55">
        <v>43756.462926354165</v>
      </c>
      <c r="D63" s="18"/>
      <c r="E63" s="18"/>
      <c r="G63" s="18"/>
      <c r="H63" s="18"/>
      <c r="I63" s="18"/>
      <c r="J63" s="42"/>
      <c r="K63" s="18"/>
      <c r="L63" s="18"/>
      <c r="M63" s="18"/>
      <c r="P63" s="18"/>
      <c r="Q63" s="18"/>
      <c r="R63" s="42"/>
      <c r="S63" s="18"/>
      <c r="T63" s="18"/>
      <c r="U63" s="18"/>
      <c r="V63" s="42"/>
      <c r="W63" s="18"/>
      <c r="X63" s="18"/>
    </row>
    <row r="64" spans="1:26" x14ac:dyDescent="0.25">
      <c r="A64" s="9"/>
      <c r="B64" s="56" t="s">
        <v>313</v>
      </c>
      <c r="D64" s="18"/>
      <c r="E64" s="18"/>
      <c r="G64" s="18"/>
      <c r="H64" s="18"/>
      <c r="I64" s="18"/>
      <c r="J64" s="42"/>
      <c r="K64" s="18"/>
      <c r="L64" s="18"/>
      <c r="M64" s="18"/>
      <c r="P64" s="18"/>
      <c r="Q64" s="18"/>
      <c r="R64" s="42"/>
      <c r="S64" s="18"/>
      <c r="T64" s="18"/>
      <c r="U64" s="18"/>
      <c r="V64" s="42"/>
      <c r="W64" s="18"/>
      <c r="X64" s="18"/>
    </row>
    <row r="65" spans="1:24" x14ac:dyDescent="0.25">
      <c r="A65" s="9"/>
      <c r="B65" s="57"/>
      <c r="D65" s="18"/>
      <c r="E65" s="18"/>
      <c r="G65" s="18"/>
      <c r="H65" s="18"/>
      <c r="I65" s="18"/>
      <c r="J65" s="42"/>
      <c r="K65" s="18"/>
      <c r="L65" s="18"/>
      <c r="M65" s="18"/>
      <c r="P65" s="18"/>
      <c r="Q65" s="18"/>
      <c r="R65" s="42"/>
      <c r="S65" s="18"/>
      <c r="T65" s="18"/>
      <c r="U65" s="18"/>
      <c r="V65" s="42"/>
      <c r="W65" s="18"/>
      <c r="X65" s="18"/>
    </row>
    <row r="66" spans="1:24" x14ac:dyDescent="0.25"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304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138627.93999999994</v>
      </c>
      <c r="E12" s="4"/>
      <c r="F12" s="12"/>
      <c r="G12" s="4"/>
      <c r="H12" s="4">
        <f>SUM(OSRRefH13x_0)</f>
        <v>134947.80000000002</v>
      </c>
      <c r="I12" s="4"/>
      <c r="J12" s="12"/>
      <c r="K12" s="4"/>
      <c r="L12" s="4">
        <f t="shared" ref="L12:L48" si="0">+D12-H12</f>
        <v>3680.1399999999267</v>
      </c>
      <c r="M12" s="4"/>
      <c r="N12" s="12">
        <f t="shared" ref="N12:N48" si="1">IF(H12=0,0,L12/H12)</f>
        <v>2.7270841021490726E-2</v>
      </c>
      <c r="O12" s="10"/>
      <c r="P12" s="4">
        <f>SUM(OSRRefP13x_0)</f>
        <v>290728.94999999995</v>
      </c>
      <c r="Q12" s="4"/>
      <c r="R12" s="12"/>
      <c r="S12" s="4"/>
      <c r="T12" s="4">
        <f>SUM(OSRRefT13x_0)</f>
        <v>282020.42999999993</v>
      </c>
      <c r="U12" s="4"/>
      <c r="V12" s="12"/>
      <c r="W12" s="4"/>
      <c r="X12" s="4">
        <f t="shared" ref="X12:X48" si="2">+P12-T12</f>
        <v>8708.5200000000186</v>
      </c>
      <c r="Y12" s="4"/>
      <c r="Z12" s="12">
        <f t="shared" ref="Z12:Z48" si="3">IF(T12=0,0,X12/T12)</f>
        <v>3.0879039507882535E-2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>--65.39</f>
        <v>65.39</v>
      </c>
      <c r="E13" s="2"/>
      <c r="F13" s="19"/>
      <c r="G13" s="2"/>
      <c r="H13" s="2">
        <f>--8.94</f>
        <v>8.94</v>
      </c>
      <c r="I13" s="2"/>
      <c r="J13" s="19"/>
      <c r="K13" s="2"/>
      <c r="L13" s="2">
        <f t="shared" si="0"/>
        <v>56.45</v>
      </c>
      <c r="M13" s="2"/>
      <c r="N13" s="19">
        <f t="shared" si="1"/>
        <v>6.3143176733780768</v>
      </c>
      <c r="O13" s="11"/>
      <c r="P13" s="2">
        <f>--222.69</f>
        <v>222.69</v>
      </c>
      <c r="Q13" s="2"/>
      <c r="R13" s="19"/>
      <c r="S13" s="2"/>
      <c r="T13" s="2">
        <f>--609.29</f>
        <v>609.29</v>
      </c>
      <c r="U13" s="2"/>
      <c r="V13" s="19"/>
      <c r="W13" s="2"/>
      <c r="X13" s="2">
        <f t="shared" si="2"/>
        <v>-386.59999999999997</v>
      </c>
      <c r="Y13" s="2"/>
      <c r="Z13" s="19">
        <f t="shared" si="3"/>
        <v>-0.63450901869388954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--14.95</f>
        <v>14.95</v>
      </c>
      <c r="Q14" s="2"/>
      <c r="R14" s="19"/>
      <c r="S14" s="2"/>
      <c r="T14" s="2">
        <f>--39.9</f>
        <v>39.9</v>
      </c>
      <c r="U14" s="2"/>
      <c r="V14" s="19"/>
      <c r="W14" s="2"/>
      <c r="X14" s="2">
        <f t="shared" si="2"/>
        <v>-24.95</v>
      </c>
      <c r="Y14" s="2"/>
      <c r="Z14" s="19">
        <f t="shared" si="3"/>
        <v>-0.62531328320802004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--11837.54</f>
        <v>11837.54</v>
      </c>
      <c r="E15" s="2"/>
      <c r="F15" s="19"/>
      <c r="G15" s="2"/>
      <c r="H15" s="2">
        <f>--11411.77</f>
        <v>11411.77</v>
      </c>
      <c r="I15" s="2"/>
      <c r="J15" s="19"/>
      <c r="K15" s="2"/>
      <c r="L15" s="2">
        <f t="shared" si="0"/>
        <v>425.77000000000044</v>
      </c>
      <c r="M15" s="2"/>
      <c r="N15" s="19">
        <f t="shared" si="1"/>
        <v>3.7309724959405981E-2</v>
      </c>
      <c r="O15" s="11"/>
      <c r="P15" s="2">
        <f>--16296.07</f>
        <v>16296.07</v>
      </c>
      <c r="Q15" s="2"/>
      <c r="R15" s="19"/>
      <c r="S15" s="2"/>
      <c r="T15" s="2">
        <f>--16284.93</f>
        <v>16284.93</v>
      </c>
      <c r="U15" s="2"/>
      <c r="V15" s="19"/>
      <c r="W15" s="2"/>
      <c r="X15" s="2">
        <f t="shared" si="2"/>
        <v>11.139999999999418</v>
      </c>
      <c r="Y15" s="2"/>
      <c r="Z15" s="19">
        <f t="shared" si="3"/>
        <v>6.84068030995492E-4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--11703.6</f>
        <v>11703.6</v>
      </c>
      <c r="E16" s="2"/>
      <c r="F16" s="19"/>
      <c r="G16" s="2"/>
      <c r="H16" s="2">
        <f>--10837.35</f>
        <v>10837.35</v>
      </c>
      <c r="I16" s="2"/>
      <c r="J16" s="19"/>
      <c r="K16" s="2"/>
      <c r="L16" s="2">
        <f t="shared" si="0"/>
        <v>866.25</v>
      </c>
      <c r="M16" s="2"/>
      <c r="N16" s="19">
        <f t="shared" si="1"/>
        <v>7.9931902171656355E-2</v>
      </c>
      <c r="O16" s="11"/>
      <c r="P16" s="2">
        <f>--24415.58</f>
        <v>24415.58</v>
      </c>
      <c r="Q16" s="2"/>
      <c r="R16" s="19"/>
      <c r="S16" s="2"/>
      <c r="T16" s="2">
        <f>--23389.55</f>
        <v>23389.55</v>
      </c>
      <c r="U16" s="2"/>
      <c r="V16" s="19"/>
      <c r="W16" s="2"/>
      <c r="X16" s="2">
        <f t="shared" si="2"/>
        <v>1026.0300000000025</v>
      </c>
      <c r="Y16" s="2"/>
      <c r="Z16" s="19">
        <f t="shared" si="3"/>
        <v>4.3867026086436146E-2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--44213.86</f>
        <v>44213.86</v>
      </c>
      <c r="E17" s="2"/>
      <c r="F17" s="19"/>
      <c r="G17" s="2"/>
      <c r="H17" s="2">
        <f>--41680.39</f>
        <v>41680.39</v>
      </c>
      <c r="I17" s="2"/>
      <c r="J17" s="19"/>
      <c r="K17" s="2"/>
      <c r="L17" s="2">
        <f t="shared" si="0"/>
        <v>2533.4700000000012</v>
      </c>
      <c r="M17" s="2"/>
      <c r="N17" s="19">
        <f t="shared" si="1"/>
        <v>6.078326042534634E-2</v>
      </c>
      <c r="O17" s="11"/>
      <c r="P17" s="2">
        <f>--123272.68</f>
        <v>123272.68</v>
      </c>
      <c r="Q17" s="2"/>
      <c r="R17" s="19"/>
      <c r="S17" s="2"/>
      <c r="T17" s="2">
        <f>--114699.58</f>
        <v>114699.58</v>
      </c>
      <c r="U17" s="2"/>
      <c r="V17" s="19"/>
      <c r="W17" s="2"/>
      <c r="X17" s="2">
        <f t="shared" si="2"/>
        <v>8573.0999999999913</v>
      </c>
      <c r="Y17" s="2"/>
      <c r="Z17" s="19">
        <f t="shared" si="3"/>
        <v>7.4743952854927548E-2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--51812.13</f>
        <v>51812.13</v>
      </c>
      <c r="E18" s="2"/>
      <c r="F18" s="19"/>
      <c r="G18" s="2"/>
      <c r="H18" s="2">
        <f>--51988.15</f>
        <v>51988.15</v>
      </c>
      <c r="I18" s="2"/>
      <c r="J18" s="19"/>
      <c r="K18" s="2"/>
      <c r="L18" s="2">
        <f t="shared" si="0"/>
        <v>-176.02000000000407</v>
      </c>
      <c r="M18" s="2"/>
      <c r="N18" s="19">
        <f t="shared" si="1"/>
        <v>-3.3857715652510058E-3</v>
      </c>
      <c r="O18" s="11"/>
      <c r="P18" s="2">
        <f>--100727.68</f>
        <v>100727.67999999999</v>
      </c>
      <c r="Q18" s="2"/>
      <c r="R18" s="19"/>
      <c r="S18" s="2"/>
      <c r="T18" s="2">
        <f>--99687.8</f>
        <v>99687.8</v>
      </c>
      <c r="U18" s="2"/>
      <c r="V18" s="19"/>
      <c r="W18" s="2"/>
      <c r="X18" s="2">
        <f t="shared" si="2"/>
        <v>1039.8799999999901</v>
      </c>
      <c r="Y18" s="2"/>
      <c r="Z18" s="19">
        <f t="shared" si="3"/>
        <v>1.0431366726921349E-2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>--88.48</f>
        <v>88.48</v>
      </c>
      <c r="E19" s="2"/>
      <c r="F19" s="19"/>
      <c r="G19" s="2"/>
      <c r="H19" s="2">
        <f>--70.12</f>
        <v>70.12</v>
      </c>
      <c r="I19" s="2"/>
      <c r="J19" s="19"/>
      <c r="K19" s="2"/>
      <c r="L19" s="2">
        <f t="shared" si="0"/>
        <v>18.36</v>
      </c>
      <c r="M19" s="2"/>
      <c r="N19" s="19">
        <f t="shared" si="1"/>
        <v>0.26183685111237875</v>
      </c>
      <c r="O19" s="11"/>
      <c r="P19" s="2">
        <f>--120.82</f>
        <v>120.82</v>
      </c>
      <c r="Q19" s="2"/>
      <c r="R19" s="19"/>
      <c r="S19" s="2"/>
      <c r="T19" s="2">
        <f>--115.06</f>
        <v>115.06</v>
      </c>
      <c r="U19" s="2"/>
      <c r="V19" s="19"/>
      <c r="W19" s="2"/>
      <c r="X19" s="2">
        <f t="shared" si="2"/>
        <v>5.7599999999999909</v>
      </c>
      <c r="Y19" s="2"/>
      <c r="Z19" s="19">
        <f t="shared" si="3"/>
        <v>5.0060837823744056E-2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>--17.54</f>
        <v>17.54</v>
      </c>
      <c r="E20" s="2"/>
      <c r="F20" s="19"/>
      <c r="G20" s="2"/>
      <c r="H20" s="2">
        <f>--53.78</f>
        <v>53.78</v>
      </c>
      <c r="I20" s="2"/>
      <c r="J20" s="19"/>
      <c r="K20" s="2"/>
      <c r="L20" s="2">
        <f t="shared" si="0"/>
        <v>-36.24</v>
      </c>
      <c r="M20" s="2"/>
      <c r="N20" s="19">
        <f t="shared" si="1"/>
        <v>-0.6738564522127185</v>
      </c>
      <c r="O20" s="11"/>
      <c r="P20" s="2">
        <f>--21.35</f>
        <v>21.35</v>
      </c>
      <c r="Q20" s="2"/>
      <c r="R20" s="19"/>
      <c r="S20" s="2"/>
      <c r="T20" s="2">
        <f>--56.15</f>
        <v>56.15</v>
      </c>
      <c r="U20" s="2"/>
      <c r="V20" s="19"/>
      <c r="W20" s="2"/>
      <c r="X20" s="2">
        <f t="shared" si="2"/>
        <v>-34.799999999999997</v>
      </c>
      <c r="Y20" s="2"/>
      <c r="Z20" s="19">
        <f t="shared" si="3"/>
        <v>-0.61976847729296525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>--27.97</f>
        <v>27.97</v>
      </c>
      <c r="E21" s="2"/>
      <c r="F21" s="19"/>
      <c r="G21" s="2"/>
      <c r="H21" s="2">
        <f>--26.81</f>
        <v>26.81</v>
      </c>
      <c r="I21" s="2"/>
      <c r="J21" s="19"/>
      <c r="K21" s="2"/>
      <c r="L21" s="2">
        <f t="shared" si="0"/>
        <v>1.1600000000000001</v>
      </c>
      <c r="M21" s="2"/>
      <c r="N21" s="19">
        <f t="shared" si="1"/>
        <v>4.3267437523312205E-2</v>
      </c>
      <c r="O21" s="11"/>
      <c r="P21" s="2">
        <f>--40.97</f>
        <v>40.97</v>
      </c>
      <c r="Q21" s="2"/>
      <c r="R21" s="19"/>
      <c r="S21" s="2"/>
      <c r="T21" s="2">
        <f>--29.85</f>
        <v>29.85</v>
      </c>
      <c r="U21" s="2"/>
      <c r="V21" s="19"/>
      <c r="W21" s="2"/>
      <c r="X21" s="2">
        <f t="shared" si="2"/>
        <v>11.119999999999997</v>
      </c>
      <c r="Y21" s="2"/>
      <c r="Z21" s="19">
        <f t="shared" si="3"/>
        <v>0.37252931323283073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>--1544.01</f>
        <v>1544.01</v>
      </c>
      <c r="E22" s="2"/>
      <c r="F22" s="19"/>
      <c r="G22" s="2"/>
      <c r="H22" s="2">
        <f>--999.88</f>
        <v>999.88</v>
      </c>
      <c r="I22" s="2"/>
      <c r="J22" s="19"/>
      <c r="K22" s="2"/>
      <c r="L22" s="2">
        <f t="shared" si="0"/>
        <v>544.13</v>
      </c>
      <c r="M22" s="2"/>
      <c r="N22" s="19">
        <f t="shared" si="1"/>
        <v>0.54419530343641231</v>
      </c>
      <c r="O22" s="11"/>
      <c r="P22" s="2">
        <f>--1859.55</f>
        <v>1859.55</v>
      </c>
      <c r="Q22" s="2"/>
      <c r="R22" s="19"/>
      <c r="S22" s="2"/>
      <c r="T22" s="2">
        <f>--1365.56</f>
        <v>1365.56</v>
      </c>
      <c r="U22" s="2"/>
      <c r="V22" s="19"/>
      <c r="W22" s="2"/>
      <c r="X22" s="2">
        <f t="shared" si="2"/>
        <v>493.99</v>
      </c>
      <c r="Y22" s="2"/>
      <c r="Z22" s="19">
        <f t="shared" si="3"/>
        <v>0.36174902604059878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>--339.98</f>
        <v>339.98</v>
      </c>
      <c r="E23" s="2"/>
      <c r="F23" s="19"/>
      <c r="G23" s="2"/>
      <c r="H23" s="2">
        <f>--481.21</f>
        <v>481.21</v>
      </c>
      <c r="I23" s="2"/>
      <c r="J23" s="19"/>
      <c r="K23" s="2"/>
      <c r="L23" s="2">
        <f t="shared" si="0"/>
        <v>-141.22999999999996</v>
      </c>
      <c r="M23" s="2"/>
      <c r="N23" s="19">
        <f t="shared" si="1"/>
        <v>-0.29348932898318814</v>
      </c>
      <c r="O23" s="11"/>
      <c r="P23" s="2">
        <f>--438.43</f>
        <v>438.43</v>
      </c>
      <c r="Q23" s="2"/>
      <c r="R23" s="19"/>
      <c r="S23" s="2"/>
      <c r="T23" s="2">
        <f>--626.84</f>
        <v>626.84</v>
      </c>
      <c r="U23" s="2"/>
      <c r="V23" s="19"/>
      <c r="W23" s="2"/>
      <c r="X23" s="2">
        <f t="shared" si="2"/>
        <v>-188.41000000000003</v>
      </c>
      <c r="Y23" s="2"/>
      <c r="Z23" s="19">
        <f t="shared" si="3"/>
        <v>-0.30057111862676283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>--131.98</f>
        <v>131.97999999999999</v>
      </c>
      <c r="E24" s="2"/>
      <c r="F24" s="19"/>
      <c r="G24" s="2"/>
      <c r="H24" s="2">
        <f>--123.97</f>
        <v>123.97</v>
      </c>
      <c r="I24" s="2"/>
      <c r="J24" s="19"/>
      <c r="K24" s="2"/>
      <c r="L24" s="2">
        <f t="shared" si="0"/>
        <v>8.0099999999999909</v>
      </c>
      <c r="M24" s="2"/>
      <c r="N24" s="19">
        <f t="shared" si="1"/>
        <v>6.4612406227312985E-2</v>
      </c>
      <c r="O24" s="11"/>
      <c r="P24" s="2">
        <f>--174.15</f>
        <v>174.15</v>
      </c>
      <c r="Q24" s="2"/>
      <c r="R24" s="19"/>
      <c r="S24" s="2"/>
      <c r="T24" s="2">
        <f>--157.24</f>
        <v>157.24</v>
      </c>
      <c r="U24" s="2"/>
      <c r="V24" s="19"/>
      <c r="W24" s="2"/>
      <c r="X24" s="2">
        <f t="shared" si="2"/>
        <v>16.909999999999997</v>
      </c>
      <c r="Y24" s="2"/>
      <c r="Z24" s="19">
        <f t="shared" si="3"/>
        <v>0.10754261002289491</v>
      </c>
    </row>
    <row r="25" spans="1:26" s="24" customFormat="1" hidden="1" outlineLevel="1" x14ac:dyDescent="0.25">
      <c r="A25" s="44"/>
      <c r="B25" s="11" t="str">
        <f>CONCATENATE("          ", "4042", " - ", "TAXABLE SALES-EVERYDAY GIFTS")</f>
        <v xml:space="preserve">          4042 - TAXABLE SALES-EVERYDAY GIFTS</v>
      </c>
      <c r="C25" s="11"/>
      <c r="D25" s="2">
        <f>0</f>
        <v>0</v>
      </c>
      <c r="E25" s="2"/>
      <c r="F25" s="19"/>
      <c r="G25" s="2"/>
      <c r="H25" s="2">
        <f>--72.9</f>
        <v>72.900000000000006</v>
      </c>
      <c r="I25" s="2"/>
      <c r="J25" s="19"/>
      <c r="K25" s="2"/>
      <c r="L25" s="2">
        <f t="shared" si="0"/>
        <v>-72.900000000000006</v>
      </c>
      <c r="M25" s="2"/>
      <c r="N25" s="19">
        <f t="shared" si="1"/>
        <v>-1</v>
      </c>
      <c r="O25" s="11"/>
      <c r="P25" s="2">
        <f>0</f>
        <v>0</v>
      </c>
      <c r="Q25" s="2"/>
      <c r="R25" s="19"/>
      <c r="S25" s="2"/>
      <c r="T25" s="2">
        <f>--338.55</f>
        <v>338.55</v>
      </c>
      <c r="U25" s="2"/>
      <c r="V25" s="19"/>
      <c r="W25" s="2"/>
      <c r="X25" s="2">
        <f t="shared" si="2"/>
        <v>-338.55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"4081", " - ", "TAXABLE SALES-ELECTRONICS")</f>
        <v xml:space="preserve">          4081 - TAXABLE SALES-ELECTRONICS</v>
      </c>
      <c r="C26" s="11"/>
      <c r="D26" s="2">
        <f>--650.56</f>
        <v>650.55999999999995</v>
      </c>
      <c r="E26" s="2"/>
      <c r="F26" s="19"/>
      <c r="G26" s="2"/>
      <c r="H26" s="2">
        <f>--910.32</f>
        <v>910.32</v>
      </c>
      <c r="I26" s="2"/>
      <c r="J26" s="19"/>
      <c r="K26" s="2"/>
      <c r="L26" s="2">
        <f t="shared" si="0"/>
        <v>-259.7600000000001</v>
      </c>
      <c r="M26" s="2"/>
      <c r="N26" s="19">
        <f t="shared" si="1"/>
        <v>-0.28535020652078402</v>
      </c>
      <c r="O26" s="11"/>
      <c r="P26" s="2">
        <f>--919.42</f>
        <v>919.42</v>
      </c>
      <c r="Q26" s="2"/>
      <c r="R26" s="19"/>
      <c r="S26" s="2"/>
      <c r="T26" s="2">
        <f>--1208.12</f>
        <v>1208.1199999999999</v>
      </c>
      <c r="U26" s="2"/>
      <c r="V26" s="19"/>
      <c r="W26" s="2"/>
      <c r="X26" s="2">
        <f t="shared" si="2"/>
        <v>-288.69999999999993</v>
      </c>
      <c r="Y26" s="2"/>
      <c r="Z26" s="19">
        <f t="shared" si="3"/>
        <v>-0.23896632784822697</v>
      </c>
    </row>
    <row r="27" spans="1:26" s="24" customFormat="1" hidden="1" outlineLevel="1" x14ac:dyDescent="0.25">
      <c r="A27" s="44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>--124</f>
        <v>124</v>
      </c>
      <c r="E27" s="2"/>
      <c r="F27" s="19"/>
      <c r="G27" s="2"/>
      <c r="H27" s="2">
        <f>--106</f>
        <v>106</v>
      </c>
      <c r="I27" s="2"/>
      <c r="J27" s="19"/>
      <c r="K27" s="2"/>
      <c r="L27" s="2">
        <f t="shared" si="0"/>
        <v>18</v>
      </c>
      <c r="M27" s="2"/>
      <c r="N27" s="19">
        <f t="shared" si="1"/>
        <v>0.16981132075471697</v>
      </c>
      <c r="O27" s="11"/>
      <c r="P27" s="2">
        <f>--162</f>
        <v>162</v>
      </c>
      <c r="Q27" s="2"/>
      <c r="R27" s="19"/>
      <c r="S27" s="2"/>
      <c r="T27" s="2">
        <f>--135</f>
        <v>135</v>
      </c>
      <c r="U27" s="2"/>
      <c r="V27" s="19"/>
      <c r="W27" s="2"/>
      <c r="X27" s="2">
        <f t="shared" si="2"/>
        <v>27</v>
      </c>
      <c r="Y27" s="2"/>
      <c r="Z27" s="19">
        <f t="shared" si="3"/>
        <v>0.2</v>
      </c>
    </row>
    <row r="28" spans="1:26" s="24" customFormat="1" hidden="1" outlineLevel="1" x14ac:dyDescent="0.25">
      <c r="A28" s="44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>--269.82</f>
        <v>269.82</v>
      </c>
      <c r="E28" s="2"/>
      <c r="F28" s="19"/>
      <c r="G28" s="2"/>
      <c r="H28" s="2">
        <f>--254.8</f>
        <v>254.8</v>
      </c>
      <c r="I28" s="2"/>
      <c r="J28" s="19"/>
      <c r="K28" s="2"/>
      <c r="L28" s="2">
        <f t="shared" si="0"/>
        <v>15.019999999999982</v>
      </c>
      <c r="M28" s="2"/>
      <c r="N28" s="19">
        <f t="shared" si="1"/>
        <v>5.8948194662480302E-2</v>
      </c>
      <c r="O28" s="11"/>
      <c r="P28" s="2">
        <f>--299.8</f>
        <v>299.8</v>
      </c>
      <c r="Q28" s="2"/>
      <c r="R28" s="19"/>
      <c r="S28" s="2"/>
      <c r="T28" s="2">
        <f>--389.68</f>
        <v>389.68</v>
      </c>
      <c r="U28" s="2"/>
      <c r="V28" s="19"/>
      <c r="W28" s="2"/>
      <c r="X28" s="2">
        <f t="shared" si="2"/>
        <v>-89.88</v>
      </c>
      <c r="Y28" s="2"/>
      <c r="Z28" s="19">
        <f t="shared" si="3"/>
        <v>-0.23065079039211658</v>
      </c>
    </row>
    <row r="29" spans="1:26" s="24" customFormat="1" hidden="1" outlineLevel="1" x14ac:dyDescent="0.25">
      <c r="A29" s="44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>--344.87</f>
        <v>344.87</v>
      </c>
      <c r="E29" s="2"/>
      <c r="F29" s="19"/>
      <c r="G29" s="2"/>
      <c r="H29" s="2">
        <f>--390.79</f>
        <v>390.79</v>
      </c>
      <c r="I29" s="2"/>
      <c r="J29" s="19"/>
      <c r="K29" s="2"/>
      <c r="L29" s="2">
        <f t="shared" si="0"/>
        <v>-45.920000000000016</v>
      </c>
      <c r="M29" s="2"/>
      <c r="N29" s="19">
        <f t="shared" si="1"/>
        <v>-0.11750556564906987</v>
      </c>
      <c r="O29" s="11"/>
      <c r="P29" s="2">
        <f>--453.82</f>
        <v>453.82</v>
      </c>
      <c r="Q29" s="2"/>
      <c r="R29" s="19"/>
      <c r="S29" s="2"/>
      <c r="T29" s="2">
        <f>--560.7</f>
        <v>560.70000000000005</v>
      </c>
      <c r="U29" s="2"/>
      <c r="V29" s="19"/>
      <c r="W29" s="2"/>
      <c r="X29" s="2">
        <f t="shared" si="2"/>
        <v>-106.88000000000005</v>
      </c>
      <c r="Y29" s="2"/>
      <c r="Z29" s="19">
        <f t="shared" si="3"/>
        <v>-0.19061886927055474</v>
      </c>
    </row>
    <row r="30" spans="1:26" s="24" customFormat="1" hidden="1" outlineLevel="1" x14ac:dyDescent="0.25">
      <c r="A30" s="44"/>
      <c r="B30" s="11" t="str">
        <f>CONCATENATE("          ", "4125", " - ", "NON-TAXABLE SALES-TEST FORMS")</f>
        <v xml:space="preserve">          4125 - NON-TAXABLE SALES-TEST FORMS</v>
      </c>
      <c r="C30" s="11"/>
      <c r="D30" s="2">
        <f>--42.03</f>
        <v>42.03</v>
      </c>
      <c r="E30" s="2"/>
      <c r="F30" s="19"/>
      <c r="G30" s="2"/>
      <c r="H30" s="2">
        <f>--51.94</f>
        <v>51.94</v>
      </c>
      <c r="I30" s="2"/>
      <c r="J30" s="19"/>
      <c r="K30" s="2"/>
      <c r="L30" s="2">
        <f t="shared" si="0"/>
        <v>-9.9099999999999966</v>
      </c>
      <c r="M30" s="2"/>
      <c r="N30" s="19">
        <f t="shared" si="1"/>
        <v>-0.19079707354639963</v>
      </c>
      <c r="O30" s="11"/>
      <c r="P30" s="2">
        <f>--124.18</f>
        <v>124.18</v>
      </c>
      <c r="Q30" s="2"/>
      <c r="R30" s="19"/>
      <c r="S30" s="2"/>
      <c r="T30" s="2">
        <f>--160.73</f>
        <v>160.72999999999999</v>
      </c>
      <c r="U30" s="2"/>
      <c r="V30" s="19"/>
      <c r="W30" s="2"/>
      <c r="X30" s="2">
        <f t="shared" si="2"/>
        <v>-36.549999999999983</v>
      </c>
      <c r="Y30" s="2"/>
      <c r="Z30" s="19">
        <f t="shared" si="3"/>
        <v>-0.22739998755677213</v>
      </c>
    </row>
    <row r="31" spans="1:26" s="24" customFormat="1" hidden="1" outlineLevel="1" x14ac:dyDescent="0.25">
      <c r="A31" s="44"/>
      <c r="B31" s="11" t="str">
        <f>CONCATENATE("          ", "4126", " - ", "NON-TAXABLE SALES-WRITING INST")</f>
        <v xml:space="preserve">          4126 - NON-TAXABLE SALES-WRITING INST</v>
      </c>
      <c r="C31" s="11"/>
      <c r="D31" s="2">
        <f>--332.14</f>
        <v>332.14</v>
      </c>
      <c r="E31" s="2"/>
      <c r="F31" s="19"/>
      <c r="G31" s="2"/>
      <c r="H31" s="2">
        <f>--514.49</f>
        <v>514.49</v>
      </c>
      <c r="I31" s="2"/>
      <c r="J31" s="19"/>
      <c r="K31" s="2"/>
      <c r="L31" s="2">
        <f t="shared" si="0"/>
        <v>-182.35000000000002</v>
      </c>
      <c r="M31" s="2"/>
      <c r="N31" s="19">
        <f t="shared" si="1"/>
        <v>-0.35442865750549091</v>
      </c>
      <c r="O31" s="11"/>
      <c r="P31" s="2">
        <f>--1343.26</f>
        <v>1343.26</v>
      </c>
      <c r="Q31" s="2"/>
      <c r="R31" s="19"/>
      <c r="S31" s="2"/>
      <c r="T31" s="2">
        <f>--1695.46</f>
        <v>1695.46</v>
      </c>
      <c r="U31" s="2"/>
      <c r="V31" s="19"/>
      <c r="W31" s="2"/>
      <c r="X31" s="2">
        <f t="shared" si="2"/>
        <v>-352.20000000000005</v>
      </c>
      <c r="Y31" s="2"/>
      <c r="Z31" s="19">
        <f t="shared" si="3"/>
        <v>-0.20773123518101286</v>
      </c>
    </row>
    <row r="32" spans="1:26" s="24" customFormat="1" hidden="1" outlineLevel="1" x14ac:dyDescent="0.25">
      <c r="A32" s="44"/>
      <c r="B32" s="11" t="str">
        <f>CONCATENATE("          ", "4127", " - ", "NON-TAXABLE SALES-SCHOOL SUPPL")</f>
        <v xml:space="preserve">          4127 - NON-TAXABLE SALES-SCHOOL SUPPL</v>
      </c>
      <c r="C32" s="11"/>
      <c r="D32" s="2">
        <f>--547.21</f>
        <v>547.21</v>
      </c>
      <c r="E32" s="2"/>
      <c r="F32" s="19"/>
      <c r="G32" s="2"/>
      <c r="H32" s="2">
        <f>--636.96</f>
        <v>636.96</v>
      </c>
      <c r="I32" s="2"/>
      <c r="J32" s="19"/>
      <c r="K32" s="2"/>
      <c r="L32" s="2">
        <f t="shared" si="0"/>
        <v>-89.75</v>
      </c>
      <c r="M32" s="2"/>
      <c r="N32" s="19">
        <f t="shared" si="1"/>
        <v>-0.14090366742024615</v>
      </c>
      <c r="O32" s="11"/>
      <c r="P32" s="2">
        <f>--2417.49</f>
        <v>2417.4899999999998</v>
      </c>
      <c r="Q32" s="2"/>
      <c r="R32" s="19"/>
      <c r="S32" s="2"/>
      <c r="T32" s="2">
        <f>--2536.68</f>
        <v>2536.6799999999998</v>
      </c>
      <c r="U32" s="2"/>
      <c r="V32" s="19"/>
      <c r="W32" s="2"/>
      <c r="X32" s="2">
        <f t="shared" si="2"/>
        <v>-119.19000000000005</v>
      </c>
      <c r="Y32" s="2"/>
      <c r="Z32" s="19">
        <f t="shared" si="3"/>
        <v>-4.6986612422536565E-2</v>
      </c>
    </row>
    <row r="33" spans="1:26" s="24" customFormat="1" hidden="1" outlineLevel="1" x14ac:dyDescent="0.25">
      <c r="A33" s="44"/>
      <c r="B33" s="11" t="str">
        <f>CONCATENATE("          ", "4128", " - ", "NON-TAXABLE SALES-ART/TECH")</f>
        <v xml:space="preserve">          4128 - NON-TAXABLE SALES-ART/TECH</v>
      </c>
      <c r="C33" s="11"/>
      <c r="D33" s="2">
        <f>--132.8</f>
        <v>132.80000000000001</v>
      </c>
      <c r="E33" s="2"/>
      <c r="F33" s="19"/>
      <c r="G33" s="2"/>
      <c r="H33" s="2">
        <f>--158.57</f>
        <v>158.57</v>
      </c>
      <c r="I33" s="2"/>
      <c r="J33" s="19"/>
      <c r="K33" s="2"/>
      <c r="L33" s="2">
        <f t="shared" si="0"/>
        <v>-25.769999999999982</v>
      </c>
      <c r="M33" s="2"/>
      <c r="N33" s="19">
        <f t="shared" si="1"/>
        <v>-0.16251497761241082</v>
      </c>
      <c r="O33" s="11"/>
      <c r="P33" s="2">
        <f>--262.9</f>
        <v>262.89999999999998</v>
      </c>
      <c r="Q33" s="2"/>
      <c r="R33" s="19"/>
      <c r="S33" s="2"/>
      <c r="T33" s="2">
        <f>--562.56</f>
        <v>562.55999999999995</v>
      </c>
      <c r="U33" s="2"/>
      <c r="V33" s="19"/>
      <c r="W33" s="2"/>
      <c r="X33" s="2">
        <f t="shared" si="2"/>
        <v>-299.65999999999997</v>
      </c>
      <c r="Y33" s="2"/>
      <c r="Z33" s="19">
        <f t="shared" si="3"/>
        <v>-0.53267207053469856</v>
      </c>
    </row>
    <row r="34" spans="1:26" s="24" customFormat="1" hidden="1" outlineLevel="1" x14ac:dyDescent="0.25">
      <c r="A34" s="44"/>
      <c r="B34" s="11" t="str">
        <f>CONCATENATE("          ", "4131", " - ", "NON-TAXABLE SALES-FOOD")</f>
        <v xml:space="preserve">          4131 - NON-TAXABLE SALES-FOOD</v>
      </c>
      <c r="C34" s="11"/>
      <c r="D34" s="2">
        <f>--10548.09</f>
        <v>10548.09</v>
      </c>
      <c r="E34" s="2"/>
      <c r="F34" s="19"/>
      <c r="G34" s="2"/>
      <c r="H34" s="2">
        <f>--10229.12</f>
        <v>10229.120000000001</v>
      </c>
      <c r="I34" s="2"/>
      <c r="J34" s="19"/>
      <c r="K34" s="2"/>
      <c r="L34" s="2">
        <f t="shared" si="0"/>
        <v>318.96999999999935</v>
      </c>
      <c r="M34" s="2"/>
      <c r="N34" s="19">
        <f t="shared" si="1"/>
        <v>3.1182545517111866E-2</v>
      </c>
      <c r="O34" s="11"/>
      <c r="P34" s="2">
        <f>--13265.29</f>
        <v>13265.29</v>
      </c>
      <c r="Q34" s="2"/>
      <c r="R34" s="19"/>
      <c r="S34" s="2"/>
      <c r="T34" s="2">
        <f>--13183.57</f>
        <v>13183.57</v>
      </c>
      <c r="U34" s="2"/>
      <c r="V34" s="19"/>
      <c r="W34" s="2"/>
      <c r="X34" s="2">
        <f t="shared" si="2"/>
        <v>81.720000000001164</v>
      </c>
      <c r="Y34" s="2"/>
      <c r="Z34" s="19">
        <f t="shared" si="3"/>
        <v>6.1986245000406693E-3</v>
      </c>
    </row>
    <row r="35" spans="1:26" s="24" customFormat="1" hidden="1" outlineLevel="1" x14ac:dyDescent="0.25">
      <c r="A35" s="44"/>
      <c r="B35" s="11" t="str">
        <f>CONCATENATE("          ", "4132", " - ", "NON-TAXABLE SALES-JUICE")</f>
        <v xml:space="preserve">          4132 - NON-TAXABLE SALES-JUICE</v>
      </c>
      <c r="C35" s="11"/>
      <c r="D35" s="2">
        <f>--3051.46</f>
        <v>3051.46</v>
      </c>
      <c r="E35" s="2"/>
      <c r="F35" s="19"/>
      <c r="G35" s="2"/>
      <c r="H35" s="2">
        <f>--2688.01</f>
        <v>2688.01</v>
      </c>
      <c r="I35" s="2"/>
      <c r="J35" s="19"/>
      <c r="K35" s="2"/>
      <c r="L35" s="2">
        <f t="shared" si="0"/>
        <v>363.44999999999982</v>
      </c>
      <c r="M35" s="2"/>
      <c r="N35" s="19">
        <f t="shared" si="1"/>
        <v>0.13521155055226722</v>
      </c>
      <c r="O35" s="11"/>
      <c r="P35" s="2">
        <f>--3810.37</f>
        <v>3810.37</v>
      </c>
      <c r="Q35" s="2"/>
      <c r="R35" s="19"/>
      <c r="S35" s="2"/>
      <c r="T35" s="2">
        <f>--3382.5</f>
        <v>3382.5</v>
      </c>
      <c r="U35" s="2"/>
      <c r="V35" s="19"/>
      <c r="W35" s="2"/>
      <c r="X35" s="2">
        <f t="shared" si="2"/>
        <v>427.86999999999989</v>
      </c>
      <c r="Y35" s="2"/>
      <c r="Z35" s="19">
        <f t="shared" si="3"/>
        <v>0.12649519586104949</v>
      </c>
    </row>
    <row r="36" spans="1:26" s="24" customFormat="1" hidden="1" outlineLevel="1" x14ac:dyDescent="0.25">
      <c r="A36" s="44"/>
      <c r="B36" s="11" t="str">
        <f>CONCATENATE("          ", "4133", " - ", "NON-TAXABLE SALES-CANDY")</f>
        <v xml:space="preserve">          4133 - NON-TAXABLE SALES-CANDY</v>
      </c>
      <c r="C36" s="11"/>
      <c r="D36" s="2">
        <f>--3292.63</f>
        <v>3292.63</v>
      </c>
      <c r="E36" s="2"/>
      <c r="F36" s="19"/>
      <c r="G36" s="2"/>
      <c r="H36" s="2">
        <f>--2613.86</f>
        <v>2613.86</v>
      </c>
      <c r="I36" s="2"/>
      <c r="J36" s="19"/>
      <c r="K36" s="2"/>
      <c r="L36" s="2">
        <f t="shared" si="0"/>
        <v>678.77</v>
      </c>
      <c r="M36" s="2"/>
      <c r="N36" s="19">
        <f t="shared" si="1"/>
        <v>0.25968108467936307</v>
      </c>
      <c r="O36" s="11"/>
      <c r="P36" s="2">
        <f>--4664.98</f>
        <v>4664.9799999999996</v>
      </c>
      <c r="Q36" s="2"/>
      <c r="R36" s="19"/>
      <c r="S36" s="2"/>
      <c r="T36" s="2">
        <f>--3806.67</f>
        <v>3806.67</v>
      </c>
      <c r="U36" s="2"/>
      <c r="V36" s="19"/>
      <c r="W36" s="2"/>
      <c r="X36" s="2">
        <f t="shared" si="2"/>
        <v>858.30999999999949</v>
      </c>
      <c r="Y36" s="2"/>
      <c r="Z36" s="19">
        <f t="shared" si="3"/>
        <v>0.2254752841722554</v>
      </c>
    </row>
    <row r="37" spans="1:26" s="24" customFormat="1" hidden="1" outlineLevel="1" x14ac:dyDescent="0.25">
      <c r="A37" s="44"/>
      <c r="B37" s="11" t="str">
        <f>CONCATENATE("          ", "4134", " - ", "NON-TAXABLE SALES-SODA")</f>
        <v xml:space="preserve">          4134 - NON-TAXABLE SALES-SODA</v>
      </c>
      <c r="C37" s="11"/>
      <c r="D37" s="2">
        <f>0</f>
        <v>0</v>
      </c>
      <c r="E37" s="2"/>
      <c r="F37" s="19"/>
      <c r="G37" s="2"/>
      <c r="H37" s="2">
        <f>--55.74</f>
        <v>55.74</v>
      </c>
      <c r="I37" s="2"/>
      <c r="J37" s="19"/>
      <c r="K37" s="2"/>
      <c r="L37" s="2">
        <f t="shared" si="0"/>
        <v>-55.74</v>
      </c>
      <c r="M37" s="2"/>
      <c r="N37" s="19">
        <f t="shared" si="1"/>
        <v>-1</v>
      </c>
      <c r="O37" s="11"/>
      <c r="P37" s="2">
        <f>0</f>
        <v>0</v>
      </c>
      <c r="Q37" s="2"/>
      <c r="R37" s="19"/>
      <c r="S37" s="2"/>
      <c r="T37" s="2">
        <f>--109.47</f>
        <v>109.47</v>
      </c>
      <c r="U37" s="2"/>
      <c r="V37" s="19"/>
      <c r="W37" s="2"/>
      <c r="X37" s="2">
        <f t="shared" si="2"/>
        <v>-109.47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"4135", " - ", "NON-TAXABLE SALES")</f>
        <v xml:space="preserve">          4135 - NON-TAXABLE SALES</v>
      </c>
      <c r="C38" s="11"/>
      <c r="D38" s="2">
        <f>--32.31</f>
        <v>32.31</v>
      </c>
      <c r="E38" s="2"/>
      <c r="F38" s="19"/>
      <c r="G38" s="2"/>
      <c r="H38" s="2">
        <f>--34.03</f>
        <v>34.03</v>
      </c>
      <c r="I38" s="2"/>
      <c r="J38" s="19"/>
      <c r="K38" s="2"/>
      <c r="L38" s="2">
        <f t="shared" si="0"/>
        <v>-1.7199999999999989</v>
      </c>
      <c r="M38" s="2"/>
      <c r="N38" s="19">
        <f t="shared" si="1"/>
        <v>-5.0543637966500111E-2</v>
      </c>
      <c r="O38" s="11"/>
      <c r="P38" s="2">
        <f>--86.06</f>
        <v>86.06</v>
      </c>
      <c r="Q38" s="2"/>
      <c r="R38" s="19"/>
      <c r="S38" s="2"/>
      <c r="T38" s="2">
        <f>--50.62</f>
        <v>50.62</v>
      </c>
      <c r="U38" s="2"/>
      <c r="V38" s="19"/>
      <c r="W38" s="2"/>
      <c r="X38" s="2">
        <f t="shared" si="2"/>
        <v>35.440000000000005</v>
      </c>
      <c r="Y38" s="2"/>
      <c r="Z38" s="19">
        <f t="shared" si="3"/>
        <v>0.70011853022520754</v>
      </c>
    </row>
    <row r="39" spans="1:26" s="24" customFormat="1" hidden="1" outlineLevel="1" x14ac:dyDescent="0.25">
      <c r="A39" s="44"/>
      <c r="B39" s="11" t="str">
        <f>CONCATENATE("          ", "4137", " - ", "NON-TAXABLE SALES-WATER")</f>
        <v xml:space="preserve">          4137 - NON-TAXABLE SALES-WATER</v>
      </c>
      <c r="C39" s="11"/>
      <c r="D39" s="2">
        <f>--1614.65</f>
        <v>1614.65</v>
      </c>
      <c r="E39" s="2"/>
      <c r="F39" s="19"/>
      <c r="G39" s="2"/>
      <c r="H39" s="2">
        <f>--1343.71</f>
        <v>1343.71</v>
      </c>
      <c r="I39" s="2"/>
      <c r="J39" s="19"/>
      <c r="K39" s="2"/>
      <c r="L39" s="2">
        <f t="shared" si="0"/>
        <v>270.94000000000005</v>
      </c>
      <c r="M39" s="2"/>
      <c r="N39" s="19">
        <f t="shared" si="1"/>
        <v>0.20163576962290974</v>
      </c>
      <c r="O39" s="11"/>
      <c r="P39" s="2">
        <f>--2167.37</f>
        <v>2167.37</v>
      </c>
      <c r="Q39" s="2"/>
      <c r="R39" s="19"/>
      <c r="S39" s="2"/>
      <c r="T39" s="2">
        <f>--1771.68</f>
        <v>1771.68</v>
      </c>
      <c r="U39" s="2"/>
      <c r="V39" s="19"/>
      <c r="W39" s="2"/>
      <c r="X39" s="2">
        <f t="shared" si="2"/>
        <v>395.68999999999983</v>
      </c>
      <c r="Y39" s="2"/>
      <c r="Z39" s="19">
        <f t="shared" si="3"/>
        <v>0.22334168698636311</v>
      </c>
    </row>
    <row r="40" spans="1:26" s="24" customFormat="1" hidden="1" outlineLevel="1" x14ac:dyDescent="0.25">
      <c r="A40" s="44"/>
      <c r="B40" s="11" t="str">
        <f>CONCATENATE("          ", "4186", " - ", "NON-TAXABLE SALES-COMPUTER SUP")</f>
        <v xml:space="preserve">          4186 - NON-TAXABLE SALES-COMPUTER SUP</v>
      </c>
      <c r="C40" s="11"/>
      <c r="D40" s="2">
        <f>-34.98</f>
        <v>-34.979999999999997</v>
      </c>
      <c r="E40" s="2"/>
      <c r="F40" s="19"/>
      <c r="G40" s="2"/>
      <c r="H40" s="2">
        <f>-33.99</f>
        <v>-33.99</v>
      </c>
      <c r="I40" s="2"/>
      <c r="J40" s="19"/>
      <c r="K40" s="2"/>
      <c r="L40" s="2">
        <f t="shared" si="0"/>
        <v>-0.98999999999999488</v>
      </c>
      <c r="M40" s="2"/>
      <c r="N40" s="19">
        <f t="shared" si="1"/>
        <v>2.9126213592232858E-2</v>
      </c>
      <c r="O40" s="11"/>
      <c r="P40" s="2">
        <f>-34.98</f>
        <v>-34.979999999999997</v>
      </c>
      <c r="Q40" s="2"/>
      <c r="R40" s="19"/>
      <c r="S40" s="2"/>
      <c r="T40" s="2">
        <f>-48.98</f>
        <v>-48.98</v>
      </c>
      <c r="U40" s="2"/>
      <c r="V40" s="19"/>
      <c r="W40" s="2"/>
      <c r="X40" s="2">
        <f t="shared" si="2"/>
        <v>14</v>
      </c>
      <c r="Y40" s="2"/>
      <c r="Z40" s="19">
        <f t="shared" si="3"/>
        <v>-0.28583095140873827</v>
      </c>
    </row>
    <row r="41" spans="1:26" s="24" customFormat="1" hidden="1" outlineLevel="1" x14ac:dyDescent="0.25">
      <c r="A41" s="44"/>
      <c r="B41" s="11" t="str">
        <f>CONCATENATE("          ", "4217", " - ", "NON-TAXABLE SALES-DORM/HOUSEWA")</f>
        <v xml:space="preserve">          4217 - NON-TAXABLE SALES-DORM/HOUSEWA</v>
      </c>
      <c r="C41" s="11"/>
      <c r="D41" s="2">
        <f>0</f>
        <v>0</v>
      </c>
      <c r="E41" s="2"/>
      <c r="F41" s="19"/>
      <c r="G41" s="2"/>
      <c r="H41" s="2">
        <f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0</f>
        <v>0</v>
      </c>
      <c r="Q41" s="2"/>
      <c r="R41" s="19"/>
      <c r="S41" s="2"/>
      <c r="T41" s="2">
        <f>-1.5</f>
        <v>-1.5</v>
      </c>
      <c r="U41" s="2"/>
      <c r="V41" s="19"/>
      <c r="W41" s="2"/>
      <c r="X41" s="2">
        <f t="shared" si="2"/>
        <v>1.5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"4225", " - ", "SALES RETURN TAXABLE-TEST FORM")</f>
        <v xml:space="preserve">          4225 - SALES RETURN TAXABLE-TEST FORM</v>
      </c>
      <c r="C42" s="11"/>
      <c r="D42" s="2">
        <f>-20.41</f>
        <v>-20.41</v>
      </c>
      <c r="E42" s="2"/>
      <c r="F42" s="19"/>
      <c r="G42" s="2"/>
      <c r="H42" s="2">
        <f>-23.53</f>
        <v>-23.53</v>
      </c>
      <c r="I42" s="2"/>
      <c r="J42" s="19"/>
      <c r="K42" s="2"/>
      <c r="L42" s="2">
        <f t="shared" si="0"/>
        <v>3.120000000000001</v>
      </c>
      <c r="M42" s="2"/>
      <c r="N42" s="19">
        <f t="shared" si="1"/>
        <v>-0.13259668508287295</v>
      </c>
      <c r="O42" s="11"/>
      <c r="P42" s="2">
        <f>-33.1</f>
        <v>-33.1</v>
      </c>
      <c r="Q42" s="2"/>
      <c r="R42" s="19"/>
      <c r="S42" s="2"/>
      <c r="T42" s="2">
        <f>-37.33</f>
        <v>-37.33</v>
      </c>
      <c r="U42" s="2"/>
      <c r="V42" s="19"/>
      <c r="W42" s="2"/>
      <c r="X42" s="2">
        <f t="shared" si="2"/>
        <v>4.2299999999999969</v>
      </c>
      <c r="Y42" s="2"/>
      <c r="Z42" s="19">
        <f t="shared" si="3"/>
        <v>-0.11331368872220726</v>
      </c>
    </row>
    <row r="43" spans="1:26" s="24" customFormat="1" hidden="1" outlineLevel="1" x14ac:dyDescent="0.25">
      <c r="A43" s="44"/>
      <c r="B43" s="11" t="str">
        <f>CONCATENATE("          ", "4226", " - ", "SALES RETURN TAXABLE-WRITING I")</f>
        <v xml:space="preserve">          4226 - SALES RETURN TAXABLE-WRITING I</v>
      </c>
      <c r="C43" s="11"/>
      <c r="D43" s="2">
        <f>-184.86</f>
        <v>-184.86</v>
      </c>
      <c r="E43" s="2"/>
      <c r="F43" s="19"/>
      <c r="G43" s="2"/>
      <c r="H43" s="2">
        <f>-48.02</f>
        <v>-48.02</v>
      </c>
      <c r="I43" s="2"/>
      <c r="J43" s="19"/>
      <c r="K43" s="2"/>
      <c r="L43" s="2">
        <f t="shared" si="0"/>
        <v>-136.84</v>
      </c>
      <c r="M43" s="2"/>
      <c r="N43" s="19">
        <f t="shared" si="1"/>
        <v>2.8496459808413159</v>
      </c>
      <c r="O43" s="11"/>
      <c r="P43" s="2">
        <f>-309.07</f>
        <v>-309.07</v>
      </c>
      <c r="Q43" s="2"/>
      <c r="R43" s="19"/>
      <c r="S43" s="2"/>
      <c r="T43" s="2">
        <f>-117.26</f>
        <v>-117.26</v>
      </c>
      <c r="U43" s="2"/>
      <c r="V43" s="19"/>
      <c r="W43" s="2"/>
      <c r="X43" s="2">
        <f t="shared" si="2"/>
        <v>-191.81</v>
      </c>
      <c r="Y43" s="2"/>
      <c r="Z43" s="19">
        <f t="shared" si="3"/>
        <v>1.6357666723520381</v>
      </c>
    </row>
    <row r="44" spans="1:26" s="24" customFormat="1" hidden="1" outlineLevel="1" x14ac:dyDescent="0.25">
      <c r="A44" s="44"/>
      <c r="B44" s="11" t="str">
        <f>CONCATENATE("          ", "4227", " - ", "SALES RETURN TAXABLE-SCHOOL SU")</f>
        <v xml:space="preserve">          4227 - SALES RETURN TAXABLE-SCHOOL SU</v>
      </c>
      <c r="C44" s="11"/>
      <c r="D44" s="2">
        <f>-2805.04</f>
        <v>-2805.04</v>
      </c>
      <c r="E44" s="2"/>
      <c r="F44" s="19"/>
      <c r="G44" s="2"/>
      <c r="H44" s="2">
        <f>-974.33</f>
        <v>-974.33</v>
      </c>
      <c r="I44" s="2"/>
      <c r="J44" s="19"/>
      <c r="K44" s="2"/>
      <c r="L44" s="2">
        <f t="shared" si="0"/>
        <v>-1830.71</v>
      </c>
      <c r="M44" s="2"/>
      <c r="N44" s="19">
        <f t="shared" si="1"/>
        <v>1.878942452762411</v>
      </c>
      <c r="O44" s="11"/>
      <c r="P44" s="2">
        <f>-4501.63</f>
        <v>-4501.63</v>
      </c>
      <c r="Q44" s="2"/>
      <c r="R44" s="19"/>
      <c r="S44" s="2"/>
      <c r="T44" s="2">
        <f>-1941.23</f>
        <v>-1941.23</v>
      </c>
      <c r="U44" s="2"/>
      <c r="V44" s="19"/>
      <c r="W44" s="2"/>
      <c r="X44" s="2">
        <f t="shared" si="2"/>
        <v>-2560.4</v>
      </c>
      <c r="Y44" s="2"/>
      <c r="Z44" s="19">
        <f t="shared" si="3"/>
        <v>1.3189575681397876</v>
      </c>
    </row>
    <row r="45" spans="1:26" s="24" customFormat="1" hidden="1" outlineLevel="1" x14ac:dyDescent="0.25">
      <c r="A45" s="44"/>
      <c r="B45" s="11" t="str">
        <f>CONCATENATE("          ", "4228", " - ", "SALES RETURN TAXABLE-ART/TECH")</f>
        <v xml:space="preserve">          4228 - SALES RETURN TAXABLE-ART/TECH</v>
      </c>
      <c r="C45" s="11"/>
      <c r="D45" s="2">
        <f>-1058.54</f>
        <v>-1058.54</v>
      </c>
      <c r="E45" s="2"/>
      <c r="F45" s="19"/>
      <c r="G45" s="2"/>
      <c r="H45" s="2">
        <f>-1715.94</f>
        <v>-1715.94</v>
      </c>
      <c r="I45" s="2"/>
      <c r="J45" s="19"/>
      <c r="K45" s="2"/>
      <c r="L45" s="2">
        <f t="shared" si="0"/>
        <v>657.40000000000009</v>
      </c>
      <c r="M45" s="2"/>
      <c r="N45" s="19">
        <f t="shared" si="1"/>
        <v>-0.38311362868165555</v>
      </c>
      <c r="O45" s="11"/>
      <c r="P45" s="2">
        <f>-1927.27</f>
        <v>-1927.27</v>
      </c>
      <c r="Q45" s="2"/>
      <c r="R45" s="19"/>
      <c r="S45" s="2"/>
      <c r="T45" s="2">
        <f>-2781.43</f>
        <v>-2781.43</v>
      </c>
      <c r="U45" s="2"/>
      <c r="V45" s="19"/>
      <c r="W45" s="2"/>
      <c r="X45" s="2">
        <f t="shared" si="2"/>
        <v>854.15999999999985</v>
      </c>
      <c r="Y45" s="2"/>
      <c r="Z45" s="19">
        <f t="shared" si="3"/>
        <v>-0.30709383302833432</v>
      </c>
    </row>
    <row r="46" spans="1:26" s="24" customFormat="1" hidden="1" outlineLevel="1" x14ac:dyDescent="0.25">
      <c r="A46" s="44"/>
      <c r="B46" s="11" t="str">
        <f>CONCATENATE("          ", "4281", " - ", "SALES RETURN TAXABLE-ELECTRONI")</f>
        <v xml:space="preserve">          4281 - SALES RETURN TAXABLE-ELECTRONI</v>
      </c>
      <c r="C46" s="11"/>
      <c r="D46" s="2">
        <f>-24.99</f>
        <v>-24.99</v>
      </c>
      <c r="E46" s="2"/>
      <c r="F46" s="19"/>
      <c r="G46" s="2"/>
      <c r="H46" s="2">
        <f t="shared" ref="H46:H48" si="4">0</f>
        <v>0</v>
      </c>
      <c r="I46" s="2"/>
      <c r="J46" s="19"/>
      <c r="K46" s="2"/>
      <c r="L46" s="2">
        <f t="shared" si="0"/>
        <v>-24.99</v>
      </c>
      <c r="M46" s="2"/>
      <c r="N46" s="19">
        <f t="shared" si="1"/>
        <v>0</v>
      </c>
      <c r="O46" s="11"/>
      <c r="P46" s="2">
        <f>-24.99</f>
        <v>-24.99</v>
      </c>
      <c r="Q46" s="2"/>
      <c r="R46" s="19"/>
      <c r="S46" s="2"/>
      <c r="T46" s="2">
        <f>0</f>
        <v>0</v>
      </c>
      <c r="U46" s="2"/>
      <c r="V46" s="19"/>
      <c r="W46" s="2"/>
      <c r="X46" s="2">
        <f t="shared" si="2"/>
        <v>-24.99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"4326", " - ", "SALES RETURN NON TAXABLE-WRITI")</f>
        <v xml:space="preserve">          4326 - SALES RETURN NON TAXABLE-WRITI</v>
      </c>
      <c r="C47" s="11"/>
      <c r="D47" s="2">
        <f>0</f>
        <v>0</v>
      </c>
      <c r="E47" s="2"/>
      <c r="F47" s="19"/>
      <c r="G47" s="2"/>
      <c r="H47" s="2">
        <f t="shared" si="4"/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0</f>
        <v>0</v>
      </c>
      <c r="Q47" s="2"/>
      <c r="R47" s="19"/>
      <c r="S47" s="2"/>
      <c r="T47" s="2">
        <f>-5.58</f>
        <v>-5.58</v>
      </c>
      <c r="U47" s="2"/>
      <c r="V47" s="19"/>
      <c r="W47" s="2"/>
      <c r="X47" s="2">
        <f t="shared" si="2"/>
        <v>5.58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"4327", " - ", "SALES RETURN NON TAXABLE-SCHOO")</f>
        <v xml:space="preserve">          4327 - SALES RETURN NON TAXABLE-SCHOO</v>
      </c>
      <c r="C48" s="11"/>
      <c r="D48" s="2">
        <f>-8.29</f>
        <v>-8.2899999999999991</v>
      </c>
      <c r="E48" s="2"/>
      <c r="F48" s="19"/>
      <c r="G48" s="2"/>
      <c r="H48" s="2">
        <f t="shared" si="4"/>
        <v>0</v>
      </c>
      <c r="I48" s="2"/>
      <c r="J48" s="19"/>
      <c r="K48" s="2"/>
      <c r="L48" s="2">
        <f t="shared" si="0"/>
        <v>-8.2899999999999991</v>
      </c>
      <c r="M48" s="2"/>
      <c r="N48" s="19">
        <f t="shared" si="1"/>
        <v>0</v>
      </c>
      <c r="O48" s="11"/>
      <c r="P48" s="2">
        <f>-21.87</f>
        <v>-21.87</v>
      </c>
      <c r="Q48" s="2"/>
      <c r="R48" s="19"/>
      <c r="S48" s="2"/>
      <c r="T48" s="2">
        <f>0</f>
        <v>0</v>
      </c>
      <c r="U48" s="2"/>
      <c r="V48" s="19"/>
      <c r="W48" s="2"/>
      <c r="X48" s="2">
        <f t="shared" si="2"/>
        <v>-21.87</v>
      </c>
      <c r="Y48" s="2"/>
      <c r="Z48" s="19">
        <f t="shared" si="3"/>
        <v>0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collapsed="1" x14ac:dyDescent="0.25">
      <c r="A50" s="10"/>
      <c r="B50" s="25" t="s">
        <v>8</v>
      </c>
      <c r="C50" s="10"/>
      <c r="D50" s="4">
        <f>SUM(OSRRefD16x_0)</f>
        <v>69876.12000000001</v>
      </c>
      <c r="E50" s="4"/>
      <c r="F50" s="12">
        <f t="shared" ref="F50:F71" si="5">IF(D$12=0,0,D50/D$12)</f>
        <v>0.50405509884948185</v>
      </c>
      <c r="G50" s="4"/>
      <c r="H50" s="4">
        <f>SUM(OSRRefH16x_0)</f>
        <v>69979.48</v>
      </c>
      <c r="I50" s="4"/>
      <c r="J50" s="12">
        <f t="shared" ref="J50:J71" si="6">IF(H$12=0,0,H50/H$12)</f>
        <v>0.51856703110387858</v>
      </c>
      <c r="K50" s="4"/>
      <c r="L50" s="4">
        <f t="shared" ref="L50:L71" si="7">+D50-H50</f>
        <v>-103.35999999998603</v>
      </c>
      <c r="M50" s="4"/>
      <c r="N50" s="12">
        <f t="shared" ref="N50:N71" si="8">IF(H50=0,0,L50/H50)</f>
        <v>-1.4770044018616033E-3</v>
      </c>
      <c r="O50" s="10"/>
      <c r="P50" s="4">
        <f>SUM(OSRRefP16x_0)</f>
        <v>141951.89999999997</v>
      </c>
      <c r="Q50" s="4"/>
      <c r="R50" s="12">
        <f t="shared" ref="R50:R71" si="9">IF(P$12=0,0,P50/P$12)</f>
        <v>0.48826200486742027</v>
      </c>
      <c r="S50" s="4"/>
      <c r="T50" s="4">
        <f>SUM(OSRRefT16x_0)</f>
        <v>146687.49999999994</v>
      </c>
      <c r="U50" s="4"/>
      <c r="V50" s="12">
        <f t="shared" ref="V50:V71" si="10">IF(T$12=0,0,T50/T$12)</f>
        <v>0.52013075790289365</v>
      </c>
      <c r="W50" s="4"/>
      <c r="X50" s="4">
        <f t="shared" ref="X50:X71" si="11">+P50-T50</f>
        <v>-4735.5999999999767</v>
      </c>
      <c r="Y50" s="4"/>
      <c r="Z50" s="12">
        <f t="shared" ref="Z50:Z71" si="12">IF(T50=0,0,X50/T50)</f>
        <v>-3.228359608010211E-2</v>
      </c>
    </row>
    <row r="51" spans="1:26" s="24" customFormat="1" hidden="1" outlineLevel="1" x14ac:dyDescent="0.25">
      <c r="A51" s="44"/>
      <c r="B51" s="11" t="str">
        <f>CONCATENATE("          ", "5017", " - ", "PURCHASES @ COST-DORM/HOUSEWAR")</f>
        <v xml:space="preserve">          5017 - PURCHASES @ COST-DORM/HOUSEWAR</v>
      </c>
      <c r="C51" s="11"/>
      <c r="D51" s="2">
        <v>-139.86000000000001</v>
      </c>
      <c r="E51" s="2"/>
      <c r="F51" s="19">
        <f t="shared" si="5"/>
        <v>-1.0088875301760964E-3</v>
      </c>
      <c r="G51" s="2"/>
      <c r="H51" s="2">
        <v>-959.6</v>
      </c>
      <c r="I51" s="2"/>
      <c r="J51" s="19">
        <f t="shared" si="6"/>
        <v>-7.1108976952569802E-3</v>
      </c>
      <c r="K51" s="2"/>
      <c r="L51" s="2">
        <f t="shared" si="7"/>
        <v>819.74</v>
      </c>
      <c r="M51" s="2"/>
      <c r="N51" s="19">
        <f t="shared" si="8"/>
        <v>-0.85425177157148813</v>
      </c>
      <c r="O51" s="11"/>
      <c r="P51" s="2">
        <v>0</v>
      </c>
      <c r="Q51" s="2"/>
      <c r="R51" s="19">
        <f t="shared" si="9"/>
        <v>0</v>
      </c>
      <c r="S51" s="2"/>
      <c r="T51" s="2">
        <v>0</v>
      </c>
      <c r="U51" s="2"/>
      <c r="V51" s="19">
        <f t="shared" si="10"/>
        <v>0</v>
      </c>
      <c r="W51" s="2"/>
      <c r="X51" s="2">
        <f t="shared" si="11"/>
        <v>0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"5025", " - ", "PURCHASES @ COST-TEST FORMS")</f>
        <v xml:space="preserve">          5025 - PURCHASES @ COST-TEST FORMS</v>
      </c>
      <c r="C52" s="11"/>
      <c r="D52" s="2">
        <v>1495.25</v>
      </c>
      <c r="E52" s="2"/>
      <c r="F52" s="19">
        <f t="shared" si="5"/>
        <v>1.0786065204460231E-2</v>
      </c>
      <c r="G52" s="2"/>
      <c r="H52" s="2">
        <v>1.8</v>
      </c>
      <c r="I52" s="2"/>
      <c r="J52" s="19">
        <f t="shared" si="6"/>
        <v>1.3338490883141479E-5</v>
      </c>
      <c r="K52" s="2"/>
      <c r="L52" s="2">
        <f t="shared" si="7"/>
        <v>1493.45</v>
      </c>
      <c r="M52" s="2"/>
      <c r="N52" s="19">
        <f t="shared" si="8"/>
        <v>829.69444444444446</v>
      </c>
      <c r="O52" s="11"/>
      <c r="P52" s="2">
        <v>3252.39</v>
      </c>
      <c r="Q52" s="2"/>
      <c r="R52" s="19">
        <f t="shared" si="9"/>
        <v>1.1187018011106222E-2</v>
      </c>
      <c r="S52" s="2"/>
      <c r="T52" s="2">
        <v>1036.8</v>
      </c>
      <c r="U52" s="2"/>
      <c r="V52" s="19">
        <f t="shared" si="10"/>
        <v>3.6763294063483281E-3</v>
      </c>
      <c r="W52" s="2"/>
      <c r="X52" s="2">
        <f t="shared" si="11"/>
        <v>2215.59</v>
      </c>
      <c r="Y52" s="2"/>
      <c r="Z52" s="19">
        <f t="shared" si="12"/>
        <v>2.1369502314814817</v>
      </c>
    </row>
    <row r="53" spans="1:26" s="24" customFormat="1" hidden="1" outlineLevel="1" x14ac:dyDescent="0.25">
      <c r="A53" s="44"/>
      <c r="B53" s="11" t="str">
        <f>CONCATENATE("          ", "5026", " - ", "PURCHASES @ COST-WRITING INSTR")</f>
        <v xml:space="preserve">          5026 - PURCHASES @ COST-WRITING INSTR</v>
      </c>
      <c r="C53" s="11"/>
      <c r="D53" s="2">
        <v>2262.16</v>
      </c>
      <c r="E53" s="2"/>
      <c r="F53" s="19">
        <f t="shared" si="5"/>
        <v>1.6318211177342754E-2</v>
      </c>
      <c r="G53" s="2"/>
      <c r="H53" s="2">
        <v>18253.769999999997</v>
      </c>
      <c r="I53" s="2"/>
      <c r="J53" s="19">
        <f t="shared" si="6"/>
        <v>0.13526541373775633</v>
      </c>
      <c r="K53" s="2"/>
      <c r="L53" s="2">
        <f t="shared" si="7"/>
        <v>-15991.609999999997</v>
      </c>
      <c r="M53" s="2"/>
      <c r="N53" s="19">
        <f t="shared" si="8"/>
        <v>-0.87607162794315907</v>
      </c>
      <c r="O53" s="11"/>
      <c r="P53" s="2">
        <v>14852.310000000001</v>
      </c>
      <c r="Q53" s="2"/>
      <c r="R53" s="19">
        <f t="shared" si="9"/>
        <v>5.1086450111005467E-2</v>
      </c>
      <c r="S53" s="2"/>
      <c r="T53" s="2">
        <v>22644.73</v>
      </c>
      <c r="U53" s="2"/>
      <c r="V53" s="19">
        <f t="shared" si="10"/>
        <v>8.0294643902216606E-2</v>
      </c>
      <c r="W53" s="2"/>
      <c r="X53" s="2">
        <f t="shared" si="11"/>
        <v>-7792.4199999999983</v>
      </c>
      <c r="Y53" s="2"/>
      <c r="Z53" s="19">
        <f t="shared" si="12"/>
        <v>-0.34411626899503761</v>
      </c>
    </row>
    <row r="54" spans="1:26" s="24" customFormat="1" hidden="1" outlineLevel="1" x14ac:dyDescent="0.25">
      <c r="A54" s="44"/>
      <c r="B54" s="11" t="str">
        <f>CONCATENATE("          ", "5027", " - ", "PURCHASES @ COST-SCHOOL SUPPLI")</f>
        <v xml:space="preserve">          5027 - PURCHASES @ COST-SCHOOL SUPPLI</v>
      </c>
      <c r="C54" s="11"/>
      <c r="D54" s="2">
        <v>12691.01</v>
      </c>
      <c r="E54" s="2"/>
      <c r="F54" s="19">
        <f t="shared" si="5"/>
        <v>9.1547273947805943E-2</v>
      </c>
      <c r="G54" s="2"/>
      <c r="H54" s="2">
        <v>15160.369999999999</v>
      </c>
      <c r="I54" s="2"/>
      <c r="J54" s="19">
        <f t="shared" si="6"/>
        <v>0.11234247612780643</v>
      </c>
      <c r="K54" s="2"/>
      <c r="L54" s="2">
        <f t="shared" si="7"/>
        <v>-2469.3599999999988</v>
      </c>
      <c r="M54" s="2"/>
      <c r="N54" s="19">
        <f t="shared" si="8"/>
        <v>-0.1628825681695103</v>
      </c>
      <c r="O54" s="11"/>
      <c r="P54" s="2">
        <v>62154.22</v>
      </c>
      <c r="Q54" s="2"/>
      <c r="R54" s="19">
        <f t="shared" si="9"/>
        <v>0.21378751582874705</v>
      </c>
      <c r="S54" s="2"/>
      <c r="T54" s="2">
        <v>58215.7</v>
      </c>
      <c r="U54" s="2"/>
      <c r="V54" s="19">
        <f t="shared" si="10"/>
        <v>0.20642369774416702</v>
      </c>
      <c r="W54" s="2"/>
      <c r="X54" s="2">
        <f t="shared" si="11"/>
        <v>3938.5200000000041</v>
      </c>
      <c r="Y54" s="2"/>
      <c r="Z54" s="19">
        <f t="shared" si="12"/>
        <v>6.7653914665631504E-2</v>
      </c>
    </row>
    <row r="55" spans="1:26" s="24" customFormat="1" hidden="1" outlineLevel="1" x14ac:dyDescent="0.25">
      <c r="A55" s="44"/>
      <c r="B55" s="11" t="str">
        <f>CONCATENATE("          ", "5028", " - ", "PURCHASES @ COST-ART/TECH")</f>
        <v xml:space="preserve">          5028 - PURCHASES @ COST-ART/TECH</v>
      </c>
      <c r="C55" s="11"/>
      <c r="D55" s="2">
        <v>14830.009999999998</v>
      </c>
      <c r="E55" s="2"/>
      <c r="F55" s="19">
        <f t="shared" si="5"/>
        <v>0.1069770639309796</v>
      </c>
      <c r="G55" s="2"/>
      <c r="H55" s="2">
        <v>15579.26</v>
      </c>
      <c r="I55" s="2"/>
      <c r="J55" s="19">
        <f t="shared" si="6"/>
        <v>0.11544656526449484</v>
      </c>
      <c r="K55" s="2"/>
      <c r="L55" s="2">
        <f t="shared" si="7"/>
        <v>-749.25000000000182</v>
      </c>
      <c r="M55" s="2"/>
      <c r="N55" s="19">
        <f t="shared" si="8"/>
        <v>-4.8092784894789728E-2</v>
      </c>
      <c r="O55" s="11"/>
      <c r="P55" s="2">
        <v>70844.78</v>
      </c>
      <c r="Q55" s="2"/>
      <c r="R55" s="19">
        <f t="shared" si="9"/>
        <v>0.24367982617486153</v>
      </c>
      <c r="S55" s="2"/>
      <c r="T55" s="2">
        <v>53175.57</v>
      </c>
      <c r="U55" s="2"/>
      <c r="V55" s="19">
        <f t="shared" si="10"/>
        <v>0.18855219105934989</v>
      </c>
      <c r="W55" s="2"/>
      <c r="X55" s="2">
        <f t="shared" si="11"/>
        <v>17669.21</v>
      </c>
      <c r="Y55" s="2"/>
      <c r="Z55" s="19">
        <f t="shared" si="12"/>
        <v>0.3322805942653741</v>
      </c>
    </row>
    <row r="56" spans="1:26" s="24" customFormat="1" hidden="1" outlineLevel="1" x14ac:dyDescent="0.25">
      <c r="A56" s="44"/>
      <c r="B56" s="11" t="str">
        <f>CONCATENATE("          ", "5031", " - ", "PURCHASES @ COST-FOOD")</f>
        <v xml:space="preserve">          5031 - PURCHASES @ COST-FOOD</v>
      </c>
      <c r="C56" s="11"/>
      <c r="D56" s="2">
        <v>5471.01</v>
      </c>
      <c r="E56" s="2"/>
      <c r="F56" s="19">
        <f t="shared" si="5"/>
        <v>3.9465420895672274E-2</v>
      </c>
      <c r="G56" s="2"/>
      <c r="H56" s="2">
        <v>4130.26</v>
      </c>
      <c r="I56" s="2"/>
      <c r="J56" s="19">
        <f t="shared" si="6"/>
        <v>3.0606352975002183E-2</v>
      </c>
      <c r="K56" s="2"/>
      <c r="L56" s="2">
        <f t="shared" si="7"/>
        <v>1340.75</v>
      </c>
      <c r="M56" s="2"/>
      <c r="N56" s="19">
        <f t="shared" si="8"/>
        <v>0.32461636797683435</v>
      </c>
      <c r="O56" s="11"/>
      <c r="P56" s="2">
        <v>8150.05</v>
      </c>
      <c r="Q56" s="2"/>
      <c r="R56" s="19">
        <f t="shared" si="9"/>
        <v>2.8033155968815632E-2</v>
      </c>
      <c r="S56" s="2"/>
      <c r="T56" s="2">
        <v>7093.43</v>
      </c>
      <c r="U56" s="2"/>
      <c r="V56" s="19">
        <f t="shared" si="10"/>
        <v>2.5152184896675756E-2</v>
      </c>
      <c r="W56" s="2"/>
      <c r="X56" s="2">
        <f t="shared" si="11"/>
        <v>1056.6199999999999</v>
      </c>
      <c r="Y56" s="2"/>
      <c r="Z56" s="19">
        <f t="shared" si="12"/>
        <v>0.14895755649946499</v>
      </c>
    </row>
    <row r="57" spans="1:26" s="24" customFormat="1" hidden="1" outlineLevel="1" x14ac:dyDescent="0.25">
      <c r="A57" s="44"/>
      <c r="B57" s="11" t="str">
        <f>CONCATENATE("          ", "5032", " - ", "PURCHASES @ COST-JUICE")</f>
        <v xml:space="preserve">          5032 - PURCHASES @ COST-JUICE</v>
      </c>
      <c r="C57" s="11"/>
      <c r="D57" s="2">
        <v>477.55</v>
      </c>
      <c r="E57" s="2"/>
      <c r="F57" s="19">
        <f t="shared" si="5"/>
        <v>3.4448322610867634E-3</v>
      </c>
      <c r="G57" s="2"/>
      <c r="H57" s="2">
        <v>1045.49</v>
      </c>
      <c r="I57" s="2"/>
      <c r="J57" s="19">
        <f t="shared" si="6"/>
        <v>7.7473660185642139E-3</v>
      </c>
      <c r="K57" s="2"/>
      <c r="L57" s="2">
        <f t="shared" si="7"/>
        <v>-567.94000000000005</v>
      </c>
      <c r="M57" s="2"/>
      <c r="N57" s="19">
        <f t="shared" si="8"/>
        <v>-0.54322853398884741</v>
      </c>
      <c r="O57" s="11"/>
      <c r="P57" s="2">
        <v>819.15</v>
      </c>
      <c r="Q57" s="2"/>
      <c r="R57" s="19">
        <f t="shared" si="9"/>
        <v>2.8175728629708189E-3</v>
      </c>
      <c r="S57" s="2"/>
      <c r="T57" s="2">
        <v>2027.58</v>
      </c>
      <c r="U57" s="2"/>
      <c r="V57" s="19">
        <f t="shared" si="10"/>
        <v>7.1894791451810793E-3</v>
      </c>
      <c r="W57" s="2"/>
      <c r="X57" s="2">
        <f t="shared" si="11"/>
        <v>-1208.4299999999998</v>
      </c>
      <c r="Y57" s="2"/>
      <c r="Z57" s="19">
        <f t="shared" si="12"/>
        <v>-0.59599621223330268</v>
      </c>
    </row>
    <row r="58" spans="1:26" s="24" customFormat="1" hidden="1" outlineLevel="1" x14ac:dyDescent="0.25">
      <c r="A58" s="44"/>
      <c r="B58" s="11" t="str">
        <f>CONCATENATE("          ", "5033", " - ", "PURCHASES @ COST-CANDY")</f>
        <v xml:space="preserve">          5033 - PURCHASES @ COST-CANDY</v>
      </c>
      <c r="C58" s="11"/>
      <c r="D58" s="2">
        <v>1366.65</v>
      </c>
      <c r="E58" s="2"/>
      <c r="F58" s="19">
        <f t="shared" si="5"/>
        <v>9.8584022816756902E-3</v>
      </c>
      <c r="G58" s="2"/>
      <c r="H58" s="2">
        <v>682.94</v>
      </c>
      <c r="I58" s="2"/>
      <c r="J58" s="19">
        <f t="shared" si="6"/>
        <v>5.0607716465181345E-3</v>
      </c>
      <c r="K58" s="2"/>
      <c r="L58" s="2">
        <f t="shared" si="7"/>
        <v>683.71</v>
      </c>
      <c r="M58" s="2"/>
      <c r="N58" s="19">
        <f t="shared" si="8"/>
        <v>1.0011274782557764</v>
      </c>
      <c r="O58" s="11"/>
      <c r="P58" s="2">
        <v>2353.11</v>
      </c>
      <c r="Q58" s="2"/>
      <c r="R58" s="19">
        <f t="shared" si="9"/>
        <v>8.0938276012760355E-3</v>
      </c>
      <c r="S58" s="2"/>
      <c r="T58" s="2">
        <v>1772.86</v>
      </c>
      <c r="U58" s="2"/>
      <c r="V58" s="19">
        <f t="shared" si="10"/>
        <v>6.2862821675720455E-3</v>
      </c>
      <c r="W58" s="2"/>
      <c r="X58" s="2">
        <f t="shared" si="11"/>
        <v>580.25000000000023</v>
      </c>
      <c r="Y58" s="2"/>
      <c r="Z58" s="19">
        <f t="shared" si="12"/>
        <v>0.32729600758097099</v>
      </c>
    </row>
    <row r="59" spans="1:26" s="24" customFormat="1" hidden="1" outlineLevel="1" x14ac:dyDescent="0.25">
      <c r="A59" s="44"/>
      <c r="B59" s="11" t="str">
        <f>CONCATENATE("          ", "5034", " - ", "PURCHASES @ COST-SODA")</f>
        <v xml:space="preserve">          5034 - PURCHASES @ COST-SODA</v>
      </c>
      <c r="C59" s="11"/>
      <c r="D59" s="2">
        <v>330.04</v>
      </c>
      <c r="E59" s="2"/>
      <c r="F59" s="19">
        <f t="shared" si="5"/>
        <v>2.3807610500451797E-3</v>
      </c>
      <c r="G59" s="2"/>
      <c r="H59" s="2">
        <v>128.18</v>
      </c>
      <c r="I59" s="2"/>
      <c r="J59" s="19">
        <f t="shared" si="6"/>
        <v>9.4984875633393048E-4</v>
      </c>
      <c r="K59" s="2"/>
      <c r="L59" s="2">
        <f t="shared" si="7"/>
        <v>201.86</v>
      </c>
      <c r="M59" s="2"/>
      <c r="N59" s="19">
        <f t="shared" si="8"/>
        <v>1.5748166640661569</v>
      </c>
      <c r="O59" s="11"/>
      <c r="P59" s="2">
        <v>618.54</v>
      </c>
      <c r="Q59" s="2"/>
      <c r="R59" s="19">
        <f t="shared" si="9"/>
        <v>2.1275487012903257E-3</v>
      </c>
      <c r="S59" s="2"/>
      <c r="T59" s="2">
        <v>676.36</v>
      </c>
      <c r="U59" s="2"/>
      <c r="V59" s="19">
        <f t="shared" si="10"/>
        <v>2.3982659695966006E-3</v>
      </c>
      <c r="W59" s="2"/>
      <c r="X59" s="2">
        <f t="shared" si="11"/>
        <v>-57.82000000000005</v>
      </c>
      <c r="Y59" s="2"/>
      <c r="Z59" s="19">
        <f t="shared" si="12"/>
        <v>-8.5487018747412699E-2</v>
      </c>
    </row>
    <row r="60" spans="1:26" s="24" customFormat="1" hidden="1" outlineLevel="1" x14ac:dyDescent="0.25">
      <c r="A60" s="44"/>
      <c r="B60" s="11" t="str">
        <f>CONCATENATE("          ", "5035", " - ", "PURCHASES @ COST-HEALTH &amp; BEAU")</f>
        <v xml:space="preserve">          5035 - PURCHASES @ COST-HEALTH &amp; BEAU</v>
      </c>
      <c r="C60" s="11"/>
      <c r="D60" s="2">
        <v>210.83</v>
      </c>
      <c r="E60" s="2"/>
      <c r="F60" s="19">
        <f t="shared" si="5"/>
        <v>1.5208333904406291E-3</v>
      </c>
      <c r="G60" s="2"/>
      <c r="H60" s="2">
        <v>81.03</v>
      </c>
      <c r="I60" s="2"/>
      <c r="J60" s="19">
        <f t="shared" si="6"/>
        <v>6.0045439792275231E-4</v>
      </c>
      <c r="K60" s="2"/>
      <c r="L60" s="2">
        <f t="shared" si="7"/>
        <v>129.80000000000001</v>
      </c>
      <c r="M60" s="2"/>
      <c r="N60" s="19">
        <f t="shared" si="8"/>
        <v>1.601875848451191</v>
      </c>
      <c r="O60" s="11"/>
      <c r="P60" s="2">
        <v>287.56</v>
      </c>
      <c r="Q60" s="2"/>
      <c r="R60" s="19">
        <f t="shared" si="9"/>
        <v>9.8909998471084499E-4</v>
      </c>
      <c r="S60" s="2"/>
      <c r="T60" s="2">
        <v>125.52</v>
      </c>
      <c r="U60" s="2"/>
      <c r="V60" s="19">
        <f t="shared" si="10"/>
        <v>4.4507413877781839E-4</v>
      </c>
      <c r="W60" s="2"/>
      <c r="X60" s="2">
        <f t="shared" si="11"/>
        <v>162.04000000000002</v>
      </c>
      <c r="Y60" s="2"/>
      <c r="Z60" s="19">
        <f t="shared" si="12"/>
        <v>1.290949649458254</v>
      </c>
    </row>
    <row r="61" spans="1:26" s="24" customFormat="1" hidden="1" outlineLevel="1" x14ac:dyDescent="0.25">
      <c r="A61" s="44"/>
      <c r="B61" s="11" t="str">
        <f>CONCATENATE("          ", "5037", " - ", "PURCHASES @ COST-WATER")</f>
        <v xml:space="preserve">          5037 - PURCHASES @ COST-WATER</v>
      </c>
      <c r="C61" s="11"/>
      <c r="D61" s="2">
        <v>896.64</v>
      </c>
      <c r="E61" s="2"/>
      <c r="F61" s="19">
        <f t="shared" si="5"/>
        <v>6.4679602106184394E-3</v>
      </c>
      <c r="G61" s="2"/>
      <c r="H61" s="2">
        <v>599.04</v>
      </c>
      <c r="I61" s="2"/>
      <c r="J61" s="19">
        <f t="shared" si="6"/>
        <v>4.4390497659094839E-3</v>
      </c>
      <c r="K61" s="2"/>
      <c r="L61" s="2">
        <f t="shared" si="7"/>
        <v>297.60000000000002</v>
      </c>
      <c r="M61" s="2"/>
      <c r="N61" s="19">
        <f t="shared" si="8"/>
        <v>0.49679487179487186</v>
      </c>
      <c r="O61" s="11"/>
      <c r="P61" s="2">
        <v>1362.82</v>
      </c>
      <c r="Q61" s="2"/>
      <c r="R61" s="19">
        <f t="shared" si="9"/>
        <v>4.6875964708708922E-3</v>
      </c>
      <c r="S61" s="2"/>
      <c r="T61" s="2">
        <v>1190.0999999999999</v>
      </c>
      <c r="U61" s="2"/>
      <c r="V61" s="19">
        <f t="shared" si="10"/>
        <v>4.2199070471596696E-3</v>
      </c>
      <c r="W61" s="2"/>
      <c r="X61" s="2">
        <f t="shared" si="11"/>
        <v>172.72000000000003</v>
      </c>
      <c r="Y61" s="2"/>
      <c r="Z61" s="19">
        <f t="shared" si="12"/>
        <v>0.14513066128896734</v>
      </c>
    </row>
    <row r="62" spans="1:26" s="24" customFormat="1" hidden="1" outlineLevel="1" x14ac:dyDescent="0.25">
      <c r="A62" s="44"/>
      <c r="B62" s="11" t="str">
        <f>CONCATENATE("          ", "5081", " - ", "PURCHASES @ COST-ELECTRONICS")</f>
        <v xml:space="preserve">          5081 - PURCHASES @ COST-ELECTRONICS</v>
      </c>
      <c r="C62" s="11"/>
      <c r="D62" s="2">
        <v>167.92</v>
      </c>
      <c r="E62" s="2"/>
      <c r="F62" s="19">
        <f t="shared" si="5"/>
        <v>1.2112998288800949E-3</v>
      </c>
      <c r="G62" s="2"/>
      <c r="H62" s="2">
        <v>746.04</v>
      </c>
      <c r="I62" s="2"/>
      <c r="J62" s="19">
        <f t="shared" si="6"/>
        <v>5.5283598546993721E-3</v>
      </c>
      <c r="K62" s="2"/>
      <c r="L62" s="2">
        <f t="shared" si="7"/>
        <v>-578.12</v>
      </c>
      <c r="M62" s="2"/>
      <c r="N62" s="19">
        <f t="shared" si="8"/>
        <v>-0.77491823494718781</v>
      </c>
      <c r="O62" s="11"/>
      <c r="P62" s="2">
        <v>472.08</v>
      </c>
      <c r="Q62" s="2"/>
      <c r="R62" s="19">
        <f t="shared" si="9"/>
        <v>1.6237805007034906E-3</v>
      </c>
      <c r="S62" s="2"/>
      <c r="T62" s="2">
        <v>902.56</v>
      </c>
      <c r="U62" s="2"/>
      <c r="V62" s="19">
        <f t="shared" si="10"/>
        <v>3.2003355217918084E-3</v>
      </c>
      <c r="W62" s="2"/>
      <c r="X62" s="2">
        <f t="shared" si="11"/>
        <v>-430.47999999999996</v>
      </c>
      <c r="Y62" s="2"/>
      <c r="Z62" s="19">
        <f t="shared" si="12"/>
        <v>-0.47695444070200316</v>
      </c>
    </row>
    <row r="63" spans="1:26" s="24" customFormat="1" hidden="1" outlineLevel="1" x14ac:dyDescent="0.25">
      <c r="A63" s="44"/>
      <c r="B63" s="11" t="str">
        <f>CONCATENATE("          ", "5082", " - ", "PURCHASES @ COST-COMPUTER HARD")</f>
        <v xml:space="preserve">          5082 - PURCHASES @ COST-COMPUTER HARD</v>
      </c>
      <c r="C63" s="11"/>
      <c r="D63" s="2">
        <v>19</v>
      </c>
      <c r="E63" s="2"/>
      <c r="F63" s="19">
        <f t="shared" si="5"/>
        <v>1.370575080319307E-4</v>
      </c>
      <c r="G63" s="2"/>
      <c r="H63" s="2">
        <v>135</v>
      </c>
      <c r="I63" s="2"/>
      <c r="J63" s="19">
        <f t="shared" si="6"/>
        <v>1.000386816235611E-3</v>
      </c>
      <c r="K63" s="2"/>
      <c r="L63" s="2">
        <f t="shared" si="7"/>
        <v>-116</v>
      </c>
      <c r="M63" s="2"/>
      <c r="N63" s="19">
        <f t="shared" si="8"/>
        <v>-0.85925925925925928</v>
      </c>
      <c r="O63" s="11"/>
      <c r="P63" s="2">
        <v>149.6</v>
      </c>
      <c r="Q63" s="2"/>
      <c r="R63" s="19">
        <f t="shared" si="9"/>
        <v>5.145686385893115E-4</v>
      </c>
      <c r="S63" s="2"/>
      <c r="T63" s="2">
        <v>193</v>
      </c>
      <c r="U63" s="2"/>
      <c r="V63" s="19">
        <f t="shared" si="10"/>
        <v>6.8434758432217146E-4</v>
      </c>
      <c r="W63" s="2"/>
      <c r="X63" s="2">
        <f t="shared" si="11"/>
        <v>-43.400000000000006</v>
      </c>
      <c r="Y63" s="2"/>
      <c r="Z63" s="19">
        <f t="shared" si="12"/>
        <v>-0.22487046632124355</v>
      </c>
    </row>
    <row r="64" spans="1:26" s="24" customFormat="1" hidden="1" outlineLevel="1" x14ac:dyDescent="0.25">
      <c r="A64" s="44"/>
      <c r="B64" s="11" t="str">
        <f>CONCATENATE("          ", "5083", " - ", "PURCHASES @ COST-COMPUTER EQUI")</f>
        <v xml:space="preserve">          5083 - PURCHASES @ COST-COMPUTER EQUI</v>
      </c>
      <c r="C64" s="11"/>
      <c r="D64" s="2">
        <v>74.55</v>
      </c>
      <c r="E64" s="2"/>
      <c r="F64" s="19">
        <f t="shared" si="5"/>
        <v>5.377703801989702E-4</v>
      </c>
      <c r="G64" s="2"/>
      <c r="H64" s="2">
        <v>112.51</v>
      </c>
      <c r="I64" s="2"/>
      <c r="J64" s="19">
        <f t="shared" si="6"/>
        <v>8.3372978292347113E-4</v>
      </c>
      <c r="K64" s="2"/>
      <c r="L64" s="2">
        <f t="shared" si="7"/>
        <v>-37.960000000000008</v>
      </c>
      <c r="M64" s="2"/>
      <c r="N64" s="19">
        <f t="shared" si="8"/>
        <v>-0.3373922318016177</v>
      </c>
      <c r="O64" s="11"/>
      <c r="P64" s="2">
        <v>116.05</v>
      </c>
      <c r="Q64" s="2"/>
      <c r="R64" s="19">
        <f t="shared" si="9"/>
        <v>3.9916905419979683E-4</v>
      </c>
      <c r="S64" s="2"/>
      <c r="T64" s="2">
        <v>182.76</v>
      </c>
      <c r="U64" s="2"/>
      <c r="V64" s="19">
        <f t="shared" si="10"/>
        <v>6.480381580866323E-4</v>
      </c>
      <c r="W64" s="2"/>
      <c r="X64" s="2">
        <f t="shared" si="11"/>
        <v>-66.709999999999994</v>
      </c>
      <c r="Y64" s="2"/>
      <c r="Z64" s="19">
        <f t="shared" si="12"/>
        <v>-0.36501422630772595</v>
      </c>
    </row>
    <row r="65" spans="1:26" s="24" customFormat="1" hidden="1" outlineLevel="1" x14ac:dyDescent="0.25">
      <c r="A65" s="44"/>
      <c r="B65" s="11" t="str">
        <f>CONCATENATE("          ", "5086", " - ", "PURCHASES @ COST-COMPUTER SUPP")</f>
        <v xml:space="preserve">          5086 - PURCHASES @ COST-COMPUTER SUPP</v>
      </c>
      <c r="C65" s="11"/>
      <c r="D65" s="2">
        <v>29</v>
      </c>
      <c r="E65" s="2"/>
      <c r="F65" s="19">
        <f t="shared" si="5"/>
        <v>2.0919303857505213E-4</v>
      </c>
      <c r="G65" s="2"/>
      <c r="H65" s="2">
        <v>150.44</v>
      </c>
      <c r="I65" s="2"/>
      <c r="J65" s="19">
        <f t="shared" si="6"/>
        <v>1.1148014269221134E-3</v>
      </c>
      <c r="K65" s="2"/>
      <c r="L65" s="2">
        <f t="shared" si="7"/>
        <v>-121.44</v>
      </c>
      <c r="M65" s="2"/>
      <c r="N65" s="19">
        <f t="shared" si="8"/>
        <v>-0.80723211911725601</v>
      </c>
      <c r="O65" s="11"/>
      <c r="P65" s="2">
        <v>87</v>
      </c>
      <c r="Q65" s="2"/>
      <c r="R65" s="19">
        <f t="shared" si="9"/>
        <v>2.9924780452720656E-4</v>
      </c>
      <c r="S65" s="2"/>
      <c r="T65" s="2">
        <v>242.91</v>
      </c>
      <c r="U65" s="2"/>
      <c r="V65" s="19">
        <f t="shared" si="10"/>
        <v>8.6132057879636614E-4</v>
      </c>
      <c r="W65" s="2"/>
      <c r="X65" s="2">
        <f t="shared" si="11"/>
        <v>-155.91</v>
      </c>
      <c r="Y65" s="2"/>
      <c r="Z65" s="19">
        <f t="shared" si="12"/>
        <v>-0.64184265777448435</v>
      </c>
    </row>
    <row r="66" spans="1:26" s="24" customFormat="1" hidden="1" outlineLevel="1" x14ac:dyDescent="0.25">
      <c r="A66" s="44"/>
      <c r="B66" s="11" t="str">
        <f>CONCATENATE("          ", "5200", " - ", "PURCHASES OFFSET")</f>
        <v xml:space="preserve">          5200 - PURCHASES OFFSET</v>
      </c>
      <c r="C66" s="11"/>
      <c r="D66" s="2">
        <v>-40649</v>
      </c>
      <c r="E66" s="2"/>
      <c r="F66" s="19">
        <f t="shared" si="5"/>
        <v>-0.2932237181047343</v>
      </c>
      <c r="G66" s="2"/>
      <c r="H66" s="2">
        <v>-56621</v>
      </c>
      <c r="I66" s="2"/>
      <c r="J66" s="19">
        <f t="shared" si="6"/>
        <v>-0.41957705127464096</v>
      </c>
      <c r="K66" s="2"/>
      <c r="L66" s="2">
        <f t="shared" si="7"/>
        <v>15972</v>
      </c>
      <c r="M66" s="2"/>
      <c r="N66" s="19">
        <f t="shared" si="8"/>
        <v>-0.28208615178114127</v>
      </c>
      <c r="O66" s="11"/>
      <c r="P66" s="2">
        <v>-166604</v>
      </c>
      <c r="Q66" s="2"/>
      <c r="R66" s="19">
        <f t="shared" si="9"/>
        <v>-0.5730561060396635</v>
      </c>
      <c r="S66" s="2"/>
      <c r="T66" s="2">
        <v>-150805</v>
      </c>
      <c r="U66" s="2"/>
      <c r="V66" s="19">
        <f t="shared" si="10"/>
        <v>-0.53473076400883457</v>
      </c>
      <c r="W66" s="2"/>
      <c r="X66" s="2">
        <f t="shared" si="11"/>
        <v>-15799</v>
      </c>
      <c r="Y66" s="2"/>
      <c r="Z66" s="19">
        <f t="shared" si="12"/>
        <v>0.10476443088757004</v>
      </c>
    </row>
    <row r="67" spans="1:26" s="24" customFormat="1" hidden="1" outlineLevel="1" x14ac:dyDescent="0.25">
      <c r="A67" s="44"/>
      <c r="B67" s="11" t="str">
        <f>CONCATENATE("          ", "5300", " - ", "COG$ OFFSET")</f>
        <v xml:space="preserve">          5300 - COG$ OFFSET</v>
      </c>
      <c r="C67" s="11"/>
      <c r="D67" s="2">
        <v>69926</v>
      </c>
      <c r="E67" s="2"/>
      <c r="F67" s="19">
        <f t="shared" si="5"/>
        <v>0.5044149108758309</v>
      </c>
      <c r="G67" s="2"/>
      <c r="H67" s="2">
        <v>69979</v>
      </c>
      <c r="I67" s="2"/>
      <c r="J67" s="19">
        <f t="shared" si="6"/>
        <v>0.51856347417297644</v>
      </c>
      <c r="K67" s="2"/>
      <c r="L67" s="2">
        <f t="shared" si="7"/>
        <v>-53</v>
      </c>
      <c r="M67" s="2"/>
      <c r="N67" s="19">
        <f t="shared" si="8"/>
        <v>-7.573700681633061E-4</v>
      </c>
      <c r="O67" s="11"/>
      <c r="P67" s="2">
        <v>141953</v>
      </c>
      <c r="Q67" s="2"/>
      <c r="R67" s="19">
        <f t="shared" si="9"/>
        <v>0.48826578846035118</v>
      </c>
      <c r="S67" s="2"/>
      <c r="T67" s="2">
        <v>146687</v>
      </c>
      <c r="U67" s="2"/>
      <c r="V67" s="19">
        <f t="shared" si="10"/>
        <v>0.52012898498169102</v>
      </c>
      <c r="W67" s="2"/>
      <c r="X67" s="2">
        <f t="shared" si="11"/>
        <v>-4734</v>
      </c>
      <c r="Y67" s="2"/>
      <c r="Z67" s="19">
        <f t="shared" si="12"/>
        <v>-3.2272798543838244E-2</v>
      </c>
    </row>
    <row r="68" spans="1:26" s="24" customFormat="1" hidden="1" outlineLevel="1" x14ac:dyDescent="0.25">
      <c r="A68" s="44"/>
      <c r="B68" s="11" t="str">
        <f>CONCATENATE("          ", "5500", " - ", "FREIGHT-IN")</f>
        <v xml:space="preserve">          5500 - FREIGHT-IN</v>
      </c>
      <c r="C68" s="11"/>
      <c r="D68" s="2">
        <v>-49</v>
      </c>
      <c r="E68" s="2"/>
      <c r="F68" s="19">
        <f t="shared" si="5"/>
        <v>-3.5346409966129495E-4</v>
      </c>
      <c r="G68" s="2"/>
      <c r="H68" s="2"/>
      <c r="I68" s="2"/>
      <c r="J68" s="19">
        <f t="shared" si="6"/>
        <v>0</v>
      </c>
      <c r="K68" s="2"/>
      <c r="L68" s="2">
        <f t="shared" si="7"/>
        <v>-49</v>
      </c>
      <c r="M68" s="2"/>
      <c r="N68" s="19">
        <f t="shared" si="8"/>
        <v>0</v>
      </c>
      <c r="O68" s="11"/>
      <c r="P68" s="2">
        <v>0</v>
      </c>
      <c r="Q68" s="2"/>
      <c r="R68" s="19">
        <f t="shared" si="9"/>
        <v>0</v>
      </c>
      <c r="S68" s="2"/>
      <c r="T68" s="2"/>
      <c r="U68" s="2"/>
      <c r="V68" s="19">
        <f t="shared" si="10"/>
        <v>0</v>
      </c>
      <c r="W68" s="2"/>
      <c r="X68" s="2">
        <f t="shared" si="11"/>
        <v>0</v>
      </c>
      <c r="Y68" s="2"/>
      <c r="Z68" s="19">
        <f t="shared" si="12"/>
        <v>0</v>
      </c>
    </row>
    <row r="69" spans="1:26" s="24" customFormat="1" hidden="1" outlineLevel="1" x14ac:dyDescent="0.25">
      <c r="A69" s="44"/>
      <c r="B69" s="11" t="str">
        <f>CONCATENATE("          ", "5526", " - ", "FREIGHT-IN-WRITING INSTRUMENTS")</f>
        <v xml:space="preserve">          5526 - FREIGHT-IN-WRITING INSTRUMENTS</v>
      </c>
      <c r="C69" s="11"/>
      <c r="D69" s="2"/>
      <c r="E69" s="2"/>
      <c r="F69" s="19">
        <f t="shared" si="5"/>
        <v>0</v>
      </c>
      <c r="G69" s="2"/>
      <c r="H69" s="2"/>
      <c r="I69" s="2"/>
      <c r="J69" s="19">
        <f t="shared" si="6"/>
        <v>0</v>
      </c>
      <c r="K69" s="2"/>
      <c r="L69" s="2">
        <f t="shared" si="7"/>
        <v>0</v>
      </c>
      <c r="M69" s="2"/>
      <c r="N69" s="19">
        <f t="shared" si="8"/>
        <v>0</v>
      </c>
      <c r="O69" s="11"/>
      <c r="P69" s="2">
        <v>56.57</v>
      </c>
      <c r="Q69" s="2"/>
      <c r="R69" s="19">
        <f t="shared" si="9"/>
        <v>1.9457986554142616E-4</v>
      </c>
      <c r="S69" s="2"/>
      <c r="T69" s="2">
        <v>42.74</v>
      </c>
      <c r="U69" s="2"/>
      <c r="V69" s="19">
        <f t="shared" si="10"/>
        <v>1.5154930442450574E-4</v>
      </c>
      <c r="W69" s="2"/>
      <c r="X69" s="2">
        <f t="shared" si="11"/>
        <v>13.829999999999998</v>
      </c>
      <c r="Y69" s="2"/>
      <c r="Z69" s="19">
        <f t="shared" si="12"/>
        <v>0.32358446420215248</v>
      </c>
    </row>
    <row r="70" spans="1:26" s="24" customFormat="1" hidden="1" outlineLevel="1" x14ac:dyDescent="0.25">
      <c r="A70" s="44"/>
      <c r="B70" s="11" t="str">
        <f>CONCATENATE("          ", "5527", " - ", "FREIGHT-IN-SCHOOL SUPPLIES")</f>
        <v xml:space="preserve">          5527 - FREIGHT-IN-SCHOOL SUPPLIES</v>
      </c>
      <c r="C70" s="11"/>
      <c r="D70" s="2">
        <v>133.38999999999999</v>
      </c>
      <c r="E70" s="2"/>
      <c r="F70" s="19">
        <f t="shared" si="5"/>
        <v>9.6221584191469658E-4</v>
      </c>
      <c r="G70" s="2"/>
      <c r="H70" s="2">
        <v>444.43</v>
      </c>
      <c r="I70" s="2"/>
      <c r="J70" s="19">
        <f t="shared" si="6"/>
        <v>3.2933475017747601E-3</v>
      </c>
      <c r="K70" s="2"/>
      <c r="L70" s="2">
        <f t="shared" si="7"/>
        <v>-311.04000000000002</v>
      </c>
      <c r="M70" s="2"/>
      <c r="N70" s="19">
        <f t="shared" si="8"/>
        <v>-0.69986274553923011</v>
      </c>
      <c r="O70" s="11"/>
      <c r="P70" s="2">
        <v>393.9</v>
      </c>
      <c r="Q70" s="2"/>
      <c r="R70" s="19">
        <f t="shared" si="9"/>
        <v>1.3548702322214558E-3</v>
      </c>
      <c r="S70" s="2"/>
      <c r="T70" s="2">
        <v>725.1</v>
      </c>
      <c r="U70" s="2"/>
      <c r="V70" s="19">
        <f t="shared" si="10"/>
        <v>2.5710903284559923E-3</v>
      </c>
      <c r="W70" s="2"/>
      <c r="X70" s="2">
        <f t="shared" si="11"/>
        <v>-331.20000000000005</v>
      </c>
      <c r="Y70" s="2"/>
      <c r="Z70" s="19">
        <f t="shared" si="12"/>
        <v>-0.45676458419528349</v>
      </c>
    </row>
    <row r="71" spans="1:26" s="24" customFormat="1" hidden="1" outlineLevel="1" x14ac:dyDescent="0.25">
      <c r="A71" s="44"/>
      <c r="B71" s="11" t="str">
        <f>CONCATENATE("          ", "5528", " - ", "FREIGHT-IN-ART/TECH")</f>
        <v xml:space="preserve">          5528 - FREIGHT-IN-ART/TECH</v>
      </c>
      <c r="C71" s="11"/>
      <c r="D71" s="2">
        <v>332.97</v>
      </c>
      <c r="E71" s="2"/>
      <c r="F71" s="19">
        <f t="shared" si="5"/>
        <v>2.4018967604943144E-3</v>
      </c>
      <c r="G71" s="2"/>
      <c r="H71" s="2">
        <v>330.52</v>
      </c>
      <c r="I71" s="2"/>
      <c r="J71" s="19">
        <f t="shared" si="6"/>
        <v>2.4492433370532896E-3</v>
      </c>
      <c r="K71" s="2"/>
      <c r="L71" s="2">
        <f t="shared" si="7"/>
        <v>2.4500000000000455</v>
      </c>
      <c r="M71" s="2"/>
      <c r="N71" s="19">
        <f t="shared" si="8"/>
        <v>7.4125620234782932E-3</v>
      </c>
      <c r="O71" s="11"/>
      <c r="P71" s="2">
        <v>632.77</v>
      </c>
      <c r="Q71" s="2"/>
      <c r="R71" s="19">
        <f t="shared" si="9"/>
        <v>2.1764946352951782E-3</v>
      </c>
      <c r="S71" s="2"/>
      <c r="T71" s="2">
        <v>557.78</v>
      </c>
      <c r="U71" s="2"/>
      <c r="V71" s="19">
        <f t="shared" si="10"/>
        <v>1.9777999771151333E-3</v>
      </c>
      <c r="W71" s="2"/>
      <c r="X71" s="2">
        <f t="shared" si="11"/>
        <v>74.990000000000009</v>
      </c>
      <c r="Y71" s="2"/>
      <c r="Z71" s="19">
        <f t="shared" si="12"/>
        <v>0.13444368747534874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6" t="s">
        <v>6</v>
      </c>
      <c r="C73" s="26"/>
      <c r="D73" s="21">
        <f>D12-D50</f>
        <v>68751.819999999934</v>
      </c>
      <c r="E73" s="13"/>
      <c r="F73" s="20">
        <f>IF(D$12=0,0,D73/D$12)</f>
        <v>0.49594490115051815</v>
      </c>
      <c r="G73" s="13"/>
      <c r="H73" s="21">
        <f>H12-H50</f>
        <v>64968.320000000022</v>
      </c>
      <c r="I73" s="13"/>
      <c r="J73" s="20">
        <f>IF(H$12=0,0,H73/H$12)</f>
        <v>0.48143296889612142</v>
      </c>
      <c r="K73" s="15"/>
      <c r="L73" s="21">
        <f>+D73-H73</f>
        <v>3783.4999999999127</v>
      </c>
      <c r="M73" s="15"/>
      <c r="N73" s="20">
        <f>IF(H73=0,0,L73/H73)</f>
        <v>5.8236075675035331E-2</v>
      </c>
      <c r="O73" s="25"/>
      <c r="P73" s="21">
        <f>P12-P50</f>
        <v>148777.04999999999</v>
      </c>
      <c r="Q73" s="13"/>
      <c r="R73" s="20">
        <f>IF(P$12=0,0,P73/P$12)</f>
        <v>0.51173799513257967</v>
      </c>
      <c r="S73" s="13"/>
      <c r="T73" s="21">
        <f>T12-T50</f>
        <v>135332.93</v>
      </c>
      <c r="U73" s="13"/>
      <c r="V73" s="20">
        <f>IF(T$12=0,0,T73/T$12)</f>
        <v>0.4798692420971063</v>
      </c>
      <c r="W73" s="15"/>
      <c r="X73" s="21">
        <f>+P73-T73</f>
        <v>13444.119999999995</v>
      </c>
      <c r="Y73" s="15"/>
      <c r="Z73" s="20">
        <f>IF(T73=0,0,X73/T73)</f>
        <v>9.9341084243132816E-2</v>
      </c>
    </row>
    <row r="74" spans="1:26" x14ac:dyDescent="0.25">
      <c r="A74" s="9"/>
      <c r="B74" s="10"/>
      <c r="C74" s="9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5" t="s">
        <v>9</v>
      </c>
      <c r="C75" s="10"/>
      <c r="D75" s="22">
        <f>SUM(OSRRefD22x_0)</f>
        <v>19847.66</v>
      </c>
      <c r="E75" s="22"/>
      <c r="F75" s="34">
        <f t="shared" ref="F75:F84" si="13">IF(D$12=0,0,D75/D$12)</f>
        <v>0.14317214841394893</v>
      </c>
      <c r="G75" s="22"/>
      <c r="H75" s="22">
        <f>SUM(OSRRefH22x_0)</f>
        <v>18829.009999999998</v>
      </c>
      <c r="I75" s="22"/>
      <c r="J75" s="34">
        <f t="shared" ref="J75:J84" si="14">IF(H$12=0,0,H75/H$12)</f>
        <v>0.13952809901309984</v>
      </c>
      <c r="K75" s="4"/>
      <c r="L75" s="22">
        <f t="shared" ref="L75:L84" si="15">+D75-H75</f>
        <v>1018.6500000000015</v>
      </c>
      <c r="M75" s="4"/>
      <c r="N75" s="34">
        <f t="shared" ref="N75:N84" si="16">IF(H75=0,0,L75/H75)</f>
        <v>5.4100029688231167E-2</v>
      </c>
      <c r="O75" s="10"/>
      <c r="P75" s="22">
        <f>SUM(OSRRefP22x_0)</f>
        <v>61723.98000000001</v>
      </c>
      <c r="Q75" s="22"/>
      <c r="R75" s="34">
        <f t="shared" ref="R75:R84" si="17">IF(P$12=0,0,P75/P$12)</f>
        <v>0.21230764944461161</v>
      </c>
      <c r="S75" s="22"/>
      <c r="T75" s="22">
        <f>SUM(OSRRefT22x_0)</f>
        <v>58588.959999999992</v>
      </c>
      <c r="U75" s="22"/>
      <c r="V75" s="34">
        <f t="shared" ref="V75:V84" si="18">IF(T$12=0,0,T75/T$12)</f>
        <v>0.20774721888056127</v>
      </c>
      <c r="W75" s="4"/>
      <c r="X75" s="22">
        <f t="shared" ref="X75:X84" si="19">+P75-T75</f>
        <v>3135.0200000000186</v>
      </c>
      <c r="Y75" s="4"/>
      <c r="Z75" s="34">
        <f t="shared" ref="Z75:Z84" si="20">IF(T75=0,0,X75/T75)</f>
        <v>5.3508715635164357E-2</v>
      </c>
    </row>
    <row r="76" spans="1:26" s="29" customFormat="1" outlineLevel="1" collapsed="1" x14ac:dyDescent="0.25">
      <c r="A76" s="27"/>
      <c r="B76" s="14" t="str">
        <f>CONCATENATE("     ","*Benefits                                         ")</f>
        <v xml:space="preserve">     *Benefits                                         </v>
      </c>
      <c r="C76" s="14"/>
      <c r="D76" s="1">
        <f>SUM(OSRRefD22_0x_0)</f>
        <v>2406.3900000000003</v>
      </c>
      <c r="E76" s="1"/>
      <c r="F76" s="5">
        <f t="shared" si="13"/>
        <v>1.73586219343662E-2</v>
      </c>
      <c r="G76" s="1"/>
      <c r="H76" s="1">
        <f>SUM(OSRRefH22_0x_0)</f>
        <v>3426.7999999999997</v>
      </c>
      <c r="I76" s="1"/>
      <c r="J76" s="5">
        <f t="shared" si="14"/>
        <v>2.5393522532416234E-2</v>
      </c>
      <c r="K76" s="1"/>
      <c r="L76" s="1">
        <f t="shared" si="15"/>
        <v>-1020.4099999999994</v>
      </c>
      <c r="M76" s="1"/>
      <c r="N76" s="5">
        <f t="shared" si="16"/>
        <v>-0.29777343294035236</v>
      </c>
      <c r="O76" s="14"/>
      <c r="P76" s="1">
        <f>SUM(OSRRefP22_0x_0)</f>
        <v>9974.76</v>
      </c>
      <c r="Q76" s="1"/>
      <c r="R76" s="5">
        <f t="shared" si="17"/>
        <v>3.4309483111331023E-2</v>
      </c>
      <c r="S76" s="1"/>
      <c r="T76" s="1">
        <f>SUM(OSRRefT22_0x_0)</f>
        <v>10394.620000000001</v>
      </c>
      <c r="U76" s="1"/>
      <c r="V76" s="5">
        <f t="shared" si="18"/>
        <v>3.685768438832606E-2</v>
      </c>
      <c r="W76" s="1"/>
      <c r="X76" s="1">
        <f t="shared" si="19"/>
        <v>-419.86000000000058</v>
      </c>
      <c r="Y76" s="1"/>
      <c r="Z76" s="5">
        <f t="shared" si="20"/>
        <v>-4.0392048963790936E-2</v>
      </c>
    </row>
    <row r="77" spans="1:26" s="24" customFormat="1" hidden="1" outlineLevel="2" x14ac:dyDescent="0.25">
      <c r="A77" s="28"/>
      <c r="B77" s="11" t="str">
        <f>CONCATENATE("          ", "6111", " - ", "F.I.C.A.")</f>
        <v xml:space="preserve">          6111 - F.I.C.A.</v>
      </c>
      <c r="C77" s="11"/>
      <c r="D77" s="6">
        <v>291.06</v>
      </c>
      <c r="E77" s="2"/>
      <c r="F77" s="7">
        <f t="shared" si="13"/>
        <v>2.0995767519880922E-3</v>
      </c>
      <c r="G77" s="2"/>
      <c r="H77" s="6">
        <v>561.48</v>
      </c>
      <c r="I77" s="2"/>
      <c r="J77" s="7">
        <f t="shared" si="14"/>
        <v>4.1607199228145993E-3</v>
      </c>
      <c r="K77" s="2"/>
      <c r="L77" s="6">
        <f t="shared" si="15"/>
        <v>-270.42</v>
      </c>
      <c r="M77" s="2"/>
      <c r="N77" s="7">
        <f t="shared" si="16"/>
        <v>-0.48162000427441765</v>
      </c>
      <c r="O77" s="11"/>
      <c r="P77" s="6">
        <v>1978.31</v>
      </c>
      <c r="Q77" s="2"/>
      <c r="R77" s="7">
        <f t="shared" si="17"/>
        <v>6.8046543008530806E-3</v>
      </c>
      <c r="S77" s="2"/>
      <c r="T77" s="6">
        <v>2078.52</v>
      </c>
      <c r="U77" s="2"/>
      <c r="V77" s="7">
        <f t="shared" si="18"/>
        <v>7.3701043573332625E-3</v>
      </c>
      <c r="W77" s="2"/>
      <c r="X77" s="6">
        <f t="shared" si="19"/>
        <v>-100.21000000000004</v>
      </c>
      <c r="Y77" s="2"/>
      <c r="Z77" s="7">
        <f t="shared" si="20"/>
        <v>-4.8212189442487945E-2</v>
      </c>
    </row>
    <row r="78" spans="1:26" s="24" customFormat="1" hidden="1" outlineLevel="2" x14ac:dyDescent="0.25">
      <c r="A78" s="28"/>
      <c r="B78" s="11" t="str">
        <f>CONCATENATE("          ", "6112", " - ", "COMPENSATION INSURANCE")</f>
        <v xml:space="preserve">          6112 - COMPENSATION INSURANCE</v>
      </c>
      <c r="C78" s="11"/>
      <c r="D78" s="6">
        <v>297.19</v>
      </c>
      <c r="E78" s="2"/>
      <c r="F78" s="7">
        <f t="shared" si="13"/>
        <v>2.1437958322110253E-3</v>
      </c>
      <c r="G78" s="2"/>
      <c r="H78" s="6"/>
      <c r="I78" s="2"/>
      <c r="J78" s="7">
        <f t="shared" si="14"/>
        <v>0</v>
      </c>
      <c r="K78" s="2"/>
      <c r="L78" s="6">
        <f t="shared" si="15"/>
        <v>297.19</v>
      </c>
      <c r="M78" s="2"/>
      <c r="N78" s="7">
        <f t="shared" si="16"/>
        <v>0</v>
      </c>
      <c r="O78" s="11"/>
      <c r="P78" s="6">
        <v>715.69</v>
      </c>
      <c r="Q78" s="2"/>
      <c r="R78" s="7">
        <f t="shared" si="17"/>
        <v>2.4617087496790402E-3</v>
      </c>
      <c r="S78" s="2"/>
      <c r="T78" s="6">
        <v>277.12</v>
      </c>
      <c r="U78" s="2"/>
      <c r="V78" s="7">
        <f t="shared" si="18"/>
        <v>9.8262384749927536E-4</v>
      </c>
      <c r="W78" s="2"/>
      <c r="X78" s="6">
        <f t="shared" si="19"/>
        <v>438.57000000000005</v>
      </c>
      <c r="Y78" s="2"/>
      <c r="Z78" s="7">
        <f t="shared" si="20"/>
        <v>1.5825995958429562</v>
      </c>
    </row>
    <row r="79" spans="1:26" s="24" customFormat="1" hidden="1" outlineLevel="2" x14ac:dyDescent="0.25">
      <c r="A79" s="28"/>
      <c r="B79" s="11" t="str">
        <f>CONCATENATE("          ", "6113", " - ", "GROUP INSURANCE")</f>
        <v xml:space="preserve">          6113 - GROUP INSURANCE</v>
      </c>
      <c r="C79" s="11"/>
      <c r="D79" s="6">
        <v>530.22</v>
      </c>
      <c r="E79" s="2"/>
      <c r="F79" s="7">
        <f t="shared" si="13"/>
        <v>3.8247701004573841E-3</v>
      </c>
      <c r="G79" s="2"/>
      <c r="H79" s="6">
        <v>1680.3</v>
      </c>
      <c r="I79" s="2"/>
      <c r="J79" s="7">
        <f t="shared" si="14"/>
        <v>1.2451481239412572E-2</v>
      </c>
      <c r="K79" s="2"/>
      <c r="L79" s="6">
        <f t="shared" si="15"/>
        <v>-1150.08</v>
      </c>
      <c r="M79" s="2"/>
      <c r="N79" s="7">
        <f t="shared" si="16"/>
        <v>-0.684449205499018</v>
      </c>
      <c r="O79" s="11"/>
      <c r="P79" s="6">
        <v>3355.74</v>
      </c>
      <c r="Q79" s="2"/>
      <c r="R79" s="7">
        <f t="shared" si="17"/>
        <v>1.1542503765104921E-2</v>
      </c>
      <c r="S79" s="2"/>
      <c r="T79" s="6">
        <v>3742.72</v>
      </c>
      <c r="U79" s="2"/>
      <c r="V79" s="7">
        <f t="shared" si="18"/>
        <v>1.327109528908952E-2</v>
      </c>
      <c r="W79" s="2"/>
      <c r="X79" s="6">
        <f t="shared" si="19"/>
        <v>-386.98</v>
      </c>
      <c r="Y79" s="2"/>
      <c r="Z79" s="7">
        <f t="shared" si="20"/>
        <v>-0.10339539158686732</v>
      </c>
    </row>
    <row r="80" spans="1:26" s="24" customFormat="1" hidden="1" outlineLevel="2" x14ac:dyDescent="0.25">
      <c r="A80" s="28"/>
      <c r="B80" s="11" t="str">
        <f>CONCATENATE("          ", "6114", " - ", "STATE UNEMPLOYMENT INSURANCE")</f>
        <v xml:space="preserve">          6114 - STATE UNEMPLOYMENT INSURANCE</v>
      </c>
      <c r="C80" s="11"/>
      <c r="D80" s="6">
        <v>40.67</v>
      </c>
      <c r="E80" s="2"/>
      <c r="F80" s="7">
        <f t="shared" si="13"/>
        <v>2.9337520271887485E-4</v>
      </c>
      <c r="G80" s="2"/>
      <c r="H80" s="6">
        <v>35.909999999999997</v>
      </c>
      <c r="I80" s="2"/>
      <c r="J80" s="7">
        <f t="shared" si="14"/>
        <v>2.6610289311867249E-4</v>
      </c>
      <c r="K80" s="2"/>
      <c r="L80" s="6">
        <f t="shared" si="15"/>
        <v>4.7600000000000051</v>
      </c>
      <c r="M80" s="2"/>
      <c r="N80" s="7">
        <f t="shared" si="16"/>
        <v>0.13255360623781692</v>
      </c>
      <c r="O80" s="11"/>
      <c r="P80" s="6">
        <v>97.94</v>
      </c>
      <c r="Q80" s="2"/>
      <c r="R80" s="7">
        <f t="shared" si="17"/>
        <v>3.3687735603901855E-4</v>
      </c>
      <c r="S80" s="2"/>
      <c r="T80" s="6">
        <v>96.47</v>
      </c>
      <c r="U80" s="2"/>
      <c r="V80" s="7">
        <f t="shared" si="18"/>
        <v>3.4206741688891129E-4</v>
      </c>
      <c r="W80" s="2"/>
      <c r="X80" s="6">
        <f t="shared" si="19"/>
        <v>1.4699999999999989</v>
      </c>
      <c r="Y80" s="2"/>
      <c r="Z80" s="7">
        <f t="shared" si="20"/>
        <v>1.5237897792059696E-2</v>
      </c>
    </row>
    <row r="81" spans="1:26" s="24" customFormat="1" hidden="1" outlineLevel="2" x14ac:dyDescent="0.25">
      <c r="A81" s="28"/>
      <c r="B81" s="11" t="str">
        <f>CONCATENATE("          ", "6115", " - ", "P.E.R.S.")</f>
        <v xml:space="preserve">          6115 - P.E.R.S.</v>
      </c>
      <c r="C81" s="11"/>
      <c r="D81" s="6">
        <v>265.76</v>
      </c>
      <c r="E81" s="2"/>
      <c r="F81" s="7">
        <f t="shared" si="13"/>
        <v>1.9170738597139949E-3</v>
      </c>
      <c r="G81" s="2"/>
      <c r="H81" s="6">
        <v>424.87</v>
      </c>
      <c r="I81" s="2"/>
      <c r="J81" s="7">
        <f t="shared" si="14"/>
        <v>3.1484025675112891E-3</v>
      </c>
      <c r="K81" s="2"/>
      <c r="L81" s="6">
        <f t="shared" si="15"/>
        <v>-159.11000000000001</v>
      </c>
      <c r="M81" s="2"/>
      <c r="N81" s="7">
        <f t="shared" si="16"/>
        <v>-0.3744910207828277</v>
      </c>
      <c r="O81" s="11"/>
      <c r="P81" s="6">
        <v>1034.9000000000001</v>
      </c>
      <c r="Q81" s="2"/>
      <c r="R81" s="7">
        <f t="shared" si="17"/>
        <v>3.5596730218989208E-3</v>
      </c>
      <c r="S81" s="2"/>
      <c r="T81" s="6">
        <v>1480.85</v>
      </c>
      <c r="U81" s="2"/>
      <c r="V81" s="7">
        <f t="shared" si="18"/>
        <v>5.2508607266501944E-3</v>
      </c>
      <c r="W81" s="2"/>
      <c r="X81" s="6">
        <f t="shared" si="19"/>
        <v>-445.94999999999982</v>
      </c>
      <c r="Y81" s="2"/>
      <c r="Z81" s="7">
        <f t="shared" si="20"/>
        <v>-0.30114461289124478</v>
      </c>
    </row>
    <row r="82" spans="1:26" s="24" customFormat="1" hidden="1" outlineLevel="2" x14ac:dyDescent="0.25">
      <c r="A82" s="28"/>
      <c r="B82" s="11" t="str">
        <f>CONCATENATE("          ", "6118", " - ", "VACATION")</f>
        <v xml:space="preserve">          6118 - VACATION</v>
      </c>
      <c r="C82" s="11"/>
      <c r="D82" s="6">
        <v>378.72</v>
      </c>
      <c r="E82" s="2"/>
      <c r="F82" s="7">
        <f t="shared" si="13"/>
        <v>2.7319168127290946E-3</v>
      </c>
      <c r="G82" s="2"/>
      <c r="H82" s="6">
        <v>287.82</v>
      </c>
      <c r="I82" s="2"/>
      <c r="J82" s="7">
        <f t="shared" si="14"/>
        <v>2.1328246922143225E-3</v>
      </c>
      <c r="K82" s="2"/>
      <c r="L82" s="6">
        <f t="shared" si="15"/>
        <v>90.900000000000034</v>
      </c>
      <c r="M82" s="2"/>
      <c r="N82" s="7">
        <f t="shared" si="16"/>
        <v>0.31582238899312082</v>
      </c>
      <c r="O82" s="11"/>
      <c r="P82" s="6">
        <v>1175.27</v>
      </c>
      <c r="Q82" s="2"/>
      <c r="R82" s="7">
        <f t="shared" si="17"/>
        <v>4.0424938761688513E-3</v>
      </c>
      <c r="S82" s="2"/>
      <c r="T82" s="6">
        <v>1082.83</v>
      </c>
      <c r="U82" s="2"/>
      <c r="V82" s="7">
        <f t="shared" si="18"/>
        <v>3.8395445322879627E-3</v>
      </c>
      <c r="W82" s="2"/>
      <c r="X82" s="6">
        <f t="shared" si="19"/>
        <v>92.440000000000055</v>
      </c>
      <c r="Y82" s="2"/>
      <c r="Z82" s="7">
        <f t="shared" si="20"/>
        <v>8.5368894470969639E-2</v>
      </c>
    </row>
    <row r="83" spans="1:26" s="24" customFormat="1" hidden="1" outlineLevel="2" x14ac:dyDescent="0.25">
      <c r="A83" s="28"/>
      <c r="B83" s="11" t="str">
        <f>CONCATENATE("          ", "6119", " - ", "SICK LEAVE")</f>
        <v xml:space="preserve">          6119 - SICK LEAVE</v>
      </c>
      <c r="C83" s="11"/>
      <c r="D83" s="6">
        <v>428.85</v>
      </c>
      <c r="E83" s="2"/>
      <c r="F83" s="7">
        <f t="shared" si="13"/>
        <v>3.0935322273417626E-3</v>
      </c>
      <c r="G83" s="2"/>
      <c r="H83" s="6">
        <v>286.42</v>
      </c>
      <c r="I83" s="2"/>
      <c r="J83" s="7">
        <f t="shared" si="14"/>
        <v>2.1224503104163238E-3</v>
      </c>
      <c r="K83" s="2"/>
      <c r="L83" s="6">
        <f t="shared" si="15"/>
        <v>142.43</v>
      </c>
      <c r="M83" s="2"/>
      <c r="N83" s="7">
        <f t="shared" si="16"/>
        <v>0.49727672648558063</v>
      </c>
      <c r="O83" s="11"/>
      <c r="P83" s="6">
        <v>1144.26</v>
      </c>
      <c r="Q83" s="2"/>
      <c r="R83" s="7">
        <f t="shared" si="17"/>
        <v>3.9358309518195559E-3</v>
      </c>
      <c r="S83" s="2"/>
      <c r="T83" s="6">
        <v>1186.33</v>
      </c>
      <c r="U83" s="2"/>
      <c r="V83" s="7">
        <f t="shared" si="18"/>
        <v>4.2065392212897491E-3</v>
      </c>
      <c r="W83" s="2"/>
      <c r="X83" s="6">
        <f t="shared" si="19"/>
        <v>-42.069999999999936</v>
      </c>
      <c r="Y83" s="2"/>
      <c r="Z83" s="7">
        <f t="shared" si="20"/>
        <v>-3.5462308126743773E-2</v>
      </c>
    </row>
    <row r="84" spans="1:26" s="24" customFormat="1" hidden="1" outlineLevel="2" x14ac:dyDescent="0.25">
      <c r="A84" s="28"/>
      <c r="B84" s="11" t="str">
        <f>CONCATENATE("          ", "6156", " - ", "EMPLOYEE MEALS")</f>
        <v xml:space="preserve">          6156 - EMPLOYEE MEALS</v>
      </c>
      <c r="C84" s="11"/>
      <c r="D84" s="6">
        <v>173.92</v>
      </c>
      <c r="E84" s="2"/>
      <c r="F84" s="7">
        <f t="shared" si="13"/>
        <v>1.2545811472059677E-3</v>
      </c>
      <c r="G84" s="2"/>
      <c r="H84" s="6">
        <v>150</v>
      </c>
      <c r="I84" s="2"/>
      <c r="J84" s="7">
        <f t="shared" si="14"/>
        <v>1.1115409069284567E-3</v>
      </c>
      <c r="K84" s="2"/>
      <c r="L84" s="6">
        <f t="shared" si="15"/>
        <v>23.919999999999987</v>
      </c>
      <c r="M84" s="2"/>
      <c r="N84" s="7">
        <f t="shared" si="16"/>
        <v>0.15946666666666659</v>
      </c>
      <c r="O84" s="11"/>
      <c r="P84" s="6">
        <v>472.65</v>
      </c>
      <c r="Q84" s="2"/>
      <c r="R84" s="7">
        <f t="shared" si="17"/>
        <v>1.6257410897676343E-3</v>
      </c>
      <c r="S84" s="2"/>
      <c r="T84" s="6">
        <v>449.78</v>
      </c>
      <c r="U84" s="2"/>
      <c r="V84" s="7">
        <f t="shared" si="18"/>
        <v>1.5948489972871826E-3</v>
      </c>
      <c r="W84" s="2"/>
      <c r="X84" s="6">
        <f t="shared" si="19"/>
        <v>22.870000000000005</v>
      </c>
      <c r="Y84" s="2"/>
      <c r="Z84" s="7">
        <f t="shared" si="20"/>
        <v>5.0847080795055372E-2</v>
      </c>
    </row>
    <row r="85" spans="1:26" s="29" customFormat="1" outlineLevel="1" collapsed="1" x14ac:dyDescent="0.25">
      <c r="A85" s="27"/>
      <c r="B85" s="14" t="str">
        <f>CONCATENATE("     ","*Payroll                                          ")</f>
        <v xml:space="preserve">     *Payroll                                          </v>
      </c>
      <c r="C85" s="14"/>
      <c r="D85" s="1">
        <f>SUM(OSRRefD22_1x_0)</f>
        <v>15197.490000000002</v>
      </c>
      <c r="E85" s="1"/>
      <c r="F85" s="5">
        <f t="shared" ref="F85:F88" si="21">IF(D$12=0,0,D85/D$12)</f>
        <v>0.10962790040737826</v>
      </c>
      <c r="G85" s="1"/>
      <c r="H85" s="1">
        <f>SUM(OSRRefH22_1x_0)</f>
        <v>13557.17</v>
      </c>
      <c r="I85" s="1"/>
      <c r="J85" s="5">
        <f t="shared" ref="J85:J88" si="22">IF(H$12=0,0,H85/H$12)</f>
        <v>0.1004623269145551</v>
      </c>
      <c r="K85" s="1"/>
      <c r="L85" s="1">
        <f t="shared" ref="L85:L88" si="23">+D85-H85</f>
        <v>1640.3200000000015</v>
      </c>
      <c r="M85" s="1"/>
      <c r="N85" s="5">
        <f t="shared" ref="N85:N88" si="24">IF(H85=0,0,L85/H85)</f>
        <v>0.12099280307025741</v>
      </c>
      <c r="O85" s="14"/>
      <c r="P85" s="1">
        <f>SUM(OSRRefP22_1x_0)</f>
        <v>41548.920000000006</v>
      </c>
      <c r="Q85" s="1"/>
      <c r="R85" s="5">
        <f t="shared" ref="R85:R88" si="25">IF(P$12=0,0,P85/P$12)</f>
        <v>0.14291290908593732</v>
      </c>
      <c r="S85" s="1"/>
      <c r="T85" s="1">
        <f>SUM(OSRRefT22_1x_0)</f>
        <v>36880.21</v>
      </c>
      <c r="U85" s="1"/>
      <c r="V85" s="5">
        <f t="shared" ref="V85:V88" si="26">IF(T$12=0,0,T85/T$12)</f>
        <v>0.13077141255333879</v>
      </c>
      <c r="W85" s="1"/>
      <c r="X85" s="1">
        <f t="shared" ref="X85:X88" si="27">+P85-T85</f>
        <v>4668.7100000000064</v>
      </c>
      <c r="Y85" s="1"/>
      <c r="Z85" s="5">
        <f t="shared" ref="Z85:Z88" si="28">IF(T85=0,0,X85/T85)</f>
        <v>0.1265911989112862</v>
      </c>
    </row>
    <row r="86" spans="1:26" s="24" customFormat="1" hidden="1" outlineLevel="2" x14ac:dyDescent="0.25">
      <c r="A86" s="28"/>
      <c r="B86" s="11" t="str">
        <f>CONCATENATE("          ", "6002", " - ", "STAFF SALARIES")</f>
        <v xml:space="preserve">          6002 - STAFF SALARIES</v>
      </c>
      <c r="C86" s="11"/>
      <c r="D86" s="6">
        <v>3378.8</v>
      </c>
      <c r="E86" s="2"/>
      <c r="F86" s="7">
        <f t="shared" si="21"/>
        <v>2.4373153059909867E-2</v>
      </c>
      <c r="G86" s="2"/>
      <c r="H86" s="6">
        <v>5906.47</v>
      </c>
      <c r="I86" s="2"/>
      <c r="J86" s="7">
        <f t="shared" si="22"/>
        <v>4.3768553470304811E-2</v>
      </c>
      <c r="K86" s="2"/>
      <c r="L86" s="6">
        <f t="shared" si="23"/>
        <v>-2527.67</v>
      </c>
      <c r="M86" s="2"/>
      <c r="N86" s="7">
        <f t="shared" si="24"/>
        <v>-0.42794935045805699</v>
      </c>
      <c r="O86" s="11"/>
      <c r="P86" s="6">
        <v>15491.910000000002</v>
      </c>
      <c r="Q86" s="2"/>
      <c r="R86" s="7">
        <f t="shared" si="25"/>
        <v>5.3286437418771003E-2</v>
      </c>
      <c r="S86" s="2"/>
      <c r="T86" s="6">
        <v>19038.88</v>
      </c>
      <c r="U86" s="2"/>
      <c r="V86" s="7">
        <f t="shared" si="26"/>
        <v>6.7508868063210895E-2</v>
      </c>
      <c r="W86" s="2"/>
      <c r="X86" s="6">
        <f t="shared" si="27"/>
        <v>-3546.9699999999993</v>
      </c>
      <c r="Y86" s="2"/>
      <c r="Z86" s="7">
        <f t="shared" si="28"/>
        <v>-0.18630140008235774</v>
      </c>
    </row>
    <row r="87" spans="1:26" s="24" customFormat="1" hidden="1" outlineLevel="2" x14ac:dyDescent="0.25">
      <c r="A87" s="28"/>
      <c r="B87" s="11" t="str">
        <f>CONCATENATE("          ", "6006", " - ", "TEMPORARY PART TIME")</f>
        <v xml:space="preserve">          6006 - TEMPORARY PART TIME</v>
      </c>
      <c r="C87" s="11"/>
      <c r="D87" s="6"/>
      <c r="E87" s="2"/>
      <c r="F87" s="7">
        <f t="shared" si="21"/>
        <v>0</v>
      </c>
      <c r="G87" s="2"/>
      <c r="H87" s="6">
        <v>1399.75</v>
      </c>
      <c r="I87" s="2"/>
      <c r="J87" s="7">
        <f t="shared" si="22"/>
        <v>1.0372529229820715E-2</v>
      </c>
      <c r="K87" s="2"/>
      <c r="L87" s="6">
        <f t="shared" si="23"/>
        <v>-1399.75</v>
      </c>
      <c r="M87" s="2"/>
      <c r="N87" s="7">
        <f t="shared" si="24"/>
        <v>-1</v>
      </c>
      <c r="O87" s="11"/>
      <c r="P87" s="6">
        <v>25.5</v>
      </c>
      <c r="Q87" s="2"/>
      <c r="R87" s="7">
        <f t="shared" si="25"/>
        <v>8.771056339590538E-5</v>
      </c>
      <c r="S87" s="2"/>
      <c r="T87" s="6">
        <v>2033.25</v>
      </c>
      <c r="U87" s="2"/>
      <c r="V87" s="7">
        <f t="shared" si="26"/>
        <v>7.2095840716220466E-3</v>
      </c>
      <c r="W87" s="2"/>
      <c r="X87" s="6">
        <f t="shared" si="27"/>
        <v>-2007.75</v>
      </c>
      <c r="Y87" s="2"/>
      <c r="Z87" s="7">
        <f t="shared" si="28"/>
        <v>-0.98745850239763922</v>
      </c>
    </row>
    <row r="88" spans="1:26" s="24" customFormat="1" hidden="1" outlineLevel="2" x14ac:dyDescent="0.25">
      <c r="A88" s="28"/>
      <c r="B88" s="11" t="str">
        <f>CONCATENATE("          ", "6007", " - ", "STUDENT HOURLY")</f>
        <v xml:space="preserve">          6007 - STUDENT HOURLY</v>
      </c>
      <c r="C88" s="11"/>
      <c r="D88" s="6">
        <v>11818.69</v>
      </c>
      <c r="E88" s="2"/>
      <c r="F88" s="7">
        <f t="shared" si="21"/>
        <v>8.5254747347468379E-2</v>
      </c>
      <c r="G88" s="2"/>
      <c r="H88" s="6">
        <v>6250.95</v>
      </c>
      <c r="I88" s="2"/>
      <c r="J88" s="7">
        <f t="shared" si="22"/>
        <v>4.6321244214429569E-2</v>
      </c>
      <c r="K88" s="2"/>
      <c r="L88" s="6">
        <f t="shared" si="23"/>
        <v>5567.7400000000007</v>
      </c>
      <c r="M88" s="2"/>
      <c r="N88" s="7">
        <f t="shared" si="24"/>
        <v>0.89070301314200251</v>
      </c>
      <c r="O88" s="11"/>
      <c r="P88" s="6">
        <v>26031.510000000002</v>
      </c>
      <c r="Q88" s="2"/>
      <c r="R88" s="7">
        <f t="shared" si="25"/>
        <v>8.953876110377039E-2</v>
      </c>
      <c r="S88" s="2"/>
      <c r="T88" s="6">
        <v>15808.08</v>
      </c>
      <c r="U88" s="2"/>
      <c r="V88" s="7">
        <f t="shared" si="26"/>
        <v>5.6052960418505861E-2</v>
      </c>
      <c r="W88" s="2"/>
      <c r="X88" s="6">
        <f t="shared" si="27"/>
        <v>10223.430000000002</v>
      </c>
      <c r="Y88" s="2"/>
      <c r="Z88" s="7">
        <f t="shared" si="28"/>
        <v>0.64672180302731275</v>
      </c>
    </row>
    <row r="89" spans="1:26" s="29" customFormat="1" outlineLevel="1" collapsed="1" x14ac:dyDescent="0.25">
      <c r="A89" s="27"/>
      <c r="B89" s="14" t="str">
        <f>CONCATENATE("     ","Advertising/Promo                                 ")</f>
        <v xml:space="preserve">     Advertising/Promo                                 </v>
      </c>
      <c r="C89" s="14"/>
      <c r="D89" s="1">
        <f>SUM(OSRRefD22_2x_0)</f>
        <v>146.71</v>
      </c>
      <c r="E89" s="1"/>
      <c r="F89" s="5">
        <f t="shared" ref="F89:F95" si="29">IF(D$12=0,0,D89/D$12)</f>
        <v>1.0583003685981345E-3</v>
      </c>
      <c r="G89" s="1"/>
      <c r="H89" s="1">
        <f>SUM(OSRRefH22_2x_0)</f>
        <v>40</v>
      </c>
      <c r="I89" s="1"/>
      <c r="J89" s="5">
        <f t="shared" ref="J89:J95" si="30">IF(H$12=0,0,H89/H$12)</f>
        <v>2.9641090851425508E-4</v>
      </c>
      <c r="K89" s="1"/>
      <c r="L89" s="1">
        <f t="shared" ref="L89:L95" si="31">+D89-H89</f>
        <v>106.71000000000001</v>
      </c>
      <c r="M89" s="1"/>
      <c r="N89" s="5">
        <f t="shared" ref="N89:N95" si="32">IF(H89=0,0,L89/H89)</f>
        <v>2.6677500000000003</v>
      </c>
      <c r="O89" s="14"/>
      <c r="P89" s="1">
        <f>SUM(OSRRefP22_2x_0)</f>
        <v>192.57</v>
      </c>
      <c r="Q89" s="1"/>
      <c r="R89" s="5">
        <f t="shared" ref="R89:R95" si="33">IF(P$12=0,0,P89/P$12)</f>
        <v>6.6236953698625483E-4</v>
      </c>
      <c r="S89" s="1"/>
      <c r="T89" s="1">
        <f>SUM(OSRRefT22_2x_0)</f>
        <v>85.86</v>
      </c>
      <c r="U89" s="1"/>
      <c r="V89" s="5">
        <f t="shared" ref="V89:V95" si="34">IF(T$12=0,0,T89/T$12)</f>
        <v>3.0444602896322092E-4</v>
      </c>
      <c r="W89" s="1"/>
      <c r="X89" s="1">
        <f t="shared" ref="X89:X95" si="35">+P89-T89</f>
        <v>106.71</v>
      </c>
      <c r="Y89" s="1"/>
      <c r="Z89" s="5">
        <f t="shared" ref="Z89:Z95" si="36">IF(T89=0,0,X89/T89)</f>
        <v>1.2428371767994408</v>
      </c>
    </row>
    <row r="90" spans="1:26" s="24" customFormat="1" hidden="1" outlineLevel="2" x14ac:dyDescent="0.25">
      <c r="A90" s="28"/>
      <c r="B90" s="11" t="str">
        <f>CONCATENATE("          ", "6362", " - ", "ADVERTISING EXPENSE")</f>
        <v xml:space="preserve">          6362 - ADVERTISING EXPENSE</v>
      </c>
      <c r="C90" s="11"/>
      <c r="D90" s="6">
        <v>146.71</v>
      </c>
      <c r="E90" s="2"/>
      <c r="F90" s="7">
        <f t="shared" si="29"/>
        <v>1.0583003685981345E-3</v>
      </c>
      <c r="G90" s="2"/>
      <c r="H90" s="6">
        <v>40</v>
      </c>
      <c r="I90" s="2"/>
      <c r="J90" s="7">
        <f t="shared" si="30"/>
        <v>2.9641090851425508E-4</v>
      </c>
      <c r="K90" s="2"/>
      <c r="L90" s="6">
        <f t="shared" si="31"/>
        <v>106.71000000000001</v>
      </c>
      <c r="M90" s="2"/>
      <c r="N90" s="7">
        <f t="shared" si="32"/>
        <v>2.6677500000000003</v>
      </c>
      <c r="O90" s="11"/>
      <c r="P90" s="6">
        <v>192.57</v>
      </c>
      <c r="Q90" s="2"/>
      <c r="R90" s="7">
        <f t="shared" si="33"/>
        <v>6.6236953698625483E-4</v>
      </c>
      <c r="S90" s="2"/>
      <c r="T90" s="6">
        <v>85.86</v>
      </c>
      <c r="U90" s="2"/>
      <c r="V90" s="7">
        <f t="shared" si="34"/>
        <v>3.0444602896322092E-4</v>
      </c>
      <c r="W90" s="2"/>
      <c r="X90" s="6">
        <f t="shared" si="35"/>
        <v>106.71</v>
      </c>
      <c r="Y90" s="2"/>
      <c r="Z90" s="7">
        <f t="shared" si="36"/>
        <v>1.2428371767994408</v>
      </c>
    </row>
    <row r="91" spans="1:26" s="29" customFormat="1" outlineLevel="1" collapsed="1" x14ac:dyDescent="0.25">
      <c r="A91" s="27"/>
      <c r="B91" s="14" t="str">
        <f>CONCATENATE("     ","Bad Debts/Over/Short                              ")</f>
        <v xml:space="preserve">     Bad Debts/Over/Short                              </v>
      </c>
      <c r="C91" s="14"/>
      <c r="D91" s="1">
        <f>SUM(OSRRefD22_3x_0)</f>
        <v>-30.21</v>
      </c>
      <c r="E91" s="1"/>
      <c r="F91" s="5">
        <f t="shared" si="29"/>
        <v>-2.1792143777076982E-4</v>
      </c>
      <c r="G91" s="1"/>
      <c r="H91" s="1">
        <f>SUM(OSRRefH22_3x_0)</f>
        <v>8.49</v>
      </c>
      <c r="I91" s="1"/>
      <c r="J91" s="5">
        <f t="shared" si="30"/>
        <v>6.2913215332150642E-5</v>
      </c>
      <c r="K91" s="1"/>
      <c r="L91" s="1">
        <f t="shared" si="31"/>
        <v>-38.700000000000003</v>
      </c>
      <c r="M91" s="1"/>
      <c r="N91" s="5">
        <f t="shared" si="32"/>
        <v>-4.5583038869257955</v>
      </c>
      <c r="O91" s="14"/>
      <c r="P91" s="1">
        <f>SUM(OSRRefP22_3x_0)</f>
        <v>-39.28</v>
      </c>
      <c r="Q91" s="1"/>
      <c r="R91" s="5">
        <f t="shared" si="33"/>
        <v>-1.3510866392906523E-4</v>
      </c>
      <c r="S91" s="1"/>
      <c r="T91" s="1">
        <f>SUM(OSRRefT22_3x_0)</f>
        <v>7.2</v>
      </c>
      <c r="U91" s="1"/>
      <c r="V91" s="5">
        <f t="shared" si="34"/>
        <v>2.5530065321863391E-5</v>
      </c>
      <c r="W91" s="1"/>
      <c r="X91" s="1">
        <f t="shared" si="35"/>
        <v>-46.480000000000004</v>
      </c>
      <c r="Y91" s="1"/>
      <c r="Z91" s="5">
        <f t="shared" si="36"/>
        <v>-6.4555555555555557</v>
      </c>
    </row>
    <row r="92" spans="1:26" s="24" customFormat="1" hidden="1" outlineLevel="2" x14ac:dyDescent="0.25">
      <c r="A92" s="28"/>
      <c r="B92" s="11" t="str">
        <f>CONCATENATE("          ", "6272", " - ", "CASH (OVER/SHORT)")</f>
        <v xml:space="preserve">          6272 - CASH (OVER/SHORT)</v>
      </c>
      <c r="C92" s="11"/>
      <c r="D92" s="6">
        <v>-30.21</v>
      </c>
      <c r="E92" s="2"/>
      <c r="F92" s="7">
        <f t="shared" si="29"/>
        <v>-2.1792143777076982E-4</v>
      </c>
      <c r="G92" s="2"/>
      <c r="H92" s="6">
        <v>8.49</v>
      </c>
      <c r="I92" s="2"/>
      <c r="J92" s="7">
        <f t="shared" si="30"/>
        <v>6.2913215332150642E-5</v>
      </c>
      <c r="K92" s="2"/>
      <c r="L92" s="6">
        <f t="shared" si="31"/>
        <v>-38.700000000000003</v>
      </c>
      <c r="M92" s="2"/>
      <c r="N92" s="7">
        <f t="shared" si="32"/>
        <v>-4.5583038869257955</v>
      </c>
      <c r="O92" s="11"/>
      <c r="P92" s="6">
        <v>-39.28</v>
      </c>
      <c r="Q92" s="2"/>
      <c r="R92" s="7">
        <f t="shared" si="33"/>
        <v>-1.3510866392906523E-4</v>
      </c>
      <c r="S92" s="2"/>
      <c r="T92" s="6">
        <v>7.2</v>
      </c>
      <c r="U92" s="2"/>
      <c r="V92" s="7">
        <f t="shared" si="34"/>
        <v>2.5530065321863391E-5</v>
      </c>
      <c r="W92" s="2"/>
      <c r="X92" s="6">
        <f t="shared" si="35"/>
        <v>-46.480000000000004</v>
      </c>
      <c r="Y92" s="2"/>
      <c r="Z92" s="7">
        <f t="shared" si="36"/>
        <v>-6.4555555555555557</v>
      </c>
    </row>
    <row r="93" spans="1:26" s="29" customFormat="1" outlineLevel="1" collapsed="1" x14ac:dyDescent="0.25">
      <c r="A93" s="27"/>
      <c r="B93" s="14" t="str">
        <f>CONCATENATE("     ","Discounts and Markdowns                           ")</f>
        <v xml:space="preserve">     Discounts and Markdowns                           </v>
      </c>
      <c r="C93" s="14"/>
      <c r="D93" s="1">
        <f>SUM(OSRRefD22_4x_0)</f>
        <v>1400.83</v>
      </c>
      <c r="E93" s="1"/>
      <c r="F93" s="5">
        <f t="shared" si="29"/>
        <v>1.0104961525072077E-2</v>
      </c>
      <c r="G93" s="1"/>
      <c r="H93" s="1">
        <f>SUM(OSRRefH22_4x_0)</f>
        <v>687.13999999999987</v>
      </c>
      <c r="I93" s="1"/>
      <c r="J93" s="5">
        <f t="shared" si="30"/>
        <v>5.0918947919121301E-3</v>
      </c>
      <c r="K93" s="1"/>
      <c r="L93" s="1">
        <f t="shared" si="31"/>
        <v>713.69</v>
      </c>
      <c r="M93" s="1"/>
      <c r="N93" s="5">
        <f t="shared" si="32"/>
        <v>1.0386384142969411</v>
      </c>
      <c r="O93" s="14"/>
      <c r="P93" s="1">
        <f>SUM(OSRRefP22_4x_0)</f>
        <v>6902.24</v>
      </c>
      <c r="Q93" s="1"/>
      <c r="R93" s="5">
        <f t="shared" si="33"/>
        <v>2.3741151337009957E-2</v>
      </c>
      <c r="S93" s="1"/>
      <c r="T93" s="1">
        <f>SUM(OSRRefT22_4x_0)</f>
        <v>6799.9599999999991</v>
      </c>
      <c r="U93" s="1"/>
      <c r="V93" s="5">
        <f t="shared" si="34"/>
        <v>2.4111586525841409E-2</v>
      </c>
      <c r="W93" s="1"/>
      <c r="X93" s="1">
        <f t="shared" si="35"/>
        <v>102.28000000000065</v>
      </c>
      <c r="Y93" s="1"/>
      <c r="Z93" s="5">
        <f t="shared" si="36"/>
        <v>1.5041264948617444E-2</v>
      </c>
    </row>
    <row r="94" spans="1:26" s="24" customFormat="1" hidden="1" outlineLevel="2" x14ac:dyDescent="0.25">
      <c r="A94" s="28"/>
      <c r="B94" s="11" t="str">
        <f>CONCATENATE("          ", "6382", " - ", "DISCOUNTS/MARK DOWNS")</f>
        <v xml:space="preserve">          6382 - DISCOUNTS/MARK DOWNS</v>
      </c>
      <c r="C94" s="11"/>
      <c r="D94" s="6">
        <v>1393.51</v>
      </c>
      <c r="E94" s="2"/>
      <c r="F94" s="7">
        <f t="shared" si="29"/>
        <v>1.0052158316714513E-2</v>
      </c>
      <c r="G94" s="2"/>
      <c r="H94" s="6">
        <v>1405.58</v>
      </c>
      <c r="I94" s="2"/>
      <c r="J94" s="7">
        <f t="shared" si="30"/>
        <v>1.0415731119736666E-2</v>
      </c>
      <c r="K94" s="2"/>
      <c r="L94" s="6">
        <f t="shared" si="31"/>
        <v>-12.069999999999936</v>
      </c>
      <c r="M94" s="2"/>
      <c r="N94" s="7">
        <f t="shared" si="32"/>
        <v>-8.5872024360050207E-3</v>
      </c>
      <c r="O94" s="11"/>
      <c r="P94" s="6">
        <v>7008.16</v>
      </c>
      <c r="Q94" s="2"/>
      <c r="R94" s="7">
        <f t="shared" si="33"/>
        <v>2.4105476939946989E-2</v>
      </c>
      <c r="S94" s="2"/>
      <c r="T94" s="6">
        <v>7518.4</v>
      </c>
      <c r="U94" s="2"/>
      <c r="V94" s="7">
        <f t="shared" si="34"/>
        <v>2.6659061543874679E-2</v>
      </c>
      <c r="W94" s="2"/>
      <c r="X94" s="6">
        <f t="shared" si="35"/>
        <v>-510.23999999999978</v>
      </c>
      <c r="Y94" s="2"/>
      <c r="Z94" s="7">
        <f t="shared" si="36"/>
        <v>-6.7865503298574145E-2</v>
      </c>
    </row>
    <row r="95" spans="1:26" s="24" customFormat="1" hidden="1" outlineLevel="2" x14ac:dyDescent="0.25">
      <c r="A95" s="28"/>
      <c r="B95" s="11" t="str">
        <f>CONCATENATE("          ", "9175", " - ", "EARNED DISCOUNTS")</f>
        <v xml:space="preserve">          9175 - EARNED DISCOUNTS</v>
      </c>
      <c r="C95" s="11"/>
      <c r="D95" s="6">
        <v>7.32</v>
      </c>
      <c r="E95" s="2"/>
      <c r="F95" s="7">
        <f t="shared" si="29"/>
        <v>5.280320835756488E-5</v>
      </c>
      <c r="G95" s="2"/>
      <c r="H95" s="6">
        <v>-718.44</v>
      </c>
      <c r="I95" s="2"/>
      <c r="J95" s="7">
        <f t="shared" si="30"/>
        <v>-5.3238363278245359E-3</v>
      </c>
      <c r="K95" s="2"/>
      <c r="L95" s="6">
        <f t="shared" si="31"/>
        <v>725.7600000000001</v>
      </c>
      <c r="M95" s="2"/>
      <c r="N95" s="7">
        <f t="shared" si="32"/>
        <v>-1.0101887422749292</v>
      </c>
      <c r="O95" s="11"/>
      <c r="P95" s="6">
        <v>-105.92</v>
      </c>
      <c r="Q95" s="2"/>
      <c r="R95" s="7">
        <f t="shared" si="33"/>
        <v>-3.6432560293703128E-4</v>
      </c>
      <c r="S95" s="2"/>
      <c r="T95" s="6">
        <v>-718.44</v>
      </c>
      <c r="U95" s="2"/>
      <c r="V95" s="7">
        <f t="shared" si="34"/>
        <v>-2.5474750180332689E-3</v>
      </c>
      <c r="W95" s="2"/>
      <c r="X95" s="6">
        <f t="shared" si="35"/>
        <v>612.5200000000001</v>
      </c>
      <c r="Y95" s="2"/>
      <c r="Z95" s="7">
        <f t="shared" si="36"/>
        <v>-0.8525694560436502</v>
      </c>
    </row>
    <row r="96" spans="1:26" s="29" customFormat="1" outlineLevel="1" collapsed="1" x14ac:dyDescent="0.25">
      <c r="A96" s="27"/>
      <c r="B96" s="14" t="str">
        <f>CONCATENATE("     ","General                                           ")</f>
        <v xml:space="preserve">     General                                           </v>
      </c>
      <c r="C96" s="14"/>
      <c r="D96" s="1">
        <f>SUM(OSRRefD22_5x_0)</f>
        <v>0</v>
      </c>
      <c r="E96" s="1"/>
      <c r="F96" s="5">
        <f t="shared" ref="F96:F104" si="37">IF(D$12=0,0,D96/D$12)</f>
        <v>0</v>
      </c>
      <c r="G96" s="1"/>
      <c r="H96" s="1">
        <f>SUM(OSRRefH22_5x_0)</f>
        <v>0</v>
      </c>
      <c r="I96" s="1"/>
      <c r="J96" s="5">
        <f t="shared" ref="J96:J104" si="38">IF(H$12=0,0,H96/H$12)</f>
        <v>0</v>
      </c>
      <c r="K96" s="1"/>
      <c r="L96" s="1">
        <f t="shared" ref="L96:L104" si="39">+D96-H96</f>
        <v>0</v>
      </c>
      <c r="M96" s="1"/>
      <c r="N96" s="5">
        <f t="shared" ref="N96:N104" si="40">IF(H96=0,0,L96/H96)</f>
        <v>0</v>
      </c>
      <c r="O96" s="14"/>
      <c r="P96" s="1">
        <f>SUM(OSRRefP22_5x_0)</f>
        <v>694.55</v>
      </c>
      <c r="Q96" s="1"/>
      <c r="R96" s="5">
        <f t="shared" ref="R96:R104" si="41">IF(P$12=0,0,P96/P$12)</f>
        <v>2.3889949728088658E-3</v>
      </c>
      <c r="S96" s="1"/>
      <c r="T96" s="1">
        <f>SUM(OSRRefT22_5x_0)</f>
        <v>669.2</v>
      </c>
      <c r="U96" s="1"/>
      <c r="V96" s="5">
        <f t="shared" ref="V96:V104" si="42">IF(T$12=0,0,T96/T$12)</f>
        <v>2.3728777379709697E-3</v>
      </c>
      <c r="W96" s="1"/>
      <c r="X96" s="1">
        <f t="shared" ref="X96:X104" si="43">+P96-T96</f>
        <v>25.349999999999909</v>
      </c>
      <c r="Y96" s="1"/>
      <c r="Z96" s="5">
        <f t="shared" ref="Z96:Z104" si="44">IF(T96=0,0,X96/T96)</f>
        <v>3.7881052002390773E-2</v>
      </c>
    </row>
    <row r="97" spans="1:26" s="24" customFormat="1" hidden="1" outlineLevel="2" x14ac:dyDescent="0.25">
      <c r="A97" s="28"/>
      <c r="B97" s="11" t="str">
        <f>CONCATENATE("          ", "6279", " - ", "GENERAL EXPENSE")</f>
        <v xml:space="preserve">          6279 - GENERAL EXPENSE</v>
      </c>
      <c r="C97" s="11"/>
      <c r="D97" s="6"/>
      <c r="E97" s="2"/>
      <c r="F97" s="7">
        <f t="shared" si="37"/>
        <v>0</v>
      </c>
      <c r="G97" s="2"/>
      <c r="H97" s="6"/>
      <c r="I97" s="2"/>
      <c r="J97" s="7">
        <f t="shared" si="38"/>
        <v>0</v>
      </c>
      <c r="K97" s="2"/>
      <c r="L97" s="6">
        <f t="shared" si="39"/>
        <v>0</v>
      </c>
      <c r="M97" s="2"/>
      <c r="N97" s="7">
        <f t="shared" si="40"/>
        <v>0</v>
      </c>
      <c r="O97" s="11"/>
      <c r="P97" s="6">
        <v>694.55</v>
      </c>
      <c r="Q97" s="2"/>
      <c r="R97" s="7">
        <f t="shared" si="41"/>
        <v>2.3889949728088658E-3</v>
      </c>
      <c r="S97" s="2"/>
      <c r="T97" s="6">
        <v>669.2</v>
      </c>
      <c r="U97" s="2"/>
      <c r="V97" s="7">
        <f t="shared" si="42"/>
        <v>2.3728777379709697E-3</v>
      </c>
      <c r="W97" s="2"/>
      <c r="X97" s="6">
        <f t="shared" si="43"/>
        <v>25.349999999999909</v>
      </c>
      <c r="Y97" s="2"/>
      <c r="Z97" s="7">
        <f t="shared" si="44"/>
        <v>3.7881052002390773E-2</v>
      </c>
    </row>
    <row r="98" spans="1:26" s="29" customFormat="1" outlineLevel="1" collapsed="1" x14ac:dyDescent="0.25">
      <c r="A98" s="27"/>
      <c r="B98" s="14" t="str">
        <f>CONCATENATE("     ","Inventory Adjustment                              ")</f>
        <v xml:space="preserve">     Inventory Adjustment                              </v>
      </c>
      <c r="C98" s="14"/>
      <c r="D98" s="1">
        <f>SUM(OSRRefD22_6x_0)</f>
        <v>0</v>
      </c>
      <c r="E98" s="1"/>
      <c r="F98" s="5">
        <f t="shared" si="37"/>
        <v>0</v>
      </c>
      <c r="G98" s="1"/>
      <c r="H98" s="1">
        <f>SUM(OSRRefH22_6x_0)</f>
        <v>400</v>
      </c>
      <c r="I98" s="1"/>
      <c r="J98" s="5">
        <f t="shared" si="38"/>
        <v>2.9641090851425509E-3</v>
      </c>
      <c r="K98" s="1"/>
      <c r="L98" s="1">
        <f t="shared" si="39"/>
        <v>-400</v>
      </c>
      <c r="M98" s="1"/>
      <c r="N98" s="5">
        <f t="shared" si="40"/>
        <v>-1</v>
      </c>
      <c r="O98" s="14"/>
      <c r="P98" s="1">
        <f>SUM(OSRRefP22_6x_0)</f>
        <v>0</v>
      </c>
      <c r="Q98" s="1"/>
      <c r="R98" s="5">
        <f t="shared" si="41"/>
        <v>0</v>
      </c>
      <c r="S98" s="1"/>
      <c r="T98" s="1">
        <f>SUM(OSRRefT22_6x_0)</f>
        <v>1200</v>
      </c>
      <c r="U98" s="1"/>
      <c r="V98" s="5">
        <f t="shared" si="42"/>
        <v>4.2550108869772313E-3</v>
      </c>
      <c r="W98" s="1"/>
      <c r="X98" s="1">
        <f t="shared" si="43"/>
        <v>-1200</v>
      </c>
      <c r="Y98" s="1"/>
      <c r="Z98" s="5">
        <f t="shared" si="44"/>
        <v>-1</v>
      </c>
    </row>
    <row r="99" spans="1:26" s="24" customFormat="1" hidden="1" outlineLevel="2" x14ac:dyDescent="0.25">
      <c r="A99" s="28"/>
      <c r="B99" s="11" t="str">
        <f>CONCATENATE("          ", "6408", " - ", "INVENTORY ADJUSTMENT")</f>
        <v xml:space="preserve">          6408 - INVENTORY ADJUSTMENT</v>
      </c>
      <c r="C99" s="11"/>
      <c r="D99" s="6"/>
      <c r="E99" s="2"/>
      <c r="F99" s="7">
        <f t="shared" si="37"/>
        <v>0</v>
      </c>
      <c r="G99" s="2"/>
      <c r="H99" s="6">
        <v>400</v>
      </c>
      <c r="I99" s="2"/>
      <c r="J99" s="7">
        <f t="shared" si="38"/>
        <v>2.9641090851425509E-3</v>
      </c>
      <c r="K99" s="2"/>
      <c r="L99" s="6">
        <f t="shared" si="39"/>
        <v>-400</v>
      </c>
      <c r="M99" s="2"/>
      <c r="N99" s="7">
        <f t="shared" si="40"/>
        <v>-1</v>
      </c>
      <c r="O99" s="11"/>
      <c r="P99" s="6"/>
      <c r="Q99" s="2"/>
      <c r="R99" s="7">
        <f t="shared" si="41"/>
        <v>0</v>
      </c>
      <c r="S99" s="2"/>
      <c r="T99" s="6">
        <v>1200</v>
      </c>
      <c r="U99" s="2"/>
      <c r="V99" s="7">
        <f t="shared" si="42"/>
        <v>4.2550108869772313E-3</v>
      </c>
      <c r="W99" s="2"/>
      <c r="X99" s="6">
        <f t="shared" si="43"/>
        <v>-1200</v>
      </c>
      <c r="Y99" s="2"/>
      <c r="Z99" s="7">
        <f t="shared" si="44"/>
        <v>-1</v>
      </c>
    </row>
    <row r="100" spans="1:26" s="29" customFormat="1" outlineLevel="1" collapsed="1" x14ac:dyDescent="0.25">
      <c r="A100" s="27"/>
      <c r="B100" s="14" t="str">
        <f>CONCATENATE("     ","Professional Services                             ")</f>
        <v xml:space="preserve">     Professional Services                             </v>
      </c>
      <c r="C100" s="14"/>
      <c r="D100" s="1">
        <f>SUM(OSRRefD22_7x_0)</f>
        <v>0</v>
      </c>
      <c r="E100" s="1"/>
      <c r="F100" s="5">
        <f t="shared" si="37"/>
        <v>0</v>
      </c>
      <c r="G100" s="1"/>
      <c r="H100" s="1">
        <f>SUM(OSRRefH22_7x_0)</f>
        <v>0</v>
      </c>
      <c r="I100" s="1"/>
      <c r="J100" s="5">
        <f t="shared" si="38"/>
        <v>0</v>
      </c>
      <c r="K100" s="1"/>
      <c r="L100" s="1">
        <f t="shared" si="39"/>
        <v>0</v>
      </c>
      <c r="M100" s="1"/>
      <c r="N100" s="5">
        <f t="shared" si="40"/>
        <v>0</v>
      </c>
      <c r="O100" s="14"/>
      <c r="P100" s="1">
        <f>SUM(OSRRefP22_7x_0)</f>
        <v>750</v>
      </c>
      <c r="Q100" s="1"/>
      <c r="R100" s="5">
        <f t="shared" si="41"/>
        <v>2.5797224528207462E-3</v>
      </c>
      <c r="S100" s="1"/>
      <c r="T100" s="1">
        <f>SUM(OSRRefT22_7x_0)</f>
        <v>750</v>
      </c>
      <c r="U100" s="1"/>
      <c r="V100" s="5">
        <f t="shared" si="42"/>
        <v>2.65938180436077E-3</v>
      </c>
      <c r="W100" s="1"/>
      <c r="X100" s="1">
        <f t="shared" si="43"/>
        <v>0</v>
      </c>
      <c r="Y100" s="1"/>
      <c r="Z100" s="5">
        <f t="shared" si="44"/>
        <v>0</v>
      </c>
    </row>
    <row r="101" spans="1:26" s="24" customFormat="1" hidden="1" outlineLevel="2" x14ac:dyDescent="0.25">
      <c r="A101" s="28"/>
      <c r="B101" s="11" t="str">
        <f>CONCATENATE("          ", "6336", " - ", "PROFESSIONAL SERVICES")</f>
        <v xml:space="preserve">          6336 - PROFESSIONAL SERVICES</v>
      </c>
      <c r="C101" s="11"/>
      <c r="D101" s="6"/>
      <c r="E101" s="2"/>
      <c r="F101" s="7">
        <f t="shared" si="37"/>
        <v>0</v>
      </c>
      <c r="G101" s="2"/>
      <c r="H101" s="6"/>
      <c r="I101" s="2"/>
      <c r="J101" s="7">
        <f t="shared" si="38"/>
        <v>0</v>
      </c>
      <c r="K101" s="2"/>
      <c r="L101" s="6">
        <f t="shared" si="39"/>
        <v>0</v>
      </c>
      <c r="M101" s="2"/>
      <c r="N101" s="7">
        <f t="shared" si="40"/>
        <v>0</v>
      </c>
      <c r="O101" s="11"/>
      <c r="P101" s="6">
        <v>750</v>
      </c>
      <c r="Q101" s="2"/>
      <c r="R101" s="7">
        <f t="shared" si="41"/>
        <v>2.5797224528207462E-3</v>
      </c>
      <c r="S101" s="2"/>
      <c r="T101" s="6">
        <v>750</v>
      </c>
      <c r="U101" s="2"/>
      <c r="V101" s="7">
        <f t="shared" si="42"/>
        <v>2.65938180436077E-3</v>
      </c>
      <c r="W101" s="2"/>
      <c r="X101" s="6">
        <f t="shared" si="43"/>
        <v>0</v>
      </c>
      <c r="Y101" s="2"/>
      <c r="Z101" s="7">
        <f t="shared" si="44"/>
        <v>0</v>
      </c>
    </row>
    <row r="102" spans="1:26" s="29" customFormat="1" outlineLevel="1" collapsed="1" x14ac:dyDescent="0.25">
      <c r="A102" s="27"/>
      <c r="B102" s="14" t="str">
        <f>CONCATENATE("     ","Repair and Maintenance                            ")</f>
        <v xml:space="preserve">     Repair and Maintenance                            </v>
      </c>
      <c r="C102" s="14"/>
      <c r="D102" s="1">
        <f>SUM(OSRRefD22_8x_0)</f>
        <v>9.8000000000000007</v>
      </c>
      <c r="E102" s="1"/>
      <c r="F102" s="5">
        <f t="shared" si="37"/>
        <v>7.0692819932259004E-5</v>
      </c>
      <c r="G102" s="1"/>
      <c r="H102" s="1">
        <f>SUM(OSRRefH22_8x_0)</f>
        <v>49.62</v>
      </c>
      <c r="I102" s="1"/>
      <c r="J102" s="5">
        <f t="shared" si="38"/>
        <v>3.6769773201193344E-4</v>
      </c>
      <c r="K102" s="1"/>
      <c r="L102" s="1">
        <f t="shared" si="39"/>
        <v>-39.819999999999993</v>
      </c>
      <c r="M102" s="1"/>
      <c r="N102" s="5">
        <f t="shared" si="40"/>
        <v>-0.80249899234179756</v>
      </c>
      <c r="O102" s="14"/>
      <c r="P102" s="1">
        <f>SUM(OSRRefP22_8x_0)</f>
        <v>9.8000000000000007</v>
      </c>
      <c r="Q102" s="1"/>
      <c r="R102" s="5">
        <f t="shared" si="41"/>
        <v>3.370837338352442E-5</v>
      </c>
      <c r="S102" s="1"/>
      <c r="T102" s="1">
        <f>SUM(OSRRefT22_8x_0)</f>
        <v>49.62</v>
      </c>
      <c r="U102" s="1"/>
      <c r="V102" s="5">
        <f t="shared" si="42"/>
        <v>1.7594470017650852E-4</v>
      </c>
      <c r="W102" s="1"/>
      <c r="X102" s="1">
        <f t="shared" si="43"/>
        <v>-39.819999999999993</v>
      </c>
      <c r="Y102" s="1"/>
      <c r="Z102" s="5">
        <f t="shared" si="44"/>
        <v>-0.80249899234179756</v>
      </c>
    </row>
    <row r="103" spans="1:26" s="24" customFormat="1" hidden="1" outlineLevel="2" x14ac:dyDescent="0.25">
      <c r="A103" s="28"/>
      <c r="B103" s="11" t="str">
        <f>CONCATENATE("          ", "6373", " - ", "MAINTENANCE CONTRACTS")</f>
        <v xml:space="preserve">          6373 - MAINTENANCE CONTRACTS</v>
      </c>
      <c r="C103" s="11"/>
      <c r="D103" s="6"/>
      <c r="E103" s="2"/>
      <c r="F103" s="7">
        <f t="shared" si="37"/>
        <v>0</v>
      </c>
      <c r="G103" s="2"/>
      <c r="H103" s="6">
        <v>49.62</v>
      </c>
      <c r="I103" s="2"/>
      <c r="J103" s="7">
        <f t="shared" si="38"/>
        <v>3.6769773201193344E-4</v>
      </c>
      <c r="K103" s="2"/>
      <c r="L103" s="6">
        <f t="shared" si="39"/>
        <v>-49.62</v>
      </c>
      <c r="M103" s="2"/>
      <c r="N103" s="7">
        <f t="shared" si="40"/>
        <v>-1</v>
      </c>
      <c r="O103" s="11"/>
      <c r="P103" s="6"/>
      <c r="Q103" s="2"/>
      <c r="R103" s="7">
        <f t="shared" si="41"/>
        <v>0</v>
      </c>
      <c r="S103" s="2"/>
      <c r="T103" s="6">
        <v>49.62</v>
      </c>
      <c r="U103" s="2"/>
      <c r="V103" s="7">
        <f t="shared" si="42"/>
        <v>1.7594470017650852E-4</v>
      </c>
      <c r="W103" s="2"/>
      <c r="X103" s="6">
        <f t="shared" si="43"/>
        <v>-49.62</v>
      </c>
      <c r="Y103" s="2"/>
      <c r="Z103" s="7">
        <f t="shared" si="44"/>
        <v>-1</v>
      </c>
    </row>
    <row r="104" spans="1:26" s="24" customFormat="1" hidden="1" outlineLevel="2" x14ac:dyDescent="0.25">
      <c r="A104" s="28"/>
      <c r="B104" s="11" t="str">
        <f>CONCATENATE("          ", "6375", " - ", "OUTSIDE REPAIRS &amp; MAINTENANCE")</f>
        <v xml:space="preserve">          6375 - OUTSIDE REPAIRS &amp; MAINTENANCE</v>
      </c>
      <c r="C104" s="11"/>
      <c r="D104" s="6">
        <v>9.8000000000000007</v>
      </c>
      <c r="E104" s="2"/>
      <c r="F104" s="7">
        <f t="shared" si="37"/>
        <v>7.0692819932259004E-5</v>
      </c>
      <c r="G104" s="2"/>
      <c r="H104" s="6"/>
      <c r="I104" s="2"/>
      <c r="J104" s="7">
        <f t="shared" si="38"/>
        <v>0</v>
      </c>
      <c r="K104" s="2"/>
      <c r="L104" s="6">
        <f t="shared" si="39"/>
        <v>9.8000000000000007</v>
      </c>
      <c r="M104" s="2"/>
      <c r="N104" s="7">
        <f t="shared" si="40"/>
        <v>0</v>
      </c>
      <c r="O104" s="11"/>
      <c r="P104" s="6">
        <v>9.8000000000000007</v>
      </c>
      <c r="Q104" s="2"/>
      <c r="R104" s="7">
        <f t="shared" si="41"/>
        <v>3.370837338352442E-5</v>
      </c>
      <c r="S104" s="2"/>
      <c r="T104" s="6"/>
      <c r="U104" s="2"/>
      <c r="V104" s="7">
        <f t="shared" si="42"/>
        <v>0</v>
      </c>
      <c r="W104" s="2"/>
      <c r="X104" s="6">
        <f t="shared" si="43"/>
        <v>9.8000000000000007</v>
      </c>
      <c r="Y104" s="2"/>
      <c r="Z104" s="7">
        <f t="shared" si="44"/>
        <v>0</v>
      </c>
    </row>
    <row r="105" spans="1:26" s="29" customFormat="1" outlineLevel="1" collapsed="1" x14ac:dyDescent="0.25">
      <c r="A105" s="27"/>
      <c r="B105" s="14" t="str">
        <f>CONCATENATE("     ","Services                                          ")</f>
        <v xml:space="preserve">     Services                                          </v>
      </c>
      <c r="C105" s="14"/>
      <c r="D105" s="1">
        <f>SUM(OSRRefD22_9x_0)</f>
        <v>233.11</v>
      </c>
      <c r="E105" s="1"/>
      <c r="F105" s="5">
        <f t="shared" ref="F105:F107" si="45">IF(D$12=0,0,D105/D$12)</f>
        <v>1.6815513524907036E-3</v>
      </c>
      <c r="G105" s="1"/>
      <c r="H105" s="1">
        <f>SUM(OSRRefH22_9x_0)</f>
        <v>168.62</v>
      </c>
      <c r="I105" s="1"/>
      <c r="J105" s="5">
        <f t="shared" ref="J105:J107" si="46">IF(H$12=0,0,H105/H$12)</f>
        <v>1.2495201848418424E-3</v>
      </c>
      <c r="K105" s="1"/>
      <c r="L105" s="1">
        <f t="shared" ref="L105:L107" si="47">+D105-H105</f>
        <v>64.490000000000009</v>
      </c>
      <c r="M105" s="1"/>
      <c r="N105" s="5">
        <f t="shared" ref="N105:N107" si="48">IF(H105=0,0,L105/H105)</f>
        <v>0.38245759696358683</v>
      </c>
      <c r="O105" s="14"/>
      <c r="P105" s="1">
        <f>SUM(OSRRefP22_9x_0)</f>
        <v>695.96</v>
      </c>
      <c r="Q105" s="1"/>
      <c r="R105" s="5">
        <f t="shared" ref="R105:R107" si="49">IF(P$12=0,0,P105/P$12)</f>
        <v>2.3938448510201688E-3</v>
      </c>
      <c r="S105" s="1"/>
      <c r="T105" s="1">
        <f>SUM(OSRRefT22_9x_0)</f>
        <v>599.91999999999996</v>
      </c>
      <c r="U105" s="1"/>
      <c r="V105" s="5">
        <f t="shared" ref="V105:V107" si="50">IF(T$12=0,0,T105/T$12)</f>
        <v>2.1272217760961503E-3</v>
      </c>
      <c r="W105" s="1"/>
      <c r="X105" s="1">
        <f t="shared" ref="X105:X107" si="51">+P105-T105</f>
        <v>96.040000000000077</v>
      </c>
      <c r="Y105" s="1"/>
      <c r="Z105" s="5">
        <f t="shared" ref="Z105:Z107" si="52">IF(T105=0,0,X105/T105)</f>
        <v>0.16008801173489812</v>
      </c>
    </row>
    <row r="106" spans="1:26" s="24" customFormat="1" hidden="1" outlineLevel="2" x14ac:dyDescent="0.25">
      <c r="A106" s="28"/>
      <c r="B106" s="11" t="str">
        <f>CONCATENATE("          ", "6282", " - ", "JANITORIAL/EXTERMINATOR EXPENS")</f>
        <v xml:space="preserve">          6282 - JANITORIAL/EXTERMINATOR EXPENS</v>
      </c>
      <c r="C106" s="11"/>
      <c r="D106" s="6">
        <v>44</v>
      </c>
      <c r="E106" s="2"/>
      <c r="F106" s="7">
        <f t="shared" si="45"/>
        <v>3.1739633438973428E-4</v>
      </c>
      <c r="G106" s="2"/>
      <c r="H106" s="6">
        <v>41.5</v>
      </c>
      <c r="I106" s="2"/>
      <c r="J106" s="7">
        <f t="shared" si="46"/>
        <v>3.0752631758353968E-4</v>
      </c>
      <c r="K106" s="2"/>
      <c r="L106" s="6">
        <f t="shared" si="47"/>
        <v>2.5</v>
      </c>
      <c r="M106" s="2"/>
      <c r="N106" s="7">
        <f t="shared" si="48"/>
        <v>6.0240963855421686E-2</v>
      </c>
      <c r="O106" s="11"/>
      <c r="P106" s="6">
        <v>132</v>
      </c>
      <c r="Q106" s="2"/>
      <c r="R106" s="7">
        <f t="shared" si="49"/>
        <v>4.5403115169645133E-4</v>
      </c>
      <c r="S106" s="2"/>
      <c r="T106" s="6">
        <v>83</v>
      </c>
      <c r="U106" s="2"/>
      <c r="V106" s="7">
        <f t="shared" si="50"/>
        <v>2.9430491968259186E-4</v>
      </c>
      <c r="W106" s="2"/>
      <c r="X106" s="6">
        <f t="shared" si="51"/>
        <v>49</v>
      </c>
      <c r="Y106" s="2"/>
      <c r="Z106" s="7">
        <f t="shared" si="52"/>
        <v>0.59036144578313254</v>
      </c>
    </row>
    <row r="107" spans="1:26" s="24" customFormat="1" hidden="1" outlineLevel="2" x14ac:dyDescent="0.25">
      <c r="A107" s="28"/>
      <c r="B107" s="11" t="str">
        <f>CONCATENATE("          ", "6285", " - ", "JANITORIAL SERVICES")</f>
        <v xml:space="preserve">          6285 - JANITORIAL SERVICES</v>
      </c>
      <c r="C107" s="11"/>
      <c r="D107" s="6">
        <v>189.11</v>
      </c>
      <c r="E107" s="2"/>
      <c r="F107" s="7">
        <f t="shared" si="45"/>
        <v>1.3641550181009694E-3</v>
      </c>
      <c r="G107" s="2"/>
      <c r="H107" s="6">
        <v>127.12</v>
      </c>
      <c r="I107" s="2"/>
      <c r="J107" s="7">
        <f t="shared" si="46"/>
        <v>9.4199386725830273E-4</v>
      </c>
      <c r="K107" s="2"/>
      <c r="L107" s="6">
        <f t="shared" si="47"/>
        <v>61.990000000000009</v>
      </c>
      <c r="M107" s="2"/>
      <c r="N107" s="7">
        <f t="shared" si="48"/>
        <v>0.48764946507237261</v>
      </c>
      <c r="O107" s="11"/>
      <c r="P107" s="6">
        <v>563.96</v>
      </c>
      <c r="Q107" s="2"/>
      <c r="R107" s="7">
        <f t="shared" si="49"/>
        <v>1.9398136993237175E-3</v>
      </c>
      <c r="S107" s="2"/>
      <c r="T107" s="6">
        <v>516.91999999999996</v>
      </c>
      <c r="U107" s="2"/>
      <c r="V107" s="7">
        <f t="shared" si="50"/>
        <v>1.8329168564135587E-3</v>
      </c>
      <c r="W107" s="2"/>
      <c r="X107" s="6">
        <f t="shared" si="51"/>
        <v>47.040000000000077</v>
      </c>
      <c r="Y107" s="2"/>
      <c r="Z107" s="7">
        <f t="shared" si="52"/>
        <v>9.100054166989105E-2</v>
      </c>
    </row>
    <row r="108" spans="1:26" s="29" customFormat="1" outlineLevel="1" collapsed="1" x14ac:dyDescent="0.25">
      <c r="A108" s="27"/>
      <c r="B108" s="14" t="str">
        <f>CONCATENATE("     ","Subscriptions &amp; Dues                              ")</f>
        <v xml:space="preserve">     Subscriptions &amp; Dues                              </v>
      </c>
      <c r="C108" s="14"/>
      <c r="D108" s="1">
        <f>SUM(OSRRefD22_10x_0)</f>
        <v>0</v>
      </c>
      <c r="E108" s="1"/>
      <c r="F108" s="5">
        <f t="shared" ref="F108:F112" si="53">IF(D$12=0,0,D108/D$12)</f>
        <v>0</v>
      </c>
      <c r="G108" s="1"/>
      <c r="H108" s="1">
        <f>SUM(OSRRefH22_10x_0)</f>
        <v>120</v>
      </c>
      <c r="I108" s="1"/>
      <c r="J108" s="5">
        <f t="shared" ref="J108:J112" si="54">IF(H$12=0,0,H108/H$12)</f>
        <v>8.892327255427653E-4</v>
      </c>
      <c r="K108" s="1"/>
      <c r="L108" s="1">
        <f t="shared" ref="L108:L112" si="55">+D108-H108</f>
        <v>-120</v>
      </c>
      <c r="M108" s="1"/>
      <c r="N108" s="5">
        <f t="shared" ref="N108:N112" si="56">IF(H108=0,0,L108/H108)</f>
        <v>-1</v>
      </c>
      <c r="O108" s="14"/>
      <c r="P108" s="1">
        <f>SUM(OSRRefP22_10x_0)</f>
        <v>120</v>
      </c>
      <c r="Q108" s="1"/>
      <c r="R108" s="5">
        <f t="shared" ref="R108:R112" si="57">IF(P$12=0,0,P108/P$12)</f>
        <v>4.127555924513194E-4</v>
      </c>
      <c r="S108" s="1"/>
      <c r="T108" s="1">
        <f>SUM(OSRRefT22_10x_0)</f>
        <v>120</v>
      </c>
      <c r="U108" s="1"/>
      <c r="V108" s="5">
        <f t="shared" ref="V108:V112" si="58">IF(T$12=0,0,T108/T$12)</f>
        <v>4.2550108869772316E-4</v>
      </c>
      <c r="W108" s="1"/>
      <c r="X108" s="1">
        <f t="shared" ref="X108:X112" si="59">+P108-T108</f>
        <v>0</v>
      </c>
      <c r="Y108" s="1"/>
      <c r="Z108" s="5">
        <f t="shared" ref="Z108:Z112" si="60">IF(T108=0,0,X108/T108)</f>
        <v>0</v>
      </c>
    </row>
    <row r="109" spans="1:26" s="24" customFormat="1" hidden="1" outlineLevel="2" x14ac:dyDescent="0.25">
      <c r="A109" s="28"/>
      <c r="B109" s="11" t="str">
        <f>CONCATENATE("          ", "6258", " - ", "MEMBERSHIP DUES")</f>
        <v xml:space="preserve">          6258 - MEMBERSHIP DUES</v>
      </c>
      <c r="C109" s="11"/>
      <c r="D109" s="6"/>
      <c r="E109" s="2"/>
      <c r="F109" s="7">
        <f t="shared" si="53"/>
        <v>0</v>
      </c>
      <c r="G109" s="2"/>
      <c r="H109" s="6">
        <v>120</v>
      </c>
      <c r="I109" s="2"/>
      <c r="J109" s="7">
        <f t="shared" si="54"/>
        <v>8.892327255427653E-4</v>
      </c>
      <c r="K109" s="2"/>
      <c r="L109" s="6">
        <f t="shared" si="55"/>
        <v>-120</v>
      </c>
      <c r="M109" s="2"/>
      <c r="N109" s="7">
        <f t="shared" si="56"/>
        <v>-1</v>
      </c>
      <c r="O109" s="11"/>
      <c r="P109" s="6">
        <v>120</v>
      </c>
      <c r="Q109" s="2"/>
      <c r="R109" s="7">
        <f t="shared" si="57"/>
        <v>4.127555924513194E-4</v>
      </c>
      <c r="S109" s="2"/>
      <c r="T109" s="6">
        <v>120</v>
      </c>
      <c r="U109" s="2"/>
      <c r="V109" s="7">
        <f t="shared" si="58"/>
        <v>4.2550108869772316E-4</v>
      </c>
      <c r="W109" s="2"/>
      <c r="X109" s="6">
        <f t="shared" si="59"/>
        <v>0</v>
      </c>
      <c r="Y109" s="2"/>
      <c r="Z109" s="7">
        <f t="shared" si="60"/>
        <v>0</v>
      </c>
    </row>
    <row r="110" spans="1:26" s="29" customFormat="1" outlineLevel="1" collapsed="1" x14ac:dyDescent="0.25">
      <c r="A110" s="27"/>
      <c r="B110" s="14" t="str">
        <f>CONCATENATE("     ","Supplies                                          ")</f>
        <v xml:space="preserve">     Supplies                                          </v>
      </c>
      <c r="C110" s="14"/>
      <c r="D110" s="1">
        <f>SUM(OSRRefD22_11x_0)</f>
        <v>358.54</v>
      </c>
      <c r="E110" s="1"/>
      <c r="F110" s="5">
        <f t="shared" si="53"/>
        <v>2.5863473120930755E-3</v>
      </c>
      <c r="G110" s="1"/>
      <c r="H110" s="1">
        <f>SUM(OSRRefH22_11x_0)</f>
        <v>239.17</v>
      </c>
      <c r="I110" s="1"/>
      <c r="J110" s="5">
        <f t="shared" si="54"/>
        <v>1.7723149247338597E-3</v>
      </c>
      <c r="K110" s="1"/>
      <c r="L110" s="1">
        <f t="shared" si="55"/>
        <v>119.37000000000003</v>
      </c>
      <c r="M110" s="1"/>
      <c r="N110" s="5">
        <f t="shared" si="56"/>
        <v>0.49910105782497821</v>
      </c>
      <c r="O110" s="14"/>
      <c r="P110" s="1">
        <f>SUM(OSRRefP22_11x_0)</f>
        <v>571.96</v>
      </c>
      <c r="Q110" s="1"/>
      <c r="R110" s="5">
        <f t="shared" si="57"/>
        <v>1.967330738820472E-3</v>
      </c>
      <c r="S110" s="1"/>
      <c r="T110" s="1">
        <f>SUM(OSRRefT22_11x_0)</f>
        <v>672.02</v>
      </c>
      <c r="U110" s="1"/>
      <c r="V110" s="5">
        <f t="shared" si="58"/>
        <v>2.3828770135553659E-3</v>
      </c>
      <c r="W110" s="1"/>
      <c r="X110" s="1">
        <f t="shared" si="59"/>
        <v>-100.05999999999995</v>
      </c>
      <c r="Y110" s="1"/>
      <c r="Z110" s="5">
        <f t="shared" si="60"/>
        <v>-0.14889437814350756</v>
      </c>
    </row>
    <row r="111" spans="1:26" s="24" customFormat="1" hidden="1" outlineLevel="2" x14ac:dyDescent="0.25">
      <c r="A111" s="28"/>
      <c r="B111" s="11" t="str">
        <f>CONCATENATE("          ", "6241", " - ", "OFFICE EXPENSE")</f>
        <v xml:space="preserve">          6241 - OFFICE EXPENSE</v>
      </c>
      <c r="C111" s="11"/>
      <c r="D111" s="6">
        <v>358.54</v>
      </c>
      <c r="E111" s="2"/>
      <c r="F111" s="7">
        <f t="shared" si="53"/>
        <v>2.5863473120930755E-3</v>
      </c>
      <c r="G111" s="2"/>
      <c r="H111" s="6">
        <v>239.17</v>
      </c>
      <c r="I111" s="2"/>
      <c r="J111" s="7">
        <f t="shared" si="54"/>
        <v>1.7723149247338597E-3</v>
      </c>
      <c r="K111" s="2"/>
      <c r="L111" s="6">
        <f t="shared" si="55"/>
        <v>119.37000000000003</v>
      </c>
      <c r="M111" s="2"/>
      <c r="N111" s="7">
        <f t="shared" si="56"/>
        <v>0.49910105782497821</v>
      </c>
      <c r="O111" s="11"/>
      <c r="P111" s="6">
        <v>571.96</v>
      </c>
      <c r="Q111" s="2"/>
      <c r="R111" s="7">
        <f t="shared" si="57"/>
        <v>1.967330738820472E-3</v>
      </c>
      <c r="S111" s="2"/>
      <c r="T111" s="6">
        <v>668.49</v>
      </c>
      <c r="U111" s="2"/>
      <c r="V111" s="7">
        <f t="shared" si="58"/>
        <v>2.3703601898628413E-3</v>
      </c>
      <c r="W111" s="2"/>
      <c r="X111" s="6">
        <f t="shared" si="59"/>
        <v>-96.529999999999973</v>
      </c>
      <c r="Y111" s="2"/>
      <c r="Z111" s="7">
        <f t="shared" si="60"/>
        <v>-0.1444000658199823</v>
      </c>
    </row>
    <row r="112" spans="1:26" s="24" customFormat="1" hidden="1" outlineLevel="2" x14ac:dyDescent="0.25">
      <c r="A112" s="28"/>
      <c r="B112" s="11" t="str">
        <f>CONCATENATE("          ", "6245", " - ", "PRINTING")</f>
        <v xml:space="preserve">          6245 - PRINTING</v>
      </c>
      <c r="C112" s="11"/>
      <c r="D112" s="6"/>
      <c r="E112" s="2"/>
      <c r="F112" s="7">
        <f t="shared" si="53"/>
        <v>0</v>
      </c>
      <c r="G112" s="2"/>
      <c r="H112" s="6"/>
      <c r="I112" s="2"/>
      <c r="J112" s="7">
        <f t="shared" si="54"/>
        <v>0</v>
      </c>
      <c r="K112" s="2"/>
      <c r="L112" s="6">
        <f t="shared" si="55"/>
        <v>0</v>
      </c>
      <c r="M112" s="2"/>
      <c r="N112" s="7">
        <f t="shared" si="56"/>
        <v>0</v>
      </c>
      <c r="O112" s="11"/>
      <c r="P112" s="6"/>
      <c r="Q112" s="2"/>
      <c r="R112" s="7">
        <f t="shared" si="57"/>
        <v>0</v>
      </c>
      <c r="S112" s="2"/>
      <c r="T112" s="6">
        <v>3.53</v>
      </c>
      <c r="U112" s="2"/>
      <c r="V112" s="7">
        <f t="shared" si="58"/>
        <v>1.251682369252469E-5</v>
      </c>
      <c r="W112" s="2"/>
      <c r="X112" s="6">
        <f t="shared" si="59"/>
        <v>-3.53</v>
      </c>
      <c r="Y112" s="2"/>
      <c r="Z112" s="7">
        <f t="shared" si="60"/>
        <v>-1</v>
      </c>
    </row>
    <row r="113" spans="1:26" s="29" customFormat="1" outlineLevel="1" collapsed="1" x14ac:dyDescent="0.25">
      <c r="A113" s="27"/>
      <c r="B113" s="14" t="str">
        <f>CONCATENATE("     ","Telephone/Data Lines                              ")</f>
        <v xml:space="preserve">     Telephone/Data Lines                              </v>
      </c>
      <c r="C113" s="14"/>
      <c r="D113" s="1">
        <f>SUM(OSRRefD22_12x_0)</f>
        <v>125</v>
      </c>
      <c r="E113" s="1"/>
      <c r="F113" s="5">
        <f t="shared" ref="F113:F114" si="61">IF(D$12=0,0,D113/D$12)</f>
        <v>9.0169413178901783E-4</v>
      </c>
      <c r="G113" s="1"/>
      <c r="H113" s="1">
        <f>SUM(OSRRefH22_12x_0)</f>
        <v>132</v>
      </c>
      <c r="I113" s="1"/>
      <c r="J113" s="5">
        <f t="shared" ref="J113:J114" si="62">IF(H$12=0,0,H113/H$12)</f>
        <v>9.7815599809704195E-4</v>
      </c>
      <c r="K113" s="1"/>
      <c r="L113" s="1">
        <f t="shared" ref="L113:L114" si="63">+D113-H113</f>
        <v>-7</v>
      </c>
      <c r="M113" s="1"/>
      <c r="N113" s="5">
        <f t="shared" ref="N113:N114" si="64">IF(H113=0,0,L113/H113)</f>
        <v>-5.3030303030303032E-2</v>
      </c>
      <c r="O113" s="14"/>
      <c r="P113" s="1">
        <f>SUM(OSRRefP22_12x_0)</f>
        <v>302.5</v>
      </c>
      <c r="Q113" s="1"/>
      <c r="R113" s="5">
        <f t="shared" ref="R113:R114" si="65">IF(P$12=0,0,P113/P$12)</f>
        <v>1.0404880559710345E-3</v>
      </c>
      <c r="S113" s="1"/>
      <c r="T113" s="1">
        <f>SUM(OSRRefT22_12x_0)</f>
        <v>360.35</v>
      </c>
      <c r="U113" s="1"/>
      <c r="V113" s="5">
        <f t="shared" ref="V113:V114" si="66">IF(T$12=0,0,T113/T$12)</f>
        <v>1.2777443109352046E-3</v>
      </c>
      <c r="W113" s="1"/>
      <c r="X113" s="1">
        <f t="shared" ref="X113:X114" si="67">+P113-T113</f>
        <v>-57.850000000000023</v>
      </c>
      <c r="Y113" s="1"/>
      <c r="Z113" s="5">
        <f t="shared" ref="Z113:Z114" si="68">IF(T113=0,0,X113/T113)</f>
        <v>-0.16053836547800754</v>
      </c>
    </row>
    <row r="114" spans="1:26" s="24" customFormat="1" hidden="1" outlineLevel="2" x14ac:dyDescent="0.25">
      <c r="A114" s="28"/>
      <c r="B114" s="11" t="str">
        <f>CONCATENATE("          ", "6309", " - ", "TELEPHONE")</f>
        <v xml:space="preserve">          6309 - TELEPHONE</v>
      </c>
      <c r="C114" s="11"/>
      <c r="D114" s="6">
        <v>125</v>
      </c>
      <c r="E114" s="2"/>
      <c r="F114" s="7">
        <f t="shared" si="61"/>
        <v>9.0169413178901783E-4</v>
      </c>
      <c r="G114" s="2"/>
      <c r="H114" s="6">
        <v>132</v>
      </c>
      <c r="I114" s="2"/>
      <c r="J114" s="7">
        <f t="shared" si="62"/>
        <v>9.7815599809704195E-4</v>
      </c>
      <c r="K114" s="2"/>
      <c r="L114" s="6">
        <f t="shared" si="63"/>
        <v>-7</v>
      </c>
      <c r="M114" s="2"/>
      <c r="N114" s="7">
        <f t="shared" si="64"/>
        <v>-5.3030303030303032E-2</v>
      </c>
      <c r="O114" s="11"/>
      <c r="P114" s="6">
        <v>302.5</v>
      </c>
      <c r="Q114" s="2"/>
      <c r="R114" s="7">
        <f t="shared" si="65"/>
        <v>1.0404880559710345E-3</v>
      </c>
      <c r="S114" s="2"/>
      <c r="T114" s="6">
        <v>360.35</v>
      </c>
      <c r="U114" s="2"/>
      <c r="V114" s="7">
        <f t="shared" si="66"/>
        <v>1.2777443109352046E-3</v>
      </c>
      <c r="W114" s="2"/>
      <c r="X114" s="6">
        <f t="shared" si="67"/>
        <v>-57.850000000000023</v>
      </c>
      <c r="Y114" s="2"/>
      <c r="Z114" s="7">
        <f t="shared" si="68"/>
        <v>-0.16053836547800754</v>
      </c>
    </row>
    <row r="115" spans="1:26" s="53" customFormat="1" x14ac:dyDescent="0.25">
      <c r="A115" s="37"/>
      <c r="B115" s="37"/>
      <c r="C115" s="37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7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x14ac:dyDescent="0.25">
      <c r="A116" s="10"/>
      <c r="B116" s="25" t="s">
        <v>0</v>
      </c>
      <c r="C116" s="10"/>
      <c r="D116" s="4">
        <f>SUM(0)</f>
        <v>0</v>
      </c>
      <c r="E116" s="4"/>
      <c r="F116" s="12">
        <f>IF(D$12=0,0,D116/D$12)</f>
        <v>0</v>
      </c>
      <c r="G116" s="4"/>
      <c r="H116" s="4">
        <f>SUM(0)</f>
        <v>0</v>
      </c>
      <c r="I116" s="4"/>
      <c r="J116" s="12">
        <f>IF(H$12=0,0,H116/H$12)</f>
        <v>0</v>
      </c>
      <c r="K116" s="4"/>
      <c r="L116" s="4">
        <f>+D116-H116</f>
        <v>0</v>
      </c>
      <c r="M116" s="4"/>
      <c r="N116" s="12">
        <f>IF(H116=0,0,L116/H116)</f>
        <v>0</v>
      </c>
      <c r="O116" s="10"/>
      <c r="P116" s="4">
        <f>SUM(0)</f>
        <v>0</v>
      </c>
      <c r="Q116" s="4"/>
      <c r="R116" s="12">
        <f>IF(P$12=0,0,P116/P$12)</f>
        <v>0</v>
      </c>
      <c r="S116" s="4"/>
      <c r="T116" s="4">
        <f>SUM(0)</f>
        <v>0</v>
      </c>
      <c r="U116" s="4"/>
      <c r="V116" s="12">
        <f>IF(T$12=0,0,T116/T$12)</f>
        <v>0</v>
      </c>
      <c r="W116" s="4"/>
      <c r="X116" s="4">
        <f>+P116-T116</f>
        <v>0</v>
      </c>
      <c r="Y116" s="4"/>
      <c r="Z116" s="12">
        <f>IF(T116=0,0,X116/T116)</f>
        <v>0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10"/>
      <c r="B118" s="26" t="s">
        <v>3</v>
      </c>
      <c r="C118" s="26"/>
      <c r="D118" s="21">
        <f>+D73-D75+D116</f>
        <v>48904.159999999931</v>
      </c>
      <c r="E118" s="13"/>
      <c r="F118" s="20">
        <f>IF(D$12=0,0,D118/D$12)</f>
        <v>0.35277275273656922</v>
      </c>
      <c r="G118" s="13"/>
      <c r="H118" s="21">
        <f>+H73-H75+H116</f>
        <v>46139.310000000027</v>
      </c>
      <c r="I118" s="13"/>
      <c r="J118" s="20">
        <f>IF(H$12=0,0,H118/H$12)</f>
        <v>0.3419048698830216</v>
      </c>
      <c r="K118" s="15"/>
      <c r="L118" s="21">
        <f>+D118-H118</f>
        <v>2764.849999999904</v>
      </c>
      <c r="M118" s="15"/>
      <c r="N118" s="20">
        <f>IF(H118=0,0,L118/H118)</f>
        <v>5.9923956383394171E-2</v>
      </c>
      <c r="O118" s="25"/>
      <c r="P118" s="21">
        <f>+P73-P75+P116</f>
        <v>87053.069999999978</v>
      </c>
      <c r="Q118" s="13"/>
      <c r="R118" s="20">
        <f>IF(P$12=0,0,P118/P$12)</f>
        <v>0.29943034568796811</v>
      </c>
      <c r="S118" s="13"/>
      <c r="T118" s="21">
        <f>+T73-T75+T116</f>
        <v>76743.97</v>
      </c>
      <c r="U118" s="13"/>
      <c r="V118" s="20">
        <f>IF(T$12=0,0,T118/T$12)</f>
        <v>0.27212202321654505</v>
      </c>
      <c r="W118" s="15"/>
      <c r="X118" s="21">
        <f>+P118-T118</f>
        <v>10309.099999999977</v>
      </c>
      <c r="Y118" s="15"/>
      <c r="Z118" s="20">
        <f>IF(T118=0,0,X118/T118)</f>
        <v>0.13433107513202636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51"/>
      <c r="B120" s="10" t="s">
        <v>13</v>
      </c>
      <c r="C120" s="10"/>
      <c r="D120" s="4">
        <v>12263.92</v>
      </c>
      <c r="E120" s="4"/>
      <c r="F120" s="12">
        <f>IF(D$12=0,0,D120/D$12)</f>
        <v>8.8466437573839762E-2</v>
      </c>
      <c r="G120" s="4"/>
      <c r="H120" s="4">
        <v>10041.27</v>
      </c>
      <c r="I120" s="4"/>
      <c r="J120" s="12">
        <f>IF(H$12=0,0,H120/H$12)</f>
        <v>7.4408549083423356E-2</v>
      </c>
      <c r="K120" s="4"/>
      <c r="L120" s="4">
        <f>+D120-H120</f>
        <v>2222.6499999999996</v>
      </c>
      <c r="M120" s="4"/>
      <c r="N120" s="12">
        <f>IF(H120=0,0,L120/H120)</f>
        <v>0.22135148243200309</v>
      </c>
      <c r="O120" s="10"/>
      <c r="P120" s="4">
        <v>31228.140000000003</v>
      </c>
      <c r="Q120" s="4"/>
      <c r="R120" s="12">
        <f>IF(P$12=0,0,P120/P$12)</f>
        <v>0.10741324522377289</v>
      </c>
      <c r="S120" s="4"/>
      <c r="T120" s="4">
        <v>25056.69</v>
      </c>
      <c r="U120" s="4"/>
      <c r="V120" s="12">
        <f>IF(T$12=0,0,T120/T$12)</f>
        <v>8.8847073951344599E-2</v>
      </c>
      <c r="W120" s="4"/>
      <c r="X120" s="4">
        <f>+P120-T120</f>
        <v>6171.4500000000044</v>
      </c>
      <c r="Y120" s="4"/>
      <c r="Z120" s="12">
        <f>IF(T120=0,0,X120/T120)</f>
        <v>0.24629949127358819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6" t="s">
        <v>4</v>
      </c>
      <c r="C122" s="26"/>
      <c r="D122" s="35">
        <f>+D118-D120</f>
        <v>36640.239999999932</v>
      </c>
      <c r="E122" s="13"/>
      <c r="F122" s="30">
        <f>IF(D$12=0,0,D122/D$12)</f>
        <v>0.26430631516272945</v>
      </c>
      <c r="G122" s="13"/>
      <c r="H122" s="35">
        <f>+H118-H120</f>
        <v>36098.040000000023</v>
      </c>
      <c r="I122" s="13"/>
      <c r="J122" s="30">
        <f>IF(H$12=0,0,H122/H$12)</f>
        <v>0.26749632079959818</v>
      </c>
      <c r="K122" s="15"/>
      <c r="L122" s="35">
        <f>D122-H122</f>
        <v>542.19999999990978</v>
      </c>
      <c r="M122" s="15"/>
      <c r="N122" s="30">
        <f>IF(H122=0,0,L122/H122)</f>
        <v>1.5020206083208656E-2</v>
      </c>
      <c r="O122" s="25"/>
      <c r="P122" s="35">
        <f>+P118-P120</f>
        <v>55824.929999999978</v>
      </c>
      <c r="Q122" s="13"/>
      <c r="R122" s="30">
        <f>IF(P$12=0,0,P122/P$12)</f>
        <v>0.19201710046419521</v>
      </c>
      <c r="S122" s="13"/>
      <c r="T122" s="35">
        <f>+T118-T120</f>
        <v>51687.28</v>
      </c>
      <c r="U122" s="13"/>
      <c r="V122" s="30">
        <f>IF(T$12=0,0,T122/T$12)</f>
        <v>0.18327494926520044</v>
      </c>
      <c r="W122" s="15"/>
      <c r="X122" s="35">
        <f>P122-T122</f>
        <v>4137.6499999999796</v>
      </c>
      <c r="Y122" s="15"/>
      <c r="Z122" s="30">
        <f>IF(T122=0,0,X122/T122)</f>
        <v>8.005161037686602E-2</v>
      </c>
    </row>
    <row r="123" spans="1:26" ht="15.75" thickTop="1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6" t="s">
        <v>5</v>
      </c>
      <c r="C125" s="26"/>
      <c r="D125" s="36">
        <f>SUM(D122:D124)</f>
        <v>36640.239999999932</v>
      </c>
      <c r="E125" s="13"/>
      <c r="F125" s="31">
        <f>IF(D$12=0,0,D125/D$12)</f>
        <v>0.26430631516272945</v>
      </c>
      <c r="G125" s="13"/>
      <c r="H125" s="36">
        <f>SUM(H122:H124)</f>
        <v>36098.040000000023</v>
      </c>
      <c r="I125" s="13"/>
      <c r="J125" s="31">
        <f>IF(H$12=0,0,H125/H$12)</f>
        <v>0.26749632079959818</v>
      </c>
      <c r="K125" s="15"/>
      <c r="L125" s="36">
        <f>+D125-H125</f>
        <v>542.19999999990978</v>
      </c>
      <c r="M125" s="15"/>
      <c r="N125" s="31">
        <f>IF(H125=0,0,L125/H125)</f>
        <v>1.5020206083208656E-2</v>
      </c>
      <c r="O125" s="25"/>
      <c r="P125" s="36">
        <f>SUM(P122:P124)</f>
        <v>55824.929999999978</v>
      </c>
      <c r="Q125" s="13"/>
      <c r="R125" s="31">
        <f>IF(P$12=0,0,P125/P$12)</f>
        <v>0.19201710046419521</v>
      </c>
      <c r="S125" s="13"/>
      <c r="T125" s="36">
        <f>SUM(T122:T124)</f>
        <v>51687.28</v>
      </c>
      <c r="U125" s="13"/>
      <c r="V125" s="31">
        <f>IF(T$12=0,0,T125/T$12)</f>
        <v>0.18327494926520044</v>
      </c>
      <c r="W125" s="15"/>
      <c r="X125" s="36">
        <f>+P125-T125</f>
        <v>4137.6499999999796</v>
      </c>
      <c r="Y125" s="15"/>
      <c r="Z125" s="31">
        <f>IF(T125=0,0,X125/T125)</f>
        <v>8.005161037686602E-2</v>
      </c>
    </row>
    <row r="126" spans="1:26" ht="15.75" thickTop="1" x14ac:dyDescent="0.25">
      <c r="A126" s="9"/>
      <c r="C126" s="9"/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A127" s="9"/>
      <c r="B127" s="55">
        <v>43756.462503703704</v>
      </c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  <row r="128" spans="1:26" x14ac:dyDescent="0.25">
      <c r="A128" s="9"/>
      <c r="B128" s="56" t="s">
        <v>313</v>
      </c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  <row r="129" spans="1:24" x14ac:dyDescent="0.25">
      <c r="A129" s="9"/>
      <c r="B129" s="57"/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","307", " - ", "Art Store")</f>
        <v>Department 307 - Art Store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72673.64</v>
      </c>
      <c r="E12" s="4"/>
      <c r="F12" s="12"/>
      <c r="G12" s="4"/>
      <c r="H12" s="4">
        <f>SUM(OSRRefH13x_0)</f>
        <v>70662.63</v>
      </c>
      <c r="I12" s="4"/>
      <c r="J12" s="12"/>
      <c r="K12" s="4"/>
      <c r="L12" s="4">
        <f t="shared" ref="L12:L43" si="0">+D12-H12</f>
        <v>2011.0099999999948</v>
      </c>
      <c r="M12" s="4"/>
      <c r="N12" s="12">
        <f t="shared" ref="N12:N43" si="1">IF(H12=0,0,L12/H12)</f>
        <v>2.8459314350456451E-2</v>
      </c>
      <c r="O12" s="10"/>
      <c r="P12" s="4">
        <f>SUM(OSRRefP13x_0)</f>
        <v>128359.02</v>
      </c>
      <c r="Q12" s="4"/>
      <c r="R12" s="12"/>
      <c r="S12" s="4"/>
      <c r="T12" s="4">
        <f>SUM(OSRRefT13x_0)</f>
        <v>123108.83999999997</v>
      </c>
      <c r="U12" s="4"/>
      <c r="V12" s="12"/>
      <c r="W12" s="4"/>
      <c r="X12" s="4">
        <f t="shared" ref="X12:X43" si="2">+P12-T12</f>
        <v>5250.1800000000367</v>
      </c>
      <c r="Y12" s="4"/>
      <c r="Z12" s="12">
        <f t="shared" ref="Z12:Z43" si="3">IF(T12=0,0,X12/T12)</f>
        <v>4.2646653156670454E-2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>--16.47</f>
        <v>16.47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16.47</v>
      </c>
      <c r="M13" s="2"/>
      <c r="N13" s="19">
        <f t="shared" si="1"/>
        <v>0</v>
      </c>
      <c r="O13" s="11"/>
      <c r="P13" s="2">
        <f>--16.47</f>
        <v>16.47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16.47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--39.9</f>
        <v>39.9</v>
      </c>
      <c r="U14" s="2"/>
      <c r="V14" s="19"/>
      <c r="W14" s="2"/>
      <c r="X14" s="2">
        <f t="shared" si="2"/>
        <v>-39.9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--396.04</f>
        <v>396.04</v>
      </c>
      <c r="E15" s="2"/>
      <c r="F15" s="19"/>
      <c r="G15" s="2"/>
      <c r="H15" s="2">
        <f>--183.06</f>
        <v>183.06</v>
      </c>
      <c r="I15" s="2"/>
      <c r="J15" s="19"/>
      <c r="K15" s="2"/>
      <c r="L15" s="2">
        <f t="shared" si="0"/>
        <v>212.98000000000002</v>
      </c>
      <c r="M15" s="2"/>
      <c r="N15" s="19">
        <f t="shared" si="1"/>
        <v>1.1634436796678684</v>
      </c>
      <c r="O15" s="11"/>
      <c r="P15" s="2">
        <f>--498.76</f>
        <v>498.76</v>
      </c>
      <c r="Q15" s="2"/>
      <c r="R15" s="19"/>
      <c r="S15" s="2"/>
      <c r="T15" s="2">
        <f>--212.62</f>
        <v>212.62</v>
      </c>
      <c r="U15" s="2"/>
      <c r="V15" s="19"/>
      <c r="W15" s="2"/>
      <c r="X15" s="2">
        <f t="shared" si="2"/>
        <v>286.14</v>
      </c>
      <c r="Y15" s="2"/>
      <c r="Z15" s="19">
        <f t="shared" si="3"/>
        <v>1.3457812059072523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--847.15</f>
        <v>847.15</v>
      </c>
      <c r="E16" s="2"/>
      <c r="F16" s="19"/>
      <c r="G16" s="2"/>
      <c r="H16" s="2">
        <f>--1013.69</f>
        <v>1013.69</v>
      </c>
      <c r="I16" s="2"/>
      <c r="J16" s="19"/>
      <c r="K16" s="2"/>
      <c r="L16" s="2">
        <f t="shared" si="0"/>
        <v>-166.54000000000008</v>
      </c>
      <c r="M16" s="2"/>
      <c r="N16" s="19">
        <f t="shared" si="1"/>
        <v>-0.16429085815190056</v>
      </c>
      <c r="O16" s="11"/>
      <c r="P16" s="2">
        <f>--1520.57</f>
        <v>1520.57</v>
      </c>
      <c r="Q16" s="2"/>
      <c r="R16" s="19"/>
      <c r="S16" s="2"/>
      <c r="T16" s="2">
        <f>--1793.63</f>
        <v>1793.63</v>
      </c>
      <c r="U16" s="2"/>
      <c r="V16" s="19"/>
      <c r="W16" s="2"/>
      <c r="X16" s="2">
        <f t="shared" si="2"/>
        <v>-273.06000000000017</v>
      </c>
      <c r="Y16" s="2"/>
      <c r="Z16" s="19">
        <f t="shared" si="3"/>
        <v>-0.15223875604221615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--1087.24</f>
        <v>1087.24</v>
      </c>
      <c r="E17" s="2"/>
      <c r="F17" s="19"/>
      <c r="G17" s="2"/>
      <c r="H17" s="2">
        <f>--965.55</f>
        <v>965.55</v>
      </c>
      <c r="I17" s="2"/>
      <c r="J17" s="19"/>
      <c r="K17" s="2"/>
      <c r="L17" s="2">
        <f t="shared" si="0"/>
        <v>121.69000000000005</v>
      </c>
      <c r="M17" s="2"/>
      <c r="N17" s="19">
        <f t="shared" si="1"/>
        <v>0.12603179534980069</v>
      </c>
      <c r="O17" s="11"/>
      <c r="P17" s="2">
        <f>--4422.32</f>
        <v>4422.32</v>
      </c>
      <c r="Q17" s="2"/>
      <c r="R17" s="19"/>
      <c r="S17" s="2"/>
      <c r="T17" s="2">
        <f>--2205.08</f>
        <v>2205.08</v>
      </c>
      <c r="U17" s="2"/>
      <c r="V17" s="19"/>
      <c r="W17" s="2"/>
      <c r="X17" s="2">
        <f t="shared" si="2"/>
        <v>2217.2399999999998</v>
      </c>
      <c r="Y17" s="2"/>
      <c r="Z17" s="19">
        <f t="shared" si="3"/>
        <v>1.005514539155042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--49846.06</f>
        <v>49846.06</v>
      </c>
      <c r="E18" s="2"/>
      <c r="F18" s="19"/>
      <c r="G18" s="2"/>
      <c r="H18" s="2">
        <f>--50659.59</f>
        <v>50659.59</v>
      </c>
      <c r="I18" s="2"/>
      <c r="J18" s="19"/>
      <c r="K18" s="2"/>
      <c r="L18" s="2">
        <f t="shared" si="0"/>
        <v>-813.52999999999884</v>
      </c>
      <c r="M18" s="2"/>
      <c r="N18" s="19">
        <f t="shared" si="1"/>
        <v>-1.6058756101263331E-2</v>
      </c>
      <c r="O18" s="11"/>
      <c r="P18" s="2">
        <f>--96597.15</f>
        <v>96597.15</v>
      </c>
      <c r="Q18" s="2"/>
      <c r="R18" s="19"/>
      <c r="S18" s="2"/>
      <c r="T18" s="2">
        <f>--96088.01</f>
        <v>96088.01</v>
      </c>
      <c r="U18" s="2"/>
      <c r="V18" s="19"/>
      <c r="W18" s="2"/>
      <c r="X18" s="2">
        <f t="shared" si="2"/>
        <v>509.13999999999942</v>
      </c>
      <c r="Y18" s="2"/>
      <c r="Z18" s="19">
        <f t="shared" si="3"/>
        <v>5.298683987731658E-3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>--88.48</f>
        <v>88.48</v>
      </c>
      <c r="E19" s="2"/>
      <c r="F19" s="19"/>
      <c r="G19" s="2"/>
      <c r="H19" s="2">
        <f>--70.12</f>
        <v>70.12</v>
      </c>
      <c r="I19" s="2"/>
      <c r="J19" s="19"/>
      <c r="K19" s="2"/>
      <c r="L19" s="2">
        <f t="shared" si="0"/>
        <v>18.36</v>
      </c>
      <c r="M19" s="2"/>
      <c r="N19" s="19">
        <f t="shared" si="1"/>
        <v>0.26183685111237875</v>
      </c>
      <c r="O19" s="11"/>
      <c r="P19" s="2">
        <f>--120.82</f>
        <v>120.82</v>
      </c>
      <c r="Q19" s="2"/>
      <c r="R19" s="19"/>
      <c r="S19" s="2"/>
      <c r="T19" s="2">
        <f>--115.06</f>
        <v>115.06</v>
      </c>
      <c r="U19" s="2"/>
      <c r="V19" s="19"/>
      <c r="W19" s="2"/>
      <c r="X19" s="2">
        <f t="shared" si="2"/>
        <v>5.7599999999999909</v>
      </c>
      <c r="Y19" s="2"/>
      <c r="Z19" s="19">
        <f t="shared" si="3"/>
        <v>5.0060837823744056E-2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>--17.54</f>
        <v>17.54</v>
      </c>
      <c r="E20" s="2"/>
      <c r="F20" s="19"/>
      <c r="G20" s="2"/>
      <c r="H20" s="2">
        <f>--53.78</f>
        <v>53.78</v>
      </c>
      <c r="I20" s="2"/>
      <c r="J20" s="19"/>
      <c r="K20" s="2"/>
      <c r="L20" s="2">
        <f t="shared" si="0"/>
        <v>-36.24</v>
      </c>
      <c r="M20" s="2"/>
      <c r="N20" s="19">
        <f t="shared" si="1"/>
        <v>-0.6738564522127185</v>
      </c>
      <c r="O20" s="11"/>
      <c r="P20" s="2">
        <f>--21.35</f>
        <v>21.35</v>
      </c>
      <c r="Q20" s="2"/>
      <c r="R20" s="19"/>
      <c r="S20" s="2"/>
      <c r="T20" s="2">
        <f>--56.15</f>
        <v>56.15</v>
      </c>
      <c r="U20" s="2"/>
      <c r="V20" s="19"/>
      <c r="W20" s="2"/>
      <c r="X20" s="2">
        <f t="shared" si="2"/>
        <v>-34.799999999999997</v>
      </c>
      <c r="Y20" s="2"/>
      <c r="Z20" s="19">
        <f t="shared" si="3"/>
        <v>-0.61976847729296525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>--27.97</f>
        <v>27.97</v>
      </c>
      <c r="E21" s="2"/>
      <c r="F21" s="19"/>
      <c r="G21" s="2"/>
      <c r="H21" s="2">
        <f>--26.81</f>
        <v>26.81</v>
      </c>
      <c r="I21" s="2"/>
      <c r="J21" s="19"/>
      <c r="K21" s="2"/>
      <c r="L21" s="2">
        <f t="shared" si="0"/>
        <v>1.1600000000000001</v>
      </c>
      <c r="M21" s="2"/>
      <c r="N21" s="19">
        <f t="shared" si="1"/>
        <v>4.3267437523312205E-2</v>
      </c>
      <c r="O21" s="11"/>
      <c r="P21" s="2">
        <f>--40.97</f>
        <v>40.97</v>
      </c>
      <c r="Q21" s="2"/>
      <c r="R21" s="19"/>
      <c r="S21" s="2"/>
      <c r="T21" s="2">
        <f>--29.85</f>
        <v>29.85</v>
      </c>
      <c r="U21" s="2"/>
      <c r="V21" s="19"/>
      <c r="W21" s="2"/>
      <c r="X21" s="2">
        <f t="shared" si="2"/>
        <v>11.119999999999997</v>
      </c>
      <c r="Y21" s="2"/>
      <c r="Z21" s="19">
        <f t="shared" si="3"/>
        <v>0.37252931323283073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>--1544.01</f>
        <v>1544.01</v>
      </c>
      <c r="E22" s="2"/>
      <c r="F22" s="19"/>
      <c r="G22" s="2"/>
      <c r="H22" s="2">
        <f>--999.88</f>
        <v>999.88</v>
      </c>
      <c r="I22" s="2"/>
      <c r="J22" s="19"/>
      <c r="K22" s="2"/>
      <c r="L22" s="2">
        <f t="shared" si="0"/>
        <v>544.13</v>
      </c>
      <c r="M22" s="2"/>
      <c r="N22" s="19">
        <f t="shared" si="1"/>
        <v>0.54419530343641231</v>
      </c>
      <c r="O22" s="11"/>
      <c r="P22" s="2">
        <f>--1859.55</f>
        <v>1859.55</v>
      </c>
      <c r="Q22" s="2"/>
      <c r="R22" s="19"/>
      <c r="S22" s="2"/>
      <c r="T22" s="2">
        <f>--1365.56</f>
        <v>1365.56</v>
      </c>
      <c r="U22" s="2"/>
      <c r="V22" s="19"/>
      <c r="W22" s="2"/>
      <c r="X22" s="2">
        <f t="shared" si="2"/>
        <v>493.99</v>
      </c>
      <c r="Y22" s="2"/>
      <c r="Z22" s="19">
        <f t="shared" si="3"/>
        <v>0.36174902604059878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>--330.71</f>
        <v>330.71</v>
      </c>
      <c r="E23" s="2"/>
      <c r="F23" s="19"/>
      <c r="G23" s="2"/>
      <c r="H23" s="2">
        <f>--354.35</f>
        <v>354.35</v>
      </c>
      <c r="I23" s="2"/>
      <c r="J23" s="19"/>
      <c r="K23" s="2"/>
      <c r="L23" s="2">
        <f t="shared" si="0"/>
        <v>-23.640000000000043</v>
      </c>
      <c r="M23" s="2"/>
      <c r="N23" s="19">
        <f t="shared" si="1"/>
        <v>-6.6713701142937898E-2</v>
      </c>
      <c r="O23" s="11"/>
      <c r="P23" s="2">
        <f>--422.23</f>
        <v>422.23</v>
      </c>
      <c r="Q23" s="2"/>
      <c r="R23" s="19"/>
      <c r="S23" s="2"/>
      <c r="T23" s="2">
        <f>--418.03</f>
        <v>418.03</v>
      </c>
      <c r="U23" s="2"/>
      <c r="V23" s="19"/>
      <c r="W23" s="2"/>
      <c r="X23" s="2">
        <f t="shared" si="2"/>
        <v>4.2000000000000455</v>
      </c>
      <c r="Y23" s="2"/>
      <c r="Z23" s="19">
        <f t="shared" si="3"/>
        <v>1.0047125804368217E-2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>--131.98</f>
        <v>131.97999999999999</v>
      </c>
      <c r="E24" s="2"/>
      <c r="F24" s="19"/>
      <c r="G24" s="2"/>
      <c r="H24" s="2">
        <f>--123.97</f>
        <v>123.97</v>
      </c>
      <c r="I24" s="2"/>
      <c r="J24" s="19"/>
      <c r="K24" s="2"/>
      <c r="L24" s="2">
        <f t="shared" si="0"/>
        <v>8.0099999999999909</v>
      </c>
      <c r="M24" s="2"/>
      <c r="N24" s="19">
        <f t="shared" si="1"/>
        <v>6.4612406227312985E-2</v>
      </c>
      <c r="O24" s="11"/>
      <c r="P24" s="2">
        <f>--174.15</f>
        <v>174.15</v>
      </c>
      <c r="Q24" s="2"/>
      <c r="R24" s="19"/>
      <c r="S24" s="2"/>
      <c r="T24" s="2">
        <f>--157.24</f>
        <v>157.24</v>
      </c>
      <c r="U24" s="2"/>
      <c r="V24" s="19"/>
      <c r="W24" s="2"/>
      <c r="X24" s="2">
        <f t="shared" si="2"/>
        <v>16.909999999999997</v>
      </c>
      <c r="Y24" s="2"/>
      <c r="Z24" s="19">
        <f t="shared" si="3"/>
        <v>0.10754261002289491</v>
      </c>
    </row>
    <row r="25" spans="1:26" s="24" customFormat="1" hidden="1" outlineLevel="1" x14ac:dyDescent="0.25">
      <c r="A25" s="44"/>
      <c r="B25" s="11" t="str">
        <f>CONCATENATE("          ", "4042", " - ", "TAXABLE SALES-EVERYDAY GIFTS")</f>
        <v xml:space="preserve">          4042 - TAXABLE SALES-EVERYDAY GIFTS</v>
      </c>
      <c r="C25" s="11"/>
      <c r="D25" s="2">
        <f>0</f>
        <v>0</v>
      </c>
      <c r="E25" s="2"/>
      <c r="F25" s="19"/>
      <c r="G25" s="2"/>
      <c r="H25" s="2">
        <f>--72.9</f>
        <v>72.900000000000006</v>
      </c>
      <c r="I25" s="2"/>
      <c r="J25" s="19"/>
      <c r="K25" s="2"/>
      <c r="L25" s="2">
        <f t="shared" si="0"/>
        <v>-72.900000000000006</v>
      </c>
      <c r="M25" s="2"/>
      <c r="N25" s="19">
        <f t="shared" si="1"/>
        <v>-1</v>
      </c>
      <c r="O25" s="11"/>
      <c r="P25" s="2">
        <f>0</f>
        <v>0</v>
      </c>
      <c r="Q25" s="2"/>
      <c r="R25" s="19"/>
      <c r="S25" s="2"/>
      <c r="T25" s="2">
        <f>--338.55</f>
        <v>338.55</v>
      </c>
      <c r="U25" s="2"/>
      <c r="V25" s="19"/>
      <c r="W25" s="2"/>
      <c r="X25" s="2">
        <f t="shared" si="2"/>
        <v>-338.55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"4081", " - ", "TAXABLE SALES-ELECTRONICS")</f>
        <v xml:space="preserve">          4081 - TAXABLE SALES-ELECTRONICS</v>
      </c>
      <c r="C26" s="11"/>
      <c r="D26" s="2">
        <f>--650.56</f>
        <v>650.55999999999995</v>
      </c>
      <c r="E26" s="2"/>
      <c r="F26" s="19"/>
      <c r="G26" s="2"/>
      <c r="H26" s="2">
        <f>--910.32</f>
        <v>910.32</v>
      </c>
      <c r="I26" s="2"/>
      <c r="J26" s="19"/>
      <c r="K26" s="2"/>
      <c r="L26" s="2">
        <f t="shared" si="0"/>
        <v>-259.7600000000001</v>
      </c>
      <c r="M26" s="2"/>
      <c r="N26" s="19">
        <f t="shared" si="1"/>
        <v>-0.28535020652078402</v>
      </c>
      <c r="O26" s="11"/>
      <c r="P26" s="2">
        <f>--919.42</f>
        <v>919.42</v>
      </c>
      <c r="Q26" s="2"/>
      <c r="R26" s="19"/>
      <c r="S26" s="2"/>
      <c r="T26" s="2">
        <f>--1208.12</f>
        <v>1208.1199999999999</v>
      </c>
      <c r="U26" s="2"/>
      <c r="V26" s="19"/>
      <c r="W26" s="2"/>
      <c r="X26" s="2">
        <f t="shared" si="2"/>
        <v>-288.69999999999993</v>
      </c>
      <c r="Y26" s="2"/>
      <c r="Z26" s="19">
        <f t="shared" si="3"/>
        <v>-0.23896632784822697</v>
      </c>
    </row>
    <row r="27" spans="1:26" s="24" customFormat="1" hidden="1" outlineLevel="1" x14ac:dyDescent="0.25">
      <c r="A27" s="44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>--124</f>
        <v>124</v>
      </c>
      <c r="E27" s="2"/>
      <c r="F27" s="19"/>
      <c r="G27" s="2"/>
      <c r="H27" s="2">
        <f>--106</f>
        <v>106</v>
      </c>
      <c r="I27" s="2"/>
      <c r="J27" s="19"/>
      <c r="K27" s="2"/>
      <c r="L27" s="2">
        <f t="shared" si="0"/>
        <v>18</v>
      </c>
      <c r="M27" s="2"/>
      <c r="N27" s="19">
        <f t="shared" si="1"/>
        <v>0.16981132075471697</v>
      </c>
      <c r="O27" s="11"/>
      <c r="P27" s="2">
        <f>--162</f>
        <v>162</v>
      </c>
      <c r="Q27" s="2"/>
      <c r="R27" s="19"/>
      <c r="S27" s="2"/>
      <c r="T27" s="2">
        <f>--135</f>
        <v>135</v>
      </c>
      <c r="U27" s="2"/>
      <c r="V27" s="19"/>
      <c r="W27" s="2"/>
      <c r="X27" s="2">
        <f t="shared" si="2"/>
        <v>27</v>
      </c>
      <c r="Y27" s="2"/>
      <c r="Z27" s="19">
        <f t="shared" si="3"/>
        <v>0.2</v>
      </c>
    </row>
    <row r="28" spans="1:26" s="24" customFormat="1" hidden="1" outlineLevel="1" x14ac:dyDescent="0.25">
      <c r="A28" s="44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>--269.82</f>
        <v>269.82</v>
      </c>
      <c r="E28" s="2"/>
      <c r="F28" s="19"/>
      <c r="G28" s="2"/>
      <c r="H28" s="2">
        <f>--254.8</f>
        <v>254.8</v>
      </c>
      <c r="I28" s="2"/>
      <c r="J28" s="19"/>
      <c r="K28" s="2"/>
      <c r="L28" s="2">
        <f t="shared" si="0"/>
        <v>15.019999999999982</v>
      </c>
      <c r="M28" s="2"/>
      <c r="N28" s="19">
        <f t="shared" si="1"/>
        <v>5.8948194662480302E-2</v>
      </c>
      <c r="O28" s="11"/>
      <c r="P28" s="2">
        <f>--299.8</f>
        <v>299.8</v>
      </c>
      <c r="Q28" s="2"/>
      <c r="R28" s="19"/>
      <c r="S28" s="2"/>
      <c r="T28" s="2">
        <f>--389.68</f>
        <v>389.68</v>
      </c>
      <c r="U28" s="2"/>
      <c r="V28" s="19"/>
      <c r="W28" s="2"/>
      <c r="X28" s="2">
        <f t="shared" si="2"/>
        <v>-89.88</v>
      </c>
      <c r="Y28" s="2"/>
      <c r="Z28" s="19">
        <f t="shared" si="3"/>
        <v>-0.23065079039211658</v>
      </c>
    </row>
    <row r="29" spans="1:26" s="24" customFormat="1" hidden="1" outlineLevel="1" x14ac:dyDescent="0.25">
      <c r="A29" s="44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>--344.87</f>
        <v>344.87</v>
      </c>
      <c r="E29" s="2"/>
      <c r="F29" s="19"/>
      <c r="G29" s="2"/>
      <c r="H29" s="2">
        <f>--390.79</f>
        <v>390.79</v>
      </c>
      <c r="I29" s="2"/>
      <c r="J29" s="19"/>
      <c r="K29" s="2"/>
      <c r="L29" s="2">
        <f t="shared" si="0"/>
        <v>-45.920000000000016</v>
      </c>
      <c r="M29" s="2"/>
      <c r="N29" s="19">
        <f t="shared" si="1"/>
        <v>-0.11750556564906987</v>
      </c>
      <c r="O29" s="11"/>
      <c r="P29" s="2">
        <f>--453.82</f>
        <v>453.82</v>
      </c>
      <c r="Q29" s="2"/>
      <c r="R29" s="19"/>
      <c r="S29" s="2"/>
      <c r="T29" s="2">
        <f>--560.7</f>
        <v>560.70000000000005</v>
      </c>
      <c r="U29" s="2"/>
      <c r="V29" s="19"/>
      <c r="W29" s="2"/>
      <c r="X29" s="2">
        <f t="shared" si="2"/>
        <v>-106.88000000000005</v>
      </c>
      <c r="Y29" s="2"/>
      <c r="Z29" s="19">
        <f t="shared" si="3"/>
        <v>-0.19061886927055474</v>
      </c>
    </row>
    <row r="30" spans="1:26" s="24" customFormat="1" hidden="1" outlineLevel="1" x14ac:dyDescent="0.25">
      <c r="A30" s="44"/>
      <c r="B30" s="11" t="str">
        <f>CONCATENATE("          ", "4126", " - ", "NON-TAXABLE SALES-WRITING INST")</f>
        <v xml:space="preserve">          4126 - NON-TAXABLE SALES-WRITING INST</v>
      </c>
      <c r="C30" s="11"/>
      <c r="D30" s="2">
        <f>0</f>
        <v>0</v>
      </c>
      <c r="E30" s="2"/>
      <c r="F30" s="19"/>
      <c r="G30" s="2"/>
      <c r="H30" s="2">
        <f>--1.79</f>
        <v>1.79</v>
      </c>
      <c r="I30" s="2"/>
      <c r="J30" s="19"/>
      <c r="K30" s="2"/>
      <c r="L30" s="2">
        <f t="shared" si="0"/>
        <v>-1.79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f>--1.79</f>
        <v>1.79</v>
      </c>
      <c r="U30" s="2"/>
      <c r="V30" s="19"/>
      <c r="W30" s="2"/>
      <c r="X30" s="2">
        <f t="shared" si="2"/>
        <v>-1.79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"4127", " - ", "NON-TAXABLE SALES-SCHOOL SUPPL")</f>
        <v xml:space="preserve">          4127 - NON-TAXABLE SALES-SCHOOL SUPPL</v>
      </c>
      <c r="C31" s="11"/>
      <c r="D31" s="2">
        <f>--11.08</f>
        <v>11.08</v>
      </c>
      <c r="E31" s="2"/>
      <c r="F31" s="19"/>
      <c r="G31" s="2"/>
      <c r="H31" s="2">
        <f>--7.28</f>
        <v>7.28</v>
      </c>
      <c r="I31" s="2"/>
      <c r="J31" s="19"/>
      <c r="K31" s="2"/>
      <c r="L31" s="2">
        <f t="shared" si="0"/>
        <v>3.8</v>
      </c>
      <c r="M31" s="2"/>
      <c r="N31" s="19">
        <f t="shared" si="1"/>
        <v>0.5219780219780219</v>
      </c>
      <c r="O31" s="11"/>
      <c r="P31" s="2">
        <f>--11.08</f>
        <v>11.08</v>
      </c>
      <c r="Q31" s="2"/>
      <c r="R31" s="19"/>
      <c r="S31" s="2"/>
      <c r="T31" s="2">
        <f>--10.24</f>
        <v>10.24</v>
      </c>
      <c r="U31" s="2"/>
      <c r="V31" s="19"/>
      <c r="W31" s="2"/>
      <c r="X31" s="2">
        <f t="shared" si="2"/>
        <v>0.83999999999999986</v>
      </c>
      <c r="Y31" s="2"/>
      <c r="Z31" s="19">
        <f t="shared" si="3"/>
        <v>8.2031249999999986E-2</v>
      </c>
    </row>
    <row r="32" spans="1:26" s="24" customFormat="1" hidden="1" outlineLevel="1" x14ac:dyDescent="0.25">
      <c r="A32" s="44"/>
      <c r="B32" s="11" t="str">
        <f>CONCATENATE("          ", "4128", " - ", "NON-TAXABLE SALES-ART/TECH")</f>
        <v xml:space="preserve">          4128 - NON-TAXABLE SALES-ART/TECH</v>
      </c>
      <c r="C32" s="11"/>
      <c r="D32" s="2">
        <f>--42.21</f>
        <v>42.21</v>
      </c>
      <c r="E32" s="2"/>
      <c r="F32" s="19"/>
      <c r="G32" s="2"/>
      <c r="H32" s="2">
        <f>--45.41</f>
        <v>45.41</v>
      </c>
      <c r="I32" s="2"/>
      <c r="J32" s="19"/>
      <c r="K32" s="2"/>
      <c r="L32" s="2">
        <f t="shared" si="0"/>
        <v>-3.1999999999999957</v>
      </c>
      <c r="M32" s="2"/>
      <c r="N32" s="19">
        <f t="shared" si="1"/>
        <v>-7.0469059678484824E-2</v>
      </c>
      <c r="O32" s="11"/>
      <c r="P32" s="2">
        <f>--42.21</f>
        <v>42.21</v>
      </c>
      <c r="Q32" s="2"/>
      <c r="R32" s="19"/>
      <c r="S32" s="2"/>
      <c r="T32" s="2">
        <f>--252.95</f>
        <v>252.95</v>
      </c>
      <c r="U32" s="2"/>
      <c r="V32" s="19"/>
      <c r="W32" s="2"/>
      <c r="X32" s="2">
        <f t="shared" si="2"/>
        <v>-210.73999999999998</v>
      </c>
      <c r="Y32" s="2"/>
      <c r="Z32" s="19">
        <f t="shared" si="3"/>
        <v>-0.83312907689266646</v>
      </c>
    </row>
    <row r="33" spans="1:26" s="24" customFormat="1" hidden="1" outlineLevel="1" x14ac:dyDescent="0.25">
      <c r="A33" s="44"/>
      <c r="B33" s="11" t="str">
        <f>CONCATENATE("          ", "4131", " - ", "NON-TAXABLE SALES-FOOD")</f>
        <v xml:space="preserve">          4131 - NON-TAXABLE SALES-FOOD</v>
      </c>
      <c r="C33" s="11"/>
      <c r="D33" s="2">
        <f>--10307.02</f>
        <v>10307.02</v>
      </c>
      <c r="E33" s="2"/>
      <c r="F33" s="19"/>
      <c r="G33" s="2"/>
      <c r="H33" s="2">
        <f>--9873.8</f>
        <v>9873.7999999999993</v>
      </c>
      <c r="I33" s="2"/>
      <c r="J33" s="19"/>
      <c r="K33" s="2"/>
      <c r="L33" s="2">
        <f t="shared" si="0"/>
        <v>433.22000000000116</v>
      </c>
      <c r="M33" s="2"/>
      <c r="N33" s="19">
        <f t="shared" si="1"/>
        <v>4.3875711478863377E-2</v>
      </c>
      <c r="O33" s="11"/>
      <c r="P33" s="2">
        <f>--12760.29</f>
        <v>12760.29</v>
      </c>
      <c r="Q33" s="2"/>
      <c r="R33" s="19"/>
      <c r="S33" s="2"/>
      <c r="T33" s="2">
        <f>--12456.3</f>
        <v>12456.3</v>
      </c>
      <c r="U33" s="2"/>
      <c r="V33" s="19"/>
      <c r="W33" s="2"/>
      <c r="X33" s="2">
        <f t="shared" si="2"/>
        <v>303.9900000000016</v>
      </c>
      <c r="Y33" s="2"/>
      <c r="Z33" s="19">
        <f t="shared" si="3"/>
        <v>2.4404518195611988E-2</v>
      </c>
    </row>
    <row r="34" spans="1:26" s="24" customFormat="1" hidden="1" outlineLevel="1" x14ac:dyDescent="0.25">
      <c r="A34" s="44"/>
      <c r="B34" s="11" t="str">
        <f>CONCATENATE("          ", "4132", " - ", "NON-TAXABLE SALES-JUICE")</f>
        <v xml:space="preserve">          4132 - NON-TAXABLE SALES-JUICE</v>
      </c>
      <c r="C34" s="11"/>
      <c r="D34" s="2">
        <f>--3051.46</f>
        <v>3051.46</v>
      </c>
      <c r="E34" s="2"/>
      <c r="F34" s="19"/>
      <c r="G34" s="2"/>
      <c r="H34" s="2">
        <f>--2688.01</f>
        <v>2688.01</v>
      </c>
      <c r="I34" s="2"/>
      <c r="J34" s="19"/>
      <c r="K34" s="2"/>
      <c r="L34" s="2">
        <f t="shared" si="0"/>
        <v>363.44999999999982</v>
      </c>
      <c r="M34" s="2"/>
      <c r="N34" s="19">
        <f t="shared" si="1"/>
        <v>0.13521155055226722</v>
      </c>
      <c r="O34" s="11"/>
      <c r="P34" s="2">
        <f>--3810.37</f>
        <v>3810.37</v>
      </c>
      <c r="Q34" s="2"/>
      <c r="R34" s="19"/>
      <c r="S34" s="2"/>
      <c r="T34" s="2">
        <f>--3382.5</f>
        <v>3382.5</v>
      </c>
      <c r="U34" s="2"/>
      <c r="V34" s="19"/>
      <c r="W34" s="2"/>
      <c r="X34" s="2">
        <f t="shared" si="2"/>
        <v>427.86999999999989</v>
      </c>
      <c r="Y34" s="2"/>
      <c r="Z34" s="19">
        <f t="shared" si="3"/>
        <v>0.12649519586104949</v>
      </c>
    </row>
    <row r="35" spans="1:26" s="24" customFormat="1" hidden="1" outlineLevel="1" x14ac:dyDescent="0.25">
      <c r="A35" s="44"/>
      <c r="B35" s="11" t="str">
        <f>CONCATENATE("          ", "4133", " - ", "NON-TAXABLE SALES-CANDY")</f>
        <v xml:space="preserve">          4133 - NON-TAXABLE SALES-CANDY</v>
      </c>
      <c r="C35" s="11"/>
      <c r="D35" s="2">
        <f>--2893.48</f>
        <v>2893.48</v>
      </c>
      <c r="E35" s="2"/>
      <c r="F35" s="19"/>
      <c r="G35" s="2"/>
      <c r="H35" s="2">
        <f>--2219.1</f>
        <v>2219.1</v>
      </c>
      <c r="I35" s="2"/>
      <c r="J35" s="19"/>
      <c r="K35" s="2"/>
      <c r="L35" s="2">
        <f t="shared" si="0"/>
        <v>674.38000000000011</v>
      </c>
      <c r="M35" s="2"/>
      <c r="N35" s="19">
        <f t="shared" si="1"/>
        <v>0.30389797665720342</v>
      </c>
      <c r="O35" s="11"/>
      <c r="P35" s="2">
        <f>--3792.63</f>
        <v>3792.63</v>
      </c>
      <c r="Q35" s="2"/>
      <c r="R35" s="19"/>
      <c r="S35" s="2"/>
      <c r="T35" s="2">
        <f>--2863</f>
        <v>2863</v>
      </c>
      <c r="U35" s="2"/>
      <c r="V35" s="19"/>
      <c r="W35" s="2"/>
      <c r="X35" s="2">
        <f t="shared" si="2"/>
        <v>929.63000000000011</v>
      </c>
      <c r="Y35" s="2"/>
      <c r="Z35" s="19">
        <f t="shared" si="3"/>
        <v>0.32470485504715335</v>
      </c>
    </row>
    <row r="36" spans="1:26" s="24" customFormat="1" hidden="1" outlineLevel="1" x14ac:dyDescent="0.25">
      <c r="A36" s="44"/>
      <c r="B36" s="11" t="str">
        <f>CONCATENATE("          ", "4134", " - ", "NON-TAXABLE SALES-SODA")</f>
        <v xml:space="preserve">          4134 - NON-TAXABLE SALES-SODA</v>
      </c>
      <c r="C36" s="11"/>
      <c r="D36" s="2">
        <f>0</f>
        <v>0</v>
      </c>
      <c r="E36" s="2"/>
      <c r="F36" s="19"/>
      <c r="G36" s="2"/>
      <c r="H36" s="2">
        <f>--55.74</f>
        <v>55.74</v>
      </c>
      <c r="I36" s="2"/>
      <c r="J36" s="19"/>
      <c r="K36" s="2"/>
      <c r="L36" s="2">
        <f t="shared" si="0"/>
        <v>-55.74</v>
      </c>
      <c r="M36" s="2"/>
      <c r="N36" s="19">
        <f t="shared" si="1"/>
        <v>-1</v>
      </c>
      <c r="O36" s="11"/>
      <c r="P36" s="2">
        <f>0</f>
        <v>0</v>
      </c>
      <c r="Q36" s="2"/>
      <c r="R36" s="19"/>
      <c r="S36" s="2"/>
      <c r="T36" s="2">
        <f>--109.47</f>
        <v>109.47</v>
      </c>
      <c r="U36" s="2"/>
      <c r="V36" s="19"/>
      <c r="W36" s="2"/>
      <c r="X36" s="2">
        <f t="shared" si="2"/>
        <v>-109.47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"4135", " - ", "NON-TAXABLE SALES")</f>
        <v xml:space="preserve">          4135 - NON-TAXABLE SALES</v>
      </c>
      <c r="C37" s="11"/>
      <c r="D37" s="2">
        <f>--28.72</f>
        <v>28.72</v>
      </c>
      <c r="E37" s="2"/>
      <c r="F37" s="19"/>
      <c r="G37" s="2"/>
      <c r="H37" s="2">
        <f>--14.36</f>
        <v>14.36</v>
      </c>
      <c r="I37" s="2"/>
      <c r="J37" s="19"/>
      <c r="K37" s="2"/>
      <c r="L37" s="2">
        <f t="shared" si="0"/>
        <v>14.36</v>
      </c>
      <c r="M37" s="2"/>
      <c r="N37" s="19">
        <f t="shared" si="1"/>
        <v>1</v>
      </c>
      <c r="O37" s="11"/>
      <c r="P37" s="2">
        <f>--35.9</f>
        <v>35.9</v>
      </c>
      <c r="Q37" s="2"/>
      <c r="R37" s="19"/>
      <c r="S37" s="2"/>
      <c r="T37" s="2">
        <f>--17.95</f>
        <v>17.95</v>
      </c>
      <c r="U37" s="2"/>
      <c r="V37" s="19"/>
      <c r="W37" s="2"/>
      <c r="X37" s="2">
        <f t="shared" si="2"/>
        <v>17.95</v>
      </c>
      <c r="Y37" s="2"/>
      <c r="Z37" s="19">
        <f t="shared" si="3"/>
        <v>1</v>
      </c>
    </row>
    <row r="38" spans="1:26" s="24" customFormat="1" hidden="1" outlineLevel="1" x14ac:dyDescent="0.25">
      <c r="A38" s="44"/>
      <c r="B38" s="11" t="str">
        <f>CONCATENATE("          ", "4137", " - ", "NON-TAXABLE SALES-WATER")</f>
        <v xml:space="preserve">          4137 - NON-TAXABLE SALES-WATER</v>
      </c>
      <c r="C38" s="11"/>
      <c r="D38" s="2">
        <f>--1614.65</f>
        <v>1614.65</v>
      </c>
      <c r="E38" s="2"/>
      <c r="F38" s="19"/>
      <c r="G38" s="2"/>
      <c r="H38" s="2">
        <f>--1343.71</f>
        <v>1343.71</v>
      </c>
      <c r="I38" s="2"/>
      <c r="J38" s="19"/>
      <c r="K38" s="2"/>
      <c r="L38" s="2">
        <f t="shared" si="0"/>
        <v>270.94000000000005</v>
      </c>
      <c r="M38" s="2"/>
      <c r="N38" s="19">
        <f t="shared" si="1"/>
        <v>0.20163576962290974</v>
      </c>
      <c r="O38" s="11"/>
      <c r="P38" s="2">
        <f>--2167.37</f>
        <v>2167.37</v>
      </c>
      <c r="Q38" s="2"/>
      <c r="R38" s="19"/>
      <c r="S38" s="2"/>
      <c r="T38" s="2">
        <f>--1771.68</f>
        <v>1771.68</v>
      </c>
      <c r="U38" s="2"/>
      <c r="V38" s="19"/>
      <c r="W38" s="2"/>
      <c r="X38" s="2">
        <f t="shared" si="2"/>
        <v>395.68999999999983</v>
      </c>
      <c r="Y38" s="2"/>
      <c r="Z38" s="19">
        <f t="shared" si="3"/>
        <v>0.22334168698636311</v>
      </c>
    </row>
    <row r="39" spans="1:26" s="24" customFormat="1" hidden="1" outlineLevel="1" x14ac:dyDescent="0.25">
      <c r="A39" s="44"/>
      <c r="B39" s="11" t="str">
        <f>CONCATENATE("          ", "4186", " - ", "NON-TAXABLE SALES-COMPUTER SUP")</f>
        <v xml:space="preserve">          4186 - NON-TAXABLE SALES-COMPUTER SUP</v>
      </c>
      <c r="C39" s="11"/>
      <c r="D39" s="2">
        <f>-34.98</f>
        <v>-34.979999999999997</v>
      </c>
      <c r="E39" s="2"/>
      <c r="F39" s="19"/>
      <c r="G39" s="2"/>
      <c r="H39" s="2">
        <f>-33.99</f>
        <v>-33.99</v>
      </c>
      <c r="I39" s="2"/>
      <c r="J39" s="19"/>
      <c r="K39" s="2"/>
      <c r="L39" s="2">
        <f t="shared" si="0"/>
        <v>-0.98999999999999488</v>
      </c>
      <c r="M39" s="2"/>
      <c r="N39" s="19">
        <f t="shared" si="1"/>
        <v>2.9126213592232858E-2</v>
      </c>
      <c r="O39" s="11"/>
      <c r="P39" s="2">
        <f>-34.98</f>
        <v>-34.979999999999997</v>
      </c>
      <c r="Q39" s="2"/>
      <c r="R39" s="19"/>
      <c r="S39" s="2"/>
      <c r="T39" s="2">
        <f>-48.98</f>
        <v>-48.98</v>
      </c>
      <c r="U39" s="2"/>
      <c r="V39" s="19"/>
      <c r="W39" s="2"/>
      <c r="X39" s="2">
        <f t="shared" si="2"/>
        <v>14</v>
      </c>
      <c r="Y39" s="2"/>
      <c r="Z39" s="19">
        <f t="shared" si="3"/>
        <v>-0.28583095140873827</v>
      </c>
    </row>
    <row r="40" spans="1:26" s="24" customFormat="1" hidden="1" outlineLevel="1" x14ac:dyDescent="0.25">
      <c r="A40" s="44"/>
      <c r="B40" s="11" t="str">
        <f>CONCATENATE("          ", "4226", " - ", "SALES RETURN TAXABLE-WRITING I")</f>
        <v xml:space="preserve">          4226 - SALES RETURN TAXABLE-WRITING I</v>
      </c>
      <c r="C40" s="11"/>
      <c r="D40" s="2">
        <f>-2.99</f>
        <v>-2.99</v>
      </c>
      <c r="E40" s="2"/>
      <c r="F40" s="19"/>
      <c r="G40" s="2"/>
      <c r="H40" s="2">
        <f>-5.57</f>
        <v>-5.57</v>
      </c>
      <c r="I40" s="2"/>
      <c r="J40" s="19"/>
      <c r="K40" s="2"/>
      <c r="L40" s="2">
        <f t="shared" si="0"/>
        <v>2.58</v>
      </c>
      <c r="M40" s="2"/>
      <c r="N40" s="19">
        <f t="shared" si="1"/>
        <v>-0.46319569120287252</v>
      </c>
      <c r="O40" s="11"/>
      <c r="P40" s="2">
        <f>-2.99</f>
        <v>-2.99</v>
      </c>
      <c r="Q40" s="2"/>
      <c r="R40" s="19"/>
      <c r="S40" s="2"/>
      <c r="T40" s="2">
        <f>-5.57</f>
        <v>-5.57</v>
      </c>
      <c r="U40" s="2"/>
      <c r="V40" s="19"/>
      <c r="W40" s="2"/>
      <c r="X40" s="2">
        <f t="shared" si="2"/>
        <v>2.58</v>
      </c>
      <c r="Y40" s="2"/>
      <c r="Z40" s="19">
        <f t="shared" si="3"/>
        <v>-0.46319569120287252</v>
      </c>
    </row>
    <row r="41" spans="1:26" s="24" customFormat="1" hidden="1" outlineLevel="1" x14ac:dyDescent="0.25">
      <c r="A41" s="44"/>
      <c r="B41" s="11" t="str">
        <f>CONCATENATE("          ", "4227", " - ", "SALES RETURN TAXABLE-SCHOOL SU")</f>
        <v xml:space="preserve">          4227 - SALES RETURN TAXABLE-SCHOOL SU</v>
      </c>
      <c r="C41" s="11"/>
      <c r="D41" s="2">
        <f>-11.76</f>
        <v>-11.76</v>
      </c>
      <c r="E41" s="2"/>
      <c r="F41" s="19"/>
      <c r="G41" s="2"/>
      <c r="H41" s="2">
        <f>-22.44</f>
        <v>-22.44</v>
      </c>
      <c r="I41" s="2"/>
      <c r="J41" s="19"/>
      <c r="K41" s="2"/>
      <c r="L41" s="2">
        <f t="shared" si="0"/>
        <v>10.680000000000001</v>
      </c>
      <c r="M41" s="2"/>
      <c r="N41" s="19">
        <f t="shared" si="1"/>
        <v>-0.47593582887700536</v>
      </c>
      <c r="O41" s="11"/>
      <c r="P41" s="2">
        <f>-22.22</f>
        <v>-22.22</v>
      </c>
      <c r="Q41" s="2"/>
      <c r="R41" s="19"/>
      <c r="S41" s="2"/>
      <c r="T41" s="2">
        <f>-40</f>
        <v>-40</v>
      </c>
      <c r="U41" s="2"/>
      <c r="V41" s="19"/>
      <c r="W41" s="2"/>
      <c r="X41" s="2">
        <f t="shared" si="2"/>
        <v>17.78</v>
      </c>
      <c r="Y41" s="2"/>
      <c r="Z41" s="19">
        <f t="shared" si="3"/>
        <v>-0.44450000000000001</v>
      </c>
    </row>
    <row r="42" spans="1:26" s="24" customFormat="1" hidden="1" outlineLevel="1" x14ac:dyDescent="0.25">
      <c r="A42" s="44"/>
      <c r="B42" s="11" t="str">
        <f>CONCATENATE("          ", "4228", " - ", "SALES RETURN TAXABLE-ART/TECH")</f>
        <v xml:space="preserve">          4228 - SALES RETURN TAXABLE-ART/TECH</v>
      </c>
      <c r="C42" s="11"/>
      <c r="D42" s="2">
        <f>-923.16</f>
        <v>-923.16</v>
      </c>
      <c r="E42" s="2"/>
      <c r="F42" s="19"/>
      <c r="G42" s="2"/>
      <c r="H42" s="2">
        <f>-1710.18</f>
        <v>-1710.18</v>
      </c>
      <c r="I42" s="2"/>
      <c r="J42" s="19"/>
      <c r="K42" s="2"/>
      <c r="L42" s="2">
        <f t="shared" si="0"/>
        <v>787.0200000000001</v>
      </c>
      <c r="M42" s="2"/>
      <c r="N42" s="19">
        <f t="shared" si="1"/>
        <v>-0.46019717222748485</v>
      </c>
      <c r="O42" s="11"/>
      <c r="P42" s="2">
        <f>-1705.03</f>
        <v>-1705.03</v>
      </c>
      <c r="Q42" s="2"/>
      <c r="R42" s="19"/>
      <c r="S42" s="2"/>
      <c r="T42" s="2">
        <f>-2775.67</f>
        <v>-2775.67</v>
      </c>
      <c r="U42" s="2"/>
      <c r="V42" s="19"/>
      <c r="W42" s="2"/>
      <c r="X42" s="2">
        <f t="shared" si="2"/>
        <v>1070.6400000000001</v>
      </c>
      <c r="Y42" s="2"/>
      <c r="Z42" s="19">
        <f t="shared" si="3"/>
        <v>-0.3857230866781714</v>
      </c>
    </row>
    <row r="43" spans="1:26" s="24" customFormat="1" hidden="1" outlineLevel="1" x14ac:dyDescent="0.25">
      <c r="A43" s="44"/>
      <c r="B43" s="11" t="str">
        <f>CONCATENATE("          ", "4281", " - ", "SALES RETURN TAXABLE-ELECTRONI")</f>
        <v xml:space="preserve">          4281 - SALES RETURN TAXABLE-ELECTRONI</v>
      </c>
      <c r="C43" s="11"/>
      <c r="D43" s="2">
        <f>-24.99</f>
        <v>-24.99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-24.99</v>
      </c>
      <c r="M43" s="2"/>
      <c r="N43" s="19">
        <f t="shared" si="1"/>
        <v>0</v>
      </c>
      <c r="O43" s="11"/>
      <c r="P43" s="2">
        <f>-24.99</f>
        <v>-24.99</v>
      </c>
      <c r="Q43" s="2"/>
      <c r="R43" s="19"/>
      <c r="S43" s="2"/>
      <c r="T43" s="2">
        <f>0</f>
        <v>0</v>
      </c>
      <c r="U43" s="2"/>
      <c r="V43" s="19"/>
      <c r="W43" s="2"/>
      <c r="X43" s="2">
        <f t="shared" si="2"/>
        <v>-24.99</v>
      </c>
      <c r="Y43" s="2"/>
      <c r="Z43" s="19">
        <f t="shared" si="3"/>
        <v>0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collapsed="1" x14ac:dyDescent="0.25">
      <c r="A45" s="10"/>
      <c r="B45" s="25" t="s">
        <v>8</v>
      </c>
      <c r="C45" s="10"/>
      <c r="D45" s="4">
        <f>SUM(OSRRefD16x_0)</f>
        <v>37906</v>
      </c>
      <c r="E45" s="4"/>
      <c r="F45" s="12">
        <f t="shared" ref="F45:F63" si="5">IF(D$12=0,0,D45/D$12)</f>
        <v>0.52159214812963817</v>
      </c>
      <c r="G45" s="4"/>
      <c r="H45" s="4">
        <f>SUM(OSRRefH16x_0)</f>
        <v>37957.420000000006</v>
      </c>
      <c r="I45" s="4"/>
      <c r="J45" s="12">
        <f t="shared" ref="J45:J63" si="6">IF(H$12=0,0,H45/H$12)</f>
        <v>0.53716398611260296</v>
      </c>
      <c r="K45" s="4"/>
      <c r="L45" s="4">
        <f t="shared" ref="L45:L63" si="7">+D45-H45</f>
        <v>-51.42000000000553</v>
      </c>
      <c r="M45" s="4"/>
      <c r="N45" s="12">
        <f t="shared" ref="N45:N63" si="8">IF(H45=0,0,L45/H45)</f>
        <v>-1.3546758446703049E-3</v>
      </c>
      <c r="O45" s="10"/>
      <c r="P45" s="4">
        <f>SUM(OSRRefP16x_0)</f>
        <v>67324.140000000014</v>
      </c>
      <c r="Q45" s="4"/>
      <c r="R45" s="12">
        <f t="shared" ref="R45:R63" si="9">IF(P$12=0,0,P45/P$12)</f>
        <v>0.52449870683026412</v>
      </c>
      <c r="S45" s="4"/>
      <c r="T45" s="4">
        <f>SUM(OSRRefT16x_0)</f>
        <v>66488.00999999998</v>
      </c>
      <c r="U45" s="4"/>
      <c r="V45" s="12">
        <f t="shared" ref="V45:V63" si="10">IF(T$12=0,0,T45/T$12)</f>
        <v>0.54007502629380633</v>
      </c>
      <c r="W45" s="4"/>
      <c r="X45" s="4">
        <f t="shared" ref="X45:X63" si="11">+P45-T45</f>
        <v>836.13000000003376</v>
      </c>
      <c r="Y45" s="4"/>
      <c r="Z45" s="12">
        <f t="shared" ref="Z45:Z63" si="12">IF(T45=0,0,X45/T45)</f>
        <v>1.2575650857952193E-2</v>
      </c>
    </row>
    <row r="46" spans="1:26" s="24" customFormat="1" hidden="1" outlineLevel="1" x14ac:dyDescent="0.25">
      <c r="A46" s="44"/>
      <c r="B46" s="11" t="str">
        <f>CONCATENATE("          ", "5025", " - ", "PURCHASES @ COST-TEST FORMS")</f>
        <v xml:space="preserve">          5025 - PURCHASES @ COST-TEST FORMS</v>
      </c>
      <c r="C46" s="11"/>
      <c r="D46" s="2">
        <v>144.22</v>
      </c>
      <c r="E46" s="2"/>
      <c r="F46" s="19">
        <f t="shared" si="5"/>
        <v>1.9844884610155759E-3</v>
      </c>
      <c r="G46" s="2"/>
      <c r="H46" s="2">
        <v>60</v>
      </c>
      <c r="I46" s="2"/>
      <c r="J46" s="19">
        <f t="shared" si="6"/>
        <v>8.491051069002101E-4</v>
      </c>
      <c r="K46" s="2"/>
      <c r="L46" s="2">
        <f t="shared" si="7"/>
        <v>84.22</v>
      </c>
      <c r="M46" s="2"/>
      <c r="N46" s="19">
        <f t="shared" si="8"/>
        <v>1.4036666666666666</v>
      </c>
      <c r="O46" s="11"/>
      <c r="P46" s="2">
        <v>144.22</v>
      </c>
      <c r="Q46" s="2"/>
      <c r="R46" s="19">
        <f t="shared" si="9"/>
        <v>1.1235673192269619E-3</v>
      </c>
      <c r="S46" s="2"/>
      <c r="T46" s="2">
        <v>60</v>
      </c>
      <c r="U46" s="2"/>
      <c r="V46" s="19">
        <f t="shared" si="10"/>
        <v>4.8737361183811022E-4</v>
      </c>
      <c r="W46" s="2"/>
      <c r="X46" s="2">
        <f t="shared" si="11"/>
        <v>84.22</v>
      </c>
      <c r="Y46" s="2"/>
      <c r="Z46" s="19">
        <f t="shared" si="12"/>
        <v>1.4036666666666666</v>
      </c>
    </row>
    <row r="47" spans="1:26" s="24" customFormat="1" hidden="1" outlineLevel="1" x14ac:dyDescent="0.25">
      <c r="A47" s="44"/>
      <c r="B47" s="11" t="str">
        <f>CONCATENATE("          ", "5026", " - ", "PURCHASES @ COST-WRITING INSTR")</f>
        <v xml:space="preserve">          5026 - PURCHASES @ COST-WRITING INSTR</v>
      </c>
      <c r="C47" s="11"/>
      <c r="D47" s="2">
        <v>171.78</v>
      </c>
      <c r="E47" s="2"/>
      <c r="F47" s="19">
        <f t="shared" si="5"/>
        <v>2.3637181239304925E-3</v>
      </c>
      <c r="G47" s="2"/>
      <c r="H47" s="2">
        <v>284.05</v>
      </c>
      <c r="I47" s="2"/>
      <c r="J47" s="19">
        <f t="shared" si="6"/>
        <v>4.0198050935834114E-3</v>
      </c>
      <c r="K47" s="2"/>
      <c r="L47" s="2">
        <f t="shared" si="7"/>
        <v>-112.27000000000001</v>
      </c>
      <c r="M47" s="2"/>
      <c r="N47" s="19">
        <f t="shared" si="8"/>
        <v>-0.39524731561344834</v>
      </c>
      <c r="O47" s="11"/>
      <c r="P47" s="2">
        <v>562.6</v>
      </c>
      <c r="Q47" s="2"/>
      <c r="R47" s="19">
        <f t="shared" si="9"/>
        <v>4.3830188170648236E-3</v>
      </c>
      <c r="S47" s="2"/>
      <c r="T47" s="2">
        <v>855.01</v>
      </c>
      <c r="U47" s="2"/>
      <c r="V47" s="19">
        <f t="shared" si="10"/>
        <v>6.9451551976283769E-3</v>
      </c>
      <c r="W47" s="2"/>
      <c r="X47" s="2">
        <f t="shared" si="11"/>
        <v>-292.40999999999997</v>
      </c>
      <c r="Y47" s="2"/>
      <c r="Z47" s="19">
        <f t="shared" si="12"/>
        <v>-0.34199600004678304</v>
      </c>
    </row>
    <row r="48" spans="1:26" s="24" customFormat="1" hidden="1" outlineLevel="1" x14ac:dyDescent="0.25">
      <c r="A48" s="44"/>
      <c r="B48" s="11" t="str">
        <f>CONCATENATE("          ", "5027", " - ", "PURCHASES @ COST-SCHOOL SUPPLI")</f>
        <v xml:space="preserve">          5027 - PURCHASES @ COST-SCHOOL SUPPLI</v>
      </c>
      <c r="C48" s="11"/>
      <c r="D48" s="2">
        <v>366.46</v>
      </c>
      <c r="E48" s="2"/>
      <c r="F48" s="19">
        <f t="shared" si="5"/>
        <v>5.0425436237953678E-3</v>
      </c>
      <c r="G48" s="2"/>
      <c r="H48" s="2">
        <v>244.97</v>
      </c>
      <c r="I48" s="2"/>
      <c r="J48" s="19">
        <f t="shared" si="6"/>
        <v>3.4667546339557415E-3</v>
      </c>
      <c r="K48" s="2"/>
      <c r="L48" s="2">
        <f t="shared" si="7"/>
        <v>121.48999999999998</v>
      </c>
      <c r="M48" s="2"/>
      <c r="N48" s="19">
        <f t="shared" si="8"/>
        <v>0.49593827815650887</v>
      </c>
      <c r="O48" s="11"/>
      <c r="P48" s="2">
        <v>763.19</v>
      </c>
      <c r="Q48" s="2"/>
      <c r="R48" s="19">
        <f t="shared" si="9"/>
        <v>5.9457449893275905E-3</v>
      </c>
      <c r="S48" s="2"/>
      <c r="T48" s="2">
        <v>1099.67</v>
      </c>
      <c r="U48" s="2"/>
      <c r="V48" s="19">
        <f t="shared" si="10"/>
        <v>8.9325023288335786E-3</v>
      </c>
      <c r="W48" s="2"/>
      <c r="X48" s="2">
        <f t="shared" si="11"/>
        <v>-336.48</v>
      </c>
      <c r="Y48" s="2"/>
      <c r="Z48" s="19">
        <f t="shared" si="12"/>
        <v>-0.30598270390207971</v>
      </c>
    </row>
    <row r="49" spans="1:26" s="24" customFormat="1" hidden="1" outlineLevel="1" x14ac:dyDescent="0.25">
      <c r="A49" s="44"/>
      <c r="B49" s="11" t="str">
        <f>CONCATENATE("          ", "5028", " - ", "PURCHASES @ COST-ART/TECH")</f>
        <v xml:space="preserve">          5028 - PURCHASES @ COST-ART/TECH</v>
      </c>
      <c r="C49" s="11"/>
      <c r="D49" s="2">
        <v>14367.38</v>
      </c>
      <c r="E49" s="2"/>
      <c r="F49" s="19">
        <f t="shared" si="5"/>
        <v>0.19769726684943811</v>
      </c>
      <c r="G49" s="2"/>
      <c r="H49" s="2">
        <v>15175.950000000003</v>
      </c>
      <c r="I49" s="2"/>
      <c r="J49" s="19">
        <f t="shared" si="6"/>
        <v>0.21476627745103744</v>
      </c>
      <c r="K49" s="2"/>
      <c r="L49" s="2">
        <f t="shared" si="7"/>
        <v>-808.57000000000335</v>
      </c>
      <c r="M49" s="2"/>
      <c r="N49" s="19">
        <f t="shared" si="8"/>
        <v>-5.3279695834527865E-2</v>
      </c>
      <c r="O49" s="11"/>
      <c r="P49" s="2">
        <v>67765.95</v>
      </c>
      <c r="Q49" s="2"/>
      <c r="R49" s="19">
        <f t="shared" si="9"/>
        <v>0.5279406932212477</v>
      </c>
      <c r="S49" s="2"/>
      <c r="T49" s="2">
        <v>51506.07</v>
      </c>
      <c r="U49" s="2"/>
      <c r="V49" s="19">
        <f t="shared" si="10"/>
        <v>0.41837832279144221</v>
      </c>
      <c r="W49" s="2"/>
      <c r="X49" s="2">
        <f t="shared" si="11"/>
        <v>16259.879999999997</v>
      </c>
      <c r="Y49" s="2"/>
      <c r="Z49" s="19">
        <f t="shared" si="12"/>
        <v>0.31568861689505717</v>
      </c>
    </row>
    <row r="50" spans="1:26" s="24" customFormat="1" hidden="1" outlineLevel="1" x14ac:dyDescent="0.25">
      <c r="A50" s="44"/>
      <c r="B50" s="11" t="str">
        <f>CONCATENATE("          ", "5031", " - ", "PURCHASES @ COST-FOOD")</f>
        <v xml:space="preserve">          5031 - PURCHASES @ COST-FOOD</v>
      </c>
      <c r="C50" s="11"/>
      <c r="D50" s="2">
        <v>5471.01</v>
      </c>
      <c r="E50" s="2"/>
      <c r="F50" s="19">
        <f t="shared" si="5"/>
        <v>7.5281904140208203E-2</v>
      </c>
      <c r="G50" s="2"/>
      <c r="H50" s="2">
        <v>4074.62</v>
      </c>
      <c r="I50" s="2"/>
      <c r="J50" s="19">
        <f t="shared" si="6"/>
        <v>5.7663010844628902E-2</v>
      </c>
      <c r="K50" s="2"/>
      <c r="L50" s="2">
        <f t="shared" si="7"/>
        <v>1396.3900000000003</v>
      </c>
      <c r="M50" s="2"/>
      <c r="N50" s="19">
        <f t="shared" si="8"/>
        <v>0.34270435034432667</v>
      </c>
      <c r="O50" s="11"/>
      <c r="P50" s="2">
        <v>8000.94</v>
      </c>
      <c r="Q50" s="2"/>
      <c r="R50" s="19">
        <f t="shared" si="9"/>
        <v>6.2332510796670147E-2</v>
      </c>
      <c r="S50" s="2"/>
      <c r="T50" s="2">
        <v>6805.78</v>
      </c>
      <c r="U50" s="2"/>
      <c r="V50" s="19">
        <f t="shared" si="10"/>
        <v>5.528262633292623E-2</v>
      </c>
      <c r="W50" s="2"/>
      <c r="X50" s="2">
        <f t="shared" si="11"/>
        <v>1195.1599999999999</v>
      </c>
      <c r="Y50" s="2"/>
      <c r="Z50" s="19">
        <f t="shared" si="12"/>
        <v>0.17560955540731554</v>
      </c>
    </row>
    <row r="51" spans="1:26" s="24" customFormat="1" hidden="1" outlineLevel="1" x14ac:dyDescent="0.25">
      <c r="A51" s="44"/>
      <c r="B51" s="11" t="str">
        <f>CONCATENATE("          ", "5032", " - ", "PURCHASES @ COST-JUICE")</f>
        <v xml:space="preserve">          5032 - PURCHASES @ COST-JUICE</v>
      </c>
      <c r="C51" s="11"/>
      <c r="D51" s="2">
        <v>477.55</v>
      </c>
      <c r="E51" s="2"/>
      <c r="F51" s="19">
        <f t="shared" si="5"/>
        <v>6.5711584007626424E-3</v>
      </c>
      <c r="G51" s="2"/>
      <c r="H51" s="2">
        <v>1045.49</v>
      </c>
      <c r="I51" s="2"/>
      <c r="J51" s="19">
        <f t="shared" si="6"/>
        <v>1.4795514970218346E-2</v>
      </c>
      <c r="K51" s="2"/>
      <c r="L51" s="2">
        <f t="shared" si="7"/>
        <v>-567.94000000000005</v>
      </c>
      <c r="M51" s="2"/>
      <c r="N51" s="19">
        <f t="shared" si="8"/>
        <v>-0.54322853398884741</v>
      </c>
      <c r="O51" s="11"/>
      <c r="P51" s="2">
        <v>819.15</v>
      </c>
      <c r="Q51" s="2"/>
      <c r="R51" s="19">
        <f t="shared" si="9"/>
        <v>6.3817096764995553E-3</v>
      </c>
      <c r="S51" s="2"/>
      <c r="T51" s="2">
        <v>2027.58</v>
      </c>
      <c r="U51" s="2"/>
      <c r="V51" s="19">
        <f t="shared" si="10"/>
        <v>1.6469816464845258E-2</v>
      </c>
      <c r="W51" s="2"/>
      <c r="X51" s="2">
        <f t="shared" si="11"/>
        <v>-1208.4299999999998</v>
      </c>
      <c r="Y51" s="2"/>
      <c r="Z51" s="19">
        <f t="shared" si="12"/>
        <v>-0.59599621223330268</v>
      </c>
    </row>
    <row r="52" spans="1:26" s="24" customFormat="1" hidden="1" outlineLevel="1" x14ac:dyDescent="0.25">
      <c r="A52" s="44"/>
      <c r="B52" s="11" t="str">
        <f>CONCATENATE("          ", "5033", " - ", "PURCHASES @ COST-CANDY")</f>
        <v xml:space="preserve">          5033 - PURCHASES @ COST-CANDY</v>
      </c>
      <c r="C52" s="11"/>
      <c r="D52" s="2">
        <v>1366.65</v>
      </c>
      <c r="E52" s="2"/>
      <c r="F52" s="19">
        <f t="shared" si="5"/>
        <v>1.8805305472520711E-2</v>
      </c>
      <c r="G52" s="2"/>
      <c r="H52" s="2">
        <v>641.74</v>
      </c>
      <c r="I52" s="2"/>
      <c r="J52" s="19">
        <f t="shared" si="6"/>
        <v>9.0817451883690135E-3</v>
      </c>
      <c r="K52" s="2"/>
      <c r="L52" s="2">
        <f t="shared" si="7"/>
        <v>724.91000000000008</v>
      </c>
      <c r="M52" s="2"/>
      <c r="N52" s="19">
        <f t="shared" si="8"/>
        <v>1.1296007728986819</v>
      </c>
      <c r="O52" s="11"/>
      <c r="P52" s="2">
        <v>2272.16</v>
      </c>
      <c r="Q52" s="2"/>
      <c r="R52" s="19">
        <f t="shared" si="9"/>
        <v>1.7701599778496283E-2</v>
      </c>
      <c r="S52" s="2"/>
      <c r="T52" s="2">
        <v>1477.81</v>
      </c>
      <c r="U52" s="2"/>
      <c r="V52" s="19">
        <f t="shared" si="10"/>
        <v>1.2004093288507961E-2</v>
      </c>
      <c r="W52" s="2"/>
      <c r="X52" s="2">
        <f t="shared" si="11"/>
        <v>794.34999999999991</v>
      </c>
      <c r="Y52" s="2"/>
      <c r="Z52" s="19">
        <f t="shared" si="12"/>
        <v>0.53751835486293909</v>
      </c>
    </row>
    <row r="53" spans="1:26" s="24" customFormat="1" hidden="1" outlineLevel="1" x14ac:dyDescent="0.25">
      <c r="A53" s="44"/>
      <c r="B53" s="11" t="str">
        <f>CONCATENATE("          ", "5034", " - ", "PURCHASES @ COST-SODA")</f>
        <v xml:space="preserve">          5034 - PURCHASES @ COST-SODA</v>
      </c>
      <c r="C53" s="11"/>
      <c r="D53" s="2">
        <v>330.04</v>
      </c>
      <c r="E53" s="2"/>
      <c r="F53" s="19">
        <f t="shared" si="5"/>
        <v>4.5413990547329133E-3</v>
      </c>
      <c r="G53" s="2"/>
      <c r="H53" s="2">
        <v>128.18</v>
      </c>
      <c r="I53" s="2"/>
      <c r="J53" s="19">
        <f t="shared" si="6"/>
        <v>1.8139715433744823E-3</v>
      </c>
      <c r="K53" s="2"/>
      <c r="L53" s="2">
        <f t="shared" si="7"/>
        <v>201.86</v>
      </c>
      <c r="M53" s="2"/>
      <c r="N53" s="19">
        <f t="shared" si="8"/>
        <v>1.5748166640661569</v>
      </c>
      <c r="O53" s="11"/>
      <c r="P53" s="2">
        <v>618.54</v>
      </c>
      <c r="Q53" s="2"/>
      <c r="R53" s="19">
        <f t="shared" si="9"/>
        <v>4.8188276912678202E-3</v>
      </c>
      <c r="S53" s="2"/>
      <c r="T53" s="2">
        <v>676.36</v>
      </c>
      <c r="U53" s="2"/>
      <c r="V53" s="19">
        <f t="shared" si="10"/>
        <v>5.4940002683804036E-3</v>
      </c>
      <c r="W53" s="2"/>
      <c r="X53" s="2">
        <f t="shared" si="11"/>
        <v>-57.82000000000005</v>
      </c>
      <c r="Y53" s="2"/>
      <c r="Z53" s="19">
        <f t="shared" si="12"/>
        <v>-8.5487018747412699E-2</v>
      </c>
    </row>
    <row r="54" spans="1:26" s="24" customFormat="1" hidden="1" outlineLevel="1" x14ac:dyDescent="0.25">
      <c r="A54" s="44"/>
      <c r="B54" s="11" t="str">
        <f>CONCATENATE("          ", "5035", " - ", "PURCHASES @ COST-HEALTH &amp; BEAU")</f>
        <v xml:space="preserve">          5035 - PURCHASES @ COST-HEALTH &amp; BEAU</v>
      </c>
      <c r="C54" s="11"/>
      <c r="D54" s="2">
        <v>210.83</v>
      </c>
      <c r="E54" s="2"/>
      <c r="F54" s="19">
        <f t="shared" si="5"/>
        <v>2.9010518807094294E-3</v>
      </c>
      <c r="G54" s="2"/>
      <c r="H54" s="2">
        <v>81.03</v>
      </c>
      <c r="I54" s="2"/>
      <c r="J54" s="19">
        <f t="shared" si="6"/>
        <v>1.1467164468687337E-3</v>
      </c>
      <c r="K54" s="2"/>
      <c r="L54" s="2">
        <f t="shared" si="7"/>
        <v>129.80000000000001</v>
      </c>
      <c r="M54" s="2"/>
      <c r="N54" s="19">
        <f t="shared" si="8"/>
        <v>1.601875848451191</v>
      </c>
      <c r="O54" s="11"/>
      <c r="P54" s="2">
        <v>253.07</v>
      </c>
      <c r="Q54" s="2"/>
      <c r="R54" s="19">
        <f t="shared" si="9"/>
        <v>1.9715794028343312E-3</v>
      </c>
      <c r="S54" s="2"/>
      <c r="T54" s="2">
        <v>125.52</v>
      </c>
      <c r="U54" s="2"/>
      <c r="V54" s="19">
        <f t="shared" si="10"/>
        <v>1.0195855959653265E-3</v>
      </c>
      <c r="W54" s="2"/>
      <c r="X54" s="2">
        <f t="shared" si="11"/>
        <v>127.55</v>
      </c>
      <c r="Y54" s="2"/>
      <c r="Z54" s="19">
        <f t="shared" si="12"/>
        <v>1.0161727214786489</v>
      </c>
    </row>
    <row r="55" spans="1:26" s="24" customFormat="1" hidden="1" outlineLevel="1" x14ac:dyDescent="0.25">
      <c r="A55" s="44"/>
      <c r="B55" s="11" t="str">
        <f>CONCATENATE("          ", "5037", " - ", "PURCHASES @ COST-WATER")</f>
        <v xml:space="preserve">          5037 - PURCHASES @ COST-WATER</v>
      </c>
      <c r="C55" s="11"/>
      <c r="D55" s="2">
        <v>896.64</v>
      </c>
      <c r="E55" s="2"/>
      <c r="F55" s="19">
        <f t="shared" si="5"/>
        <v>1.2337898583310263E-2</v>
      </c>
      <c r="G55" s="2"/>
      <c r="H55" s="2">
        <v>599.04</v>
      </c>
      <c r="I55" s="2"/>
      <c r="J55" s="19">
        <f t="shared" si="6"/>
        <v>8.477465387291697E-3</v>
      </c>
      <c r="K55" s="2"/>
      <c r="L55" s="2">
        <f t="shared" si="7"/>
        <v>297.60000000000002</v>
      </c>
      <c r="M55" s="2"/>
      <c r="N55" s="19">
        <f t="shared" si="8"/>
        <v>0.49679487179487186</v>
      </c>
      <c r="O55" s="11"/>
      <c r="P55" s="2">
        <v>1362.82</v>
      </c>
      <c r="Q55" s="2"/>
      <c r="R55" s="19">
        <f t="shared" si="9"/>
        <v>1.0617251518436335E-2</v>
      </c>
      <c r="S55" s="2"/>
      <c r="T55" s="2">
        <v>1190.0999999999999</v>
      </c>
      <c r="U55" s="2"/>
      <c r="V55" s="19">
        <f t="shared" si="10"/>
        <v>9.6670555908089147E-3</v>
      </c>
      <c r="W55" s="2"/>
      <c r="X55" s="2">
        <f t="shared" si="11"/>
        <v>172.72000000000003</v>
      </c>
      <c r="Y55" s="2"/>
      <c r="Z55" s="19">
        <f t="shared" si="12"/>
        <v>0.14513066128896734</v>
      </c>
    </row>
    <row r="56" spans="1:26" s="24" customFormat="1" hidden="1" outlineLevel="1" x14ac:dyDescent="0.25">
      <c r="A56" s="44"/>
      <c r="B56" s="11" t="str">
        <f>CONCATENATE("          ", "5081", " - ", "PURCHASES @ COST-ELECTRONICS")</f>
        <v xml:space="preserve">          5081 - PURCHASES @ COST-ELECTRONICS</v>
      </c>
      <c r="C56" s="11"/>
      <c r="D56" s="2">
        <v>167.92</v>
      </c>
      <c r="E56" s="2"/>
      <c r="F56" s="19">
        <f t="shared" si="5"/>
        <v>2.310603954886531E-3</v>
      </c>
      <c r="G56" s="2"/>
      <c r="H56" s="2">
        <v>746.04</v>
      </c>
      <c r="I56" s="2"/>
      <c r="J56" s="19">
        <f t="shared" si="6"/>
        <v>1.0557772899197213E-2</v>
      </c>
      <c r="K56" s="2"/>
      <c r="L56" s="2">
        <f t="shared" si="7"/>
        <v>-578.12</v>
      </c>
      <c r="M56" s="2"/>
      <c r="N56" s="19">
        <f t="shared" si="8"/>
        <v>-0.77491823494718781</v>
      </c>
      <c r="O56" s="11"/>
      <c r="P56" s="2">
        <v>472.08</v>
      </c>
      <c r="Q56" s="2"/>
      <c r="R56" s="19">
        <f t="shared" si="9"/>
        <v>3.6778093195164621E-3</v>
      </c>
      <c r="S56" s="2"/>
      <c r="T56" s="2">
        <v>902.56</v>
      </c>
      <c r="U56" s="2"/>
      <c r="V56" s="19">
        <f t="shared" si="10"/>
        <v>7.3313987850100789E-3</v>
      </c>
      <c r="W56" s="2"/>
      <c r="X56" s="2">
        <f t="shared" si="11"/>
        <v>-430.47999999999996</v>
      </c>
      <c r="Y56" s="2"/>
      <c r="Z56" s="19">
        <f t="shared" si="12"/>
        <v>-0.47695444070200316</v>
      </c>
    </row>
    <row r="57" spans="1:26" s="24" customFormat="1" hidden="1" outlineLevel="1" x14ac:dyDescent="0.25">
      <c r="A57" s="44"/>
      <c r="B57" s="11" t="str">
        <f>CONCATENATE("          ", "5082", " - ", "PURCHASES @ COST-COMPUTER HARD")</f>
        <v xml:space="preserve">          5082 - PURCHASES @ COST-COMPUTER HARD</v>
      </c>
      <c r="C57" s="11"/>
      <c r="D57" s="2">
        <v>19</v>
      </c>
      <c r="E57" s="2"/>
      <c r="F57" s="19">
        <f t="shared" si="5"/>
        <v>2.6144280099359271E-4</v>
      </c>
      <c r="G57" s="2"/>
      <c r="H57" s="2">
        <v>135</v>
      </c>
      <c r="I57" s="2"/>
      <c r="J57" s="19">
        <f t="shared" si="6"/>
        <v>1.9104864905254728E-3</v>
      </c>
      <c r="K57" s="2"/>
      <c r="L57" s="2">
        <f t="shared" si="7"/>
        <v>-116</v>
      </c>
      <c r="M57" s="2"/>
      <c r="N57" s="19">
        <f t="shared" si="8"/>
        <v>-0.85925925925925928</v>
      </c>
      <c r="O57" s="11"/>
      <c r="P57" s="2">
        <v>149.6</v>
      </c>
      <c r="Q57" s="2"/>
      <c r="R57" s="19">
        <f t="shared" si="9"/>
        <v>1.165481007879306E-3</v>
      </c>
      <c r="S57" s="2"/>
      <c r="T57" s="2">
        <v>193</v>
      </c>
      <c r="U57" s="2"/>
      <c r="V57" s="19">
        <f t="shared" si="10"/>
        <v>1.5677184514125879E-3</v>
      </c>
      <c r="W57" s="2"/>
      <c r="X57" s="2">
        <f t="shared" si="11"/>
        <v>-43.400000000000006</v>
      </c>
      <c r="Y57" s="2"/>
      <c r="Z57" s="19">
        <f t="shared" si="12"/>
        <v>-0.22487046632124355</v>
      </c>
    </row>
    <row r="58" spans="1:26" s="24" customFormat="1" hidden="1" outlineLevel="1" x14ac:dyDescent="0.25">
      <c r="A58" s="44"/>
      <c r="B58" s="11" t="str">
        <f>CONCATENATE("          ", "5083", " - ", "PURCHASES @ COST-COMPUTER EQUI")</f>
        <v xml:space="preserve">          5083 - PURCHASES @ COST-COMPUTER EQUI</v>
      </c>
      <c r="C58" s="11"/>
      <c r="D58" s="2">
        <v>74.55</v>
      </c>
      <c r="E58" s="2"/>
      <c r="F58" s="19">
        <f t="shared" si="5"/>
        <v>1.0258189902143334E-3</v>
      </c>
      <c r="G58" s="2"/>
      <c r="H58" s="2">
        <v>112.51</v>
      </c>
      <c r="I58" s="2"/>
      <c r="J58" s="19">
        <f t="shared" si="6"/>
        <v>1.5922135929557109E-3</v>
      </c>
      <c r="K58" s="2"/>
      <c r="L58" s="2">
        <f t="shared" si="7"/>
        <v>-37.960000000000008</v>
      </c>
      <c r="M58" s="2"/>
      <c r="N58" s="19">
        <f t="shared" si="8"/>
        <v>-0.3373922318016177</v>
      </c>
      <c r="O58" s="11"/>
      <c r="P58" s="2">
        <v>116.05</v>
      </c>
      <c r="Q58" s="2"/>
      <c r="R58" s="19">
        <f t="shared" si="9"/>
        <v>9.0410475243578509E-4</v>
      </c>
      <c r="S58" s="2"/>
      <c r="T58" s="2">
        <v>182.76</v>
      </c>
      <c r="U58" s="2"/>
      <c r="V58" s="19">
        <f t="shared" si="10"/>
        <v>1.4845400216588836E-3</v>
      </c>
      <c r="W58" s="2"/>
      <c r="X58" s="2">
        <f t="shared" si="11"/>
        <v>-66.709999999999994</v>
      </c>
      <c r="Y58" s="2"/>
      <c r="Z58" s="19">
        <f t="shared" si="12"/>
        <v>-0.36501422630772595</v>
      </c>
    </row>
    <row r="59" spans="1:26" s="24" customFormat="1" hidden="1" outlineLevel="1" x14ac:dyDescent="0.25">
      <c r="A59" s="44"/>
      <c r="B59" s="11" t="str">
        <f>CONCATENATE("          ", "5086", " - ", "PURCHASES @ COST-COMPUTER SUPP")</f>
        <v xml:space="preserve">          5086 - PURCHASES @ COST-COMPUTER SUPP</v>
      </c>
      <c r="C59" s="11"/>
      <c r="D59" s="2">
        <v>29</v>
      </c>
      <c r="E59" s="2"/>
      <c r="F59" s="19">
        <f t="shared" si="5"/>
        <v>3.9904427520074678E-4</v>
      </c>
      <c r="G59" s="2"/>
      <c r="H59" s="2">
        <v>150.44</v>
      </c>
      <c r="I59" s="2"/>
      <c r="J59" s="19">
        <f t="shared" si="6"/>
        <v>2.1289895380344603E-3</v>
      </c>
      <c r="K59" s="2"/>
      <c r="L59" s="2">
        <f t="shared" si="7"/>
        <v>-121.44</v>
      </c>
      <c r="M59" s="2"/>
      <c r="N59" s="19">
        <f t="shared" si="8"/>
        <v>-0.80723211911725601</v>
      </c>
      <c r="O59" s="11"/>
      <c r="P59" s="2">
        <v>87</v>
      </c>
      <c r="Q59" s="2"/>
      <c r="R59" s="19">
        <f t="shared" si="9"/>
        <v>6.7778641501002417E-4</v>
      </c>
      <c r="S59" s="2"/>
      <c r="T59" s="2">
        <v>242.91</v>
      </c>
      <c r="U59" s="2"/>
      <c r="V59" s="19">
        <f t="shared" si="10"/>
        <v>1.9731320675265892E-3</v>
      </c>
      <c r="W59" s="2"/>
      <c r="X59" s="2">
        <f t="shared" si="11"/>
        <v>-155.91</v>
      </c>
      <c r="Y59" s="2"/>
      <c r="Z59" s="19">
        <f t="shared" si="12"/>
        <v>-0.64184265777448435</v>
      </c>
    </row>
    <row r="60" spans="1:26" s="24" customFormat="1" hidden="1" outlineLevel="1" x14ac:dyDescent="0.25">
      <c r="A60" s="44"/>
      <c r="B60" s="11" t="str">
        <f>CONCATENATE("          ", "5200", " - ", "PURCHASES OFFSET")</f>
        <v xml:space="preserve">          5200 - PURCHASES OFFSET</v>
      </c>
      <c r="C60" s="11"/>
      <c r="D60" s="2">
        <v>-24427</v>
      </c>
      <c r="E60" s="2"/>
      <c r="F60" s="19">
        <f t="shared" si="5"/>
        <v>-0.33611912104581526</v>
      </c>
      <c r="G60" s="2"/>
      <c r="H60" s="2">
        <v>-23805</v>
      </c>
      <c r="I60" s="2"/>
      <c r="J60" s="19">
        <f t="shared" si="6"/>
        <v>-0.33688245116265836</v>
      </c>
      <c r="K60" s="2"/>
      <c r="L60" s="2">
        <f t="shared" si="7"/>
        <v>-622</v>
      </c>
      <c r="M60" s="2"/>
      <c r="N60" s="19">
        <f t="shared" si="8"/>
        <v>2.6128964503255619E-2</v>
      </c>
      <c r="O60" s="11"/>
      <c r="P60" s="2">
        <v>-83977</v>
      </c>
      <c r="Q60" s="2"/>
      <c r="R60" s="19">
        <f t="shared" si="9"/>
        <v>-0.65423528475053794</v>
      </c>
      <c r="S60" s="2"/>
      <c r="T60" s="2">
        <v>-67981</v>
      </c>
      <c r="U60" s="2"/>
      <c r="V60" s="19">
        <f t="shared" si="10"/>
        <v>-0.55220242510610951</v>
      </c>
      <c r="W60" s="2"/>
      <c r="X60" s="2">
        <f t="shared" si="11"/>
        <v>-15996</v>
      </c>
      <c r="Y60" s="2"/>
      <c r="Z60" s="19">
        <f t="shared" si="12"/>
        <v>0.23530103999646959</v>
      </c>
    </row>
    <row r="61" spans="1:26" s="24" customFormat="1" hidden="1" outlineLevel="1" x14ac:dyDescent="0.25">
      <c r="A61" s="44"/>
      <c r="B61" s="11" t="str">
        <f>CONCATENATE("          ", "5300", " - ", "COG$ OFFSET")</f>
        <v xml:space="preserve">          5300 - COG$ OFFSET</v>
      </c>
      <c r="C61" s="11"/>
      <c r="D61" s="2">
        <v>37907</v>
      </c>
      <c r="E61" s="2"/>
      <c r="F61" s="19">
        <f t="shared" si="5"/>
        <v>0.52160590827705888</v>
      </c>
      <c r="G61" s="2"/>
      <c r="H61" s="2">
        <v>37957</v>
      </c>
      <c r="I61" s="2"/>
      <c r="J61" s="19">
        <f t="shared" si="6"/>
        <v>0.53715804237685461</v>
      </c>
      <c r="K61" s="2"/>
      <c r="L61" s="2">
        <f t="shared" si="7"/>
        <v>-50</v>
      </c>
      <c r="M61" s="2"/>
      <c r="N61" s="19">
        <f t="shared" si="8"/>
        <v>-1.3172800800906289E-3</v>
      </c>
      <c r="O61" s="11"/>
      <c r="P61" s="2">
        <v>67325</v>
      </c>
      <c r="Q61" s="2"/>
      <c r="R61" s="19">
        <f t="shared" si="9"/>
        <v>0.52450540678792967</v>
      </c>
      <c r="S61" s="2"/>
      <c r="T61" s="2">
        <v>66486</v>
      </c>
      <c r="U61" s="2"/>
      <c r="V61" s="19">
        <f t="shared" si="10"/>
        <v>0.54005869927780992</v>
      </c>
      <c r="W61" s="2"/>
      <c r="X61" s="2">
        <f t="shared" si="11"/>
        <v>839</v>
      </c>
      <c r="Y61" s="2"/>
      <c r="Z61" s="19">
        <f t="shared" si="12"/>
        <v>1.2619198026652227E-2</v>
      </c>
    </row>
    <row r="62" spans="1:26" s="24" customFormat="1" hidden="1" outlineLevel="1" x14ac:dyDescent="0.25">
      <c r="A62" s="44"/>
      <c r="B62" s="11" t="str">
        <f>CONCATENATE("          ", "5527", " - ", "FREIGHT-IN-SCHOOL SUPPLIES")</f>
        <v xml:space="preserve">          5527 - FREIGHT-IN-SCHOOL SUPPLIES</v>
      </c>
      <c r="C62" s="11"/>
      <c r="D62" s="2"/>
      <c r="E62" s="2"/>
      <c r="F62" s="19">
        <f t="shared" si="5"/>
        <v>0</v>
      </c>
      <c r="G62" s="2"/>
      <c r="H62" s="2"/>
      <c r="I62" s="2"/>
      <c r="J62" s="19">
        <f t="shared" si="6"/>
        <v>0</v>
      </c>
      <c r="K62" s="2"/>
      <c r="L62" s="2">
        <f t="shared" si="7"/>
        <v>0</v>
      </c>
      <c r="M62" s="2"/>
      <c r="N62" s="19">
        <f t="shared" si="8"/>
        <v>0</v>
      </c>
      <c r="O62" s="11"/>
      <c r="P62" s="2"/>
      <c r="Q62" s="2"/>
      <c r="R62" s="19">
        <f t="shared" si="9"/>
        <v>0</v>
      </c>
      <c r="S62" s="2"/>
      <c r="T62" s="2">
        <v>88.48</v>
      </c>
      <c r="U62" s="2"/>
      <c r="V62" s="19">
        <f t="shared" si="10"/>
        <v>7.1871361959059991E-4</v>
      </c>
      <c r="W62" s="2"/>
      <c r="X62" s="2">
        <f t="shared" si="11"/>
        <v>-88.48</v>
      </c>
      <c r="Y62" s="2"/>
      <c r="Z62" s="19">
        <f t="shared" si="12"/>
        <v>-1</v>
      </c>
    </row>
    <row r="63" spans="1:26" s="24" customFormat="1" hidden="1" outlineLevel="1" x14ac:dyDescent="0.25">
      <c r="A63" s="44"/>
      <c r="B63" s="11" t="str">
        <f>CONCATENATE("          ", "5528", " - ", "FREIGHT-IN-ART/TECH")</f>
        <v xml:space="preserve">          5528 - FREIGHT-IN-ART/TECH</v>
      </c>
      <c r="C63" s="11"/>
      <c r="D63" s="2">
        <v>332.97</v>
      </c>
      <c r="E63" s="2"/>
      <c r="F63" s="19">
        <f t="shared" si="5"/>
        <v>4.581716286675609E-3</v>
      </c>
      <c r="G63" s="2"/>
      <c r="H63" s="2">
        <v>326.36</v>
      </c>
      <c r="I63" s="2"/>
      <c r="J63" s="19">
        <f t="shared" si="6"/>
        <v>4.6185657114658765E-3</v>
      </c>
      <c r="K63" s="2"/>
      <c r="L63" s="2">
        <f t="shared" si="7"/>
        <v>6.6100000000000136</v>
      </c>
      <c r="M63" s="2"/>
      <c r="N63" s="19">
        <f t="shared" si="8"/>
        <v>2.0253707562201292E-2</v>
      </c>
      <c r="O63" s="11"/>
      <c r="P63" s="2">
        <v>588.77</v>
      </c>
      <c r="Q63" s="2"/>
      <c r="R63" s="19">
        <f t="shared" si="9"/>
        <v>4.5869000869592173E-3</v>
      </c>
      <c r="S63" s="2"/>
      <c r="T63" s="2">
        <v>549.4</v>
      </c>
      <c r="U63" s="2"/>
      <c r="V63" s="19">
        <f t="shared" si="10"/>
        <v>4.4627177057309621E-3</v>
      </c>
      <c r="W63" s="2"/>
      <c r="X63" s="2">
        <f t="shared" si="11"/>
        <v>39.370000000000005</v>
      </c>
      <c r="Y63" s="2"/>
      <c r="Z63" s="19">
        <f t="shared" si="12"/>
        <v>7.1659992719330184E-2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6" t="s">
        <v>6</v>
      </c>
      <c r="C65" s="26"/>
      <c r="D65" s="21">
        <f>D12-D45</f>
        <v>34767.64</v>
      </c>
      <c r="E65" s="13"/>
      <c r="F65" s="20">
        <f>IF(D$12=0,0,D65/D$12)</f>
        <v>0.47840785187036178</v>
      </c>
      <c r="G65" s="13"/>
      <c r="H65" s="21">
        <f>H12-H45</f>
        <v>32705.21</v>
      </c>
      <c r="I65" s="13"/>
      <c r="J65" s="20">
        <f>IF(H$12=0,0,H65/H$12)</f>
        <v>0.46283601388739704</v>
      </c>
      <c r="K65" s="15"/>
      <c r="L65" s="21">
        <f>+D65-H65</f>
        <v>2062.4300000000003</v>
      </c>
      <c r="M65" s="15"/>
      <c r="N65" s="20">
        <f>IF(H65=0,0,L65/H65)</f>
        <v>6.3061206456096766E-2</v>
      </c>
      <c r="O65" s="25"/>
      <c r="P65" s="21">
        <f>P12-P45</f>
        <v>61034.87999999999</v>
      </c>
      <c r="Q65" s="13"/>
      <c r="R65" s="20">
        <f>IF(P$12=0,0,P65/P$12)</f>
        <v>0.47550129316973588</v>
      </c>
      <c r="S65" s="13"/>
      <c r="T65" s="21">
        <f>T12-T45</f>
        <v>56620.829999999987</v>
      </c>
      <c r="U65" s="13"/>
      <c r="V65" s="20">
        <f>IF(T$12=0,0,T65/T$12)</f>
        <v>0.45992497370619367</v>
      </c>
      <c r="W65" s="15"/>
      <c r="X65" s="21">
        <f>+P65-T65</f>
        <v>4414.0500000000029</v>
      </c>
      <c r="Y65" s="15"/>
      <c r="Z65" s="20">
        <f>IF(T65=0,0,X65/T65)</f>
        <v>7.7958058898112303E-2</v>
      </c>
    </row>
    <row r="66" spans="1:26" x14ac:dyDescent="0.25">
      <c r="A66" s="9"/>
      <c r="B66" s="10"/>
      <c r="C66" s="9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5" t="s">
        <v>9</v>
      </c>
      <c r="C67" s="10"/>
      <c r="D67" s="22">
        <f>SUM(OSRRefD22x_0)</f>
        <v>11284.590000000004</v>
      </c>
      <c r="E67" s="22"/>
      <c r="F67" s="34">
        <f t="shared" ref="F67:F76" si="13">IF(D$12=0,0,D67/D$12)</f>
        <v>0.15527762198233092</v>
      </c>
      <c r="G67" s="22"/>
      <c r="H67" s="22">
        <f>SUM(OSRRefH22x_0)</f>
        <v>11908.800000000001</v>
      </c>
      <c r="I67" s="22"/>
      <c r="J67" s="34">
        <f t="shared" ref="J67:J76" si="14">IF(H$12=0,0,H67/H$12)</f>
        <v>0.16853038161755374</v>
      </c>
      <c r="K67" s="4"/>
      <c r="L67" s="22">
        <f t="shared" ref="L67:L76" si="15">+D67-H67</f>
        <v>-624.20999999999731</v>
      </c>
      <c r="M67" s="4"/>
      <c r="N67" s="34">
        <f t="shared" ref="N67:N76" si="16">IF(H67=0,0,L67/H67)</f>
        <v>-5.2415860540104567E-2</v>
      </c>
      <c r="O67" s="10"/>
      <c r="P67" s="22">
        <f>SUM(OSRRefP22x_0)</f>
        <v>30721.579999999998</v>
      </c>
      <c r="Q67" s="22"/>
      <c r="R67" s="34">
        <f t="shared" ref="R67:R76" si="17">IF(P$12=0,0,P67/P$12)</f>
        <v>0.23934102955912251</v>
      </c>
      <c r="S67" s="22"/>
      <c r="T67" s="22">
        <f>SUM(OSRRefT22x_0)</f>
        <v>33290.949999999997</v>
      </c>
      <c r="U67" s="22"/>
      <c r="V67" s="34">
        <f t="shared" ref="V67:V76" si="18">IF(T$12=0,0,T67/T$12)</f>
        <v>0.2704188423836989</v>
      </c>
      <c r="W67" s="4"/>
      <c r="X67" s="22">
        <f t="shared" ref="X67:X76" si="19">+P67-T67</f>
        <v>-2569.369999999999</v>
      </c>
      <c r="Y67" s="4"/>
      <c r="Z67" s="34">
        <f t="shared" ref="Z67:Z76" si="20">IF(T67=0,0,X67/T67)</f>
        <v>-7.7179233395262045E-2</v>
      </c>
    </row>
    <row r="68" spans="1:26" s="29" customFormat="1" outlineLevel="1" collapsed="1" x14ac:dyDescent="0.25">
      <c r="A68" s="27"/>
      <c r="B68" s="14" t="str">
        <f>CONCATENATE("     ","*Benefits                                         ")</f>
        <v xml:space="preserve">     *Benefits                                         </v>
      </c>
      <c r="C68" s="14"/>
      <c r="D68" s="1">
        <f>SUM(OSRRefD22_0x_0)</f>
        <v>979.6099999999999</v>
      </c>
      <c r="E68" s="1"/>
      <c r="F68" s="5">
        <f t="shared" si="13"/>
        <v>1.3479578014807017E-2</v>
      </c>
      <c r="G68" s="1"/>
      <c r="H68" s="1">
        <f>SUM(OSRRefH22_0x_0)</f>
        <v>1802.77</v>
      </c>
      <c r="I68" s="1"/>
      <c r="J68" s="5">
        <f t="shared" si="14"/>
        <v>2.5512353559441529E-2</v>
      </c>
      <c r="K68" s="1"/>
      <c r="L68" s="1">
        <f t="shared" si="15"/>
        <v>-823.16000000000008</v>
      </c>
      <c r="M68" s="1"/>
      <c r="N68" s="5">
        <f t="shared" si="16"/>
        <v>-0.45660844145398477</v>
      </c>
      <c r="O68" s="14"/>
      <c r="P68" s="1">
        <f>SUM(OSRRefP22_0x_0)</f>
        <v>4180.13</v>
      </c>
      <c r="Q68" s="1"/>
      <c r="R68" s="5">
        <f t="shared" si="17"/>
        <v>3.2565923298573017E-2</v>
      </c>
      <c r="S68" s="1"/>
      <c r="T68" s="1">
        <f>SUM(OSRRefT22_0x_0)</f>
        <v>5254.16</v>
      </c>
      <c r="U68" s="1"/>
      <c r="V68" s="5">
        <f t="shared" si="18"/>
        <v>4.2678982272922085E-2</v>
      </c>
      <c r="W68" s="1"/>
      <c r="X68" s="1">
        <f t="shared" si="19"/>
        <v>-1074.0299999999997</v>
      </c>
      <c r="Y68" s="1"/>
      <c r="Z68" s="5">
        <f t="shared" si="20"/>
        <v>-0.20441516817150596</v>
      </c>
    </row>
    <row r="69" spans="1:26" s="24" customFormat="1" hidden="1" outlineLevel="2" x14ac:dyDescent="0.25">
      <c r="A69" s="28"/>
      <c r="B69" s="11" t="str">
        <f>CONCATENATE("          ", "6111", " - ", "F.I.C.A.")</f>
        <v xml:space="preserve">          6111 - F.I.C.A.</v>
      </c>
      <c r="C69" s="11"/>
      <c r="D69" s="6">
        <v>183.6</v>
      </c>
      <c r="E69" s="2"/>
      <c r="F69" s="7">
        <f t="shared" si="13"/>
        <v>2.5263630664433484E-3</v>
      </c>
      <c r="G69" s="2"/>
      <c r="H69" s="6">
        <v>376.2</v>
      </c>
      <c r="I69" s="2"/>
      <c r="J69" s="7">
        <f t="shared" si="14"/>
        <v>5.3238890202643172E-3</v>
      </c>
      <c r="K69" s="2"/>
      <c r="L69" s="6">
        <f t="shared" si="15"/>
        <v>-192.6</v>
      </c>
      <c r="M69" s="2"/>
      <c r="N69" s="7">
        <f t="shared" si="16"/>
        <v>-0.51196172248803828</v>
      </c>
      <c r="O69" s="11"/>
      <c r="P69" s="6">
        <v>905.23</v>
      </c>
      <c r="Q69" s="2"/>
      <c r="R69" s="7">
        <f t="shared" si="17"/>
        <v>7.0523286949370602E-3</v>
      </c>
      <c r="S69" s="2"/>
      <c r="T69" s="6">
        <v>1153.58</v>
      </c>
      <c r="U69" s="2"/>
      <c r="V69" s="7">
        <f t="shared" si="18"/>
        <v>9.3704075190701192E-3</v>
      </c>
      <c r="W69" s="2"/>
      <c r="X69" s="6">
        <f t="shared" si="19"/>
        <v>-248.34999999999991</v>
      </c>
      <c r="Y69" s="2"/>
      <c r="Z69" s="7">
        <f t="shared" si="20"/>
        <v>-0.21528632604587453</v>
      </c>
    </row>
    <row r="70" spans="1:26" s="24" customFormat="1" hidden="1" outlineLevel="2" x14ac:dyDescent="0.25">
      <c r="A70" s="28"/>
      <c r="B70" s="11" t="str">
        <f>CONCATENATE("          ", "6112", " - ", "COMPENSATION INSURANCE")</f>
        <v xml:space="preserve">          6112 - COMPENSATION INSURANCE</v>
      </c>
      <c r="C70" s="11"/>
      <c r="D70" s="6">
        <v>161.19999999999999</v>
      </c>
      <c r="E70" s="2"/>
      <c r="F70" s="7">
        <f t="shared" si="13"/>
        <v>2.2181357642193232E-3</v>
      </c>
      <c r="G70" s="2"/>
      <c r="H70" s="6"/>
      <c r="I70" s="2"/>
      <c r="J70" s="7">
        <f t="shared" si="14"/>
        <v>0</v>
      </c>
      <c r="K70" s="2"/>
      <c r="L70" s="6">
        <f t="shared" si="15"/>
        <v>161.19999999999999</v>
      </c>
      <c r="M70" s="2"/>
      <c r="N70" s="7">
        <f t="shared" si="16"/>
        <v>0</v>
      </c>
      <c r="O70" s="11"/>
      <c r="P70" s="6">
        <v>339.94</v>
      </c>
      <c r="Q70" s="2"/>
      <c r="R70" s="7">
        <f t="shared" si="17"/>
        <v>2.6483530335460648E-3</v>
      </c>
      <c r="S70" s="2"/>
      <c r="T70" s="6">
        <v>150.69</v>
      </c>
      <c r="U70" s="2"/>
      <c r="V70" s="7">
        <f t="shared" si="18"/>
        <v>1.2240388261314137E-3</v>
      </c>
      <c r="W70" s="2"/>
      <c r="X70" s="6">
        <f t="shared" si="19"/>
        <v>189.25</v>
      </c>
      <c r="Y70" s="2"/>
      <c r="Z70" s="7">
        <f t="shared" si="20"/>
        <v>1.2558895746233991</v>
      </c>
    </row>
    <row r="71" spans="1:26" s="24" customFormat="1" hidden="1" outlineLevel="2" x14ac:dyDescent="0.25">
      <c r="A71" s="28"/>
      <c r="B71" s="11" t="str">
        <f>CONCATENATE("          ", "6113", " - ", "GROUP INSURANCE")</f>
        <v xml:space="preserve">          6113 - GROUP INSURANCE</v>
      </c>
      <c r="C71" s="11"/>
      <c r="D71" s="6">
        <v>68.09</v>
      </c>
      <c r="E71" s="2"/>
      <c r="F71" s="7">
        <f t="shared" si="13"/>
        <v>9.3692843787651213E-4</v>
      </c>
      <c r="G71" s="2"/>
      <c r="H71" s="6">
        <v>691.86</v>
      </c>
      <c r="I71" s="2"/>
      <c r="J71" s="7">
        <f t="shared" si="14"/>
        <v>9.7910309876663229E-3</v>
      </c>
      <c r="K71" s="2"/>
      <c r="L71" s="6">
        <f t="shared" si="15"/>
        <v>-623.77</v>
      </c>
      <c r="M71" s="2"/>
      <c r="N71" s="7">
        <f t="shared" si="16"/>
        <v>-0.9015841355187465</v>
      </c>
      <c r="O71" s="11"/>
      <c r="P71" s="6">
        <v>1045.1099999999999</v>
      </c>
      <c r="Q71" s="2"/>
      <c r="R71" s="7">
        <f t="shared" si="17"/>
        <v>8.1420845998980036E-3</v>
      </c>
      <c r="S71" s="2"/>
      <c r="T71" s="6">
        <v>1412.04</v>
      </c>
      <c r="U71" s="2"/>
      <c r="V71" s="7">
        <f t="shared" si="18"/>
        <v>1.1469850580998085E-2</v>
      </c>
      <c r="W71" s="2"/>
      <c r="X71" s="6">
        <f t="shared" si="19"/>
        <v>-366.93000000000006</v>
      </c>
      <c r="Y71" s="2"/>
      <c r="Z71" s="7">
        <f t="shared" si="20"/>
        <v>-0.25985807767485347</v>
      </c>
    </row>
    <row r="72" spans="1:26" s="24" customFormat="1" hidden="1" outlineLevel="2" x14ac:dyDescent="0.25">
      <c r="A72" s="28"/>
      <c r="B72" s="11" t="str">
        <f>CONCATENATE("          ", "6114", " - ", "STATE UNEMPLOYMENT INSURANCE")</f>
        <v xml:space="preserve">          6114 - STATE UNEMPLOYMENT INSURANCE</v>
      </c>
      <c r="C72" s="11"/>
      <c r="D72" s="6">
        <v>22.06</v>
      </c>
      <c r="E72" s="2"/>
      <c r="F72" s="7">
        <f t="shared" si="13"/>
        <v>3.0354885210098184E-4</v>
      </c>
      <c r="G72" s="2"/>
      <c r="H72" s="6">
        <v>24.5</v>
      </c>
      <c r="I72" s="2"/>
      <c r="J72" s="7">
        <f t="shared" si="14"/>
        <v>3.4671791865091914E-4</v>
      </c>
      <c r="K72" s="2"/>
      <c r="L72" s="6">
        <f t="shared" si="15"/>
        <v>-2.4400000000000013</v>
      </c>
      <c r="M72" s="2"/>
      <c r="N72" s="7">
        <f t="shared" si="16"/>
        <v>-9.9591836734693934E-2</v>
      </c>
      <c r="O72" s="11"/>
      <c r="P72" s="6">
        <v>46.52</v>
      </c>
      <c r="Q72" s="2"/>
      <c r="R72" s="7">
        <f t="shared" si="17"/>
        <v>3.6242096581915319E-4</v>
      </c>
      <c r="S72" s="2"/>
      <c r="T72" s="6">
        <v>57.43</v>
      </c>
      <c r="U72" s="2"/>
      <c r="V72" s="7">
        <f t="shared" si="18"/>
        <v>4.6649777546437784E-4</v>
      </c>
      <c r="W72" s="2"/>
      <c r="X72" s="6">
        <f t="shared" si="19"/>
        <v>-10.909999999999997</v>
      </c>
      <c r="Y72" s="2"/>
      <c r="Z72" s="7">
        <f t="shared" si="20"/>
        <v>-0.18997039874629978</v>
      </c>
    </row>
    <row r="73" spans="1:26" s="24" customFormat="1" hidden="1" outlineLevel="2" x14ac:dyDescent="0.25">
      <c r="A73" s="28"/>
      <c r="B73" s="11" t="str">
        <f>CONCATENATE("          ", "6115", " - ", "P.E.R.S.")</f>
        <v xml:space="preserve">          6115 - P.E.R.S.</v>
      </c>
      <c r="C73" s="11"/>
      <c r="D73" s="6">
        <v>167.64</v>
      </c>
      <c r="E73" s="2"/>
      <c r="F73" s="7">
        <f t="shared" si="13"/>
        <v>2.3067511136087306E-3</v>
      </c>
      <c r="G73" s="2"/>
      <c r="H73" s="6">
        <v>250.45</v>
      </c>
      <c r="I73" s="2"/>
      <c r="J73" s="7">
        <f t="shared" si="14"/>
        <v>3.5443062337192936E-3</v>
      </c>
      <c r="K73" s="2"/>
      <c r="L73" s="6">
        <f t="shared" si="15"/>
        <v>-82.81</v>
      </c>
      <c r="M73" s="2"/>
      <c r="N73" s="7">
        <f t="shared" si="16"/>
        <v>-0.33064483928927935</v>
      </c>
      <c r="O73" s="11"/>
      <c r="P73" s="6">
        <v>569.98</v>
      </c>
      <c r="Q73" s="2"/>
      <c r="R73" s="7">
        <f t="shared" si="17"/>
        <v>4.4405138026139494E-3</v>
      </c>
      <c r="S73" s="2"/>
      <c r="T73" s="6">
        <v>872.93</v>
      </c>
      <c r="U73" s="2"/>
      <c r="V73" s="7">
        <f t="shared" si="18"/>
        <v>7.0907174496973591E-3</v>
      </c>
      <c r="W73" s="2"/>
      <c r="X73" s="6">
        <f t="shared" si="19"/>
        <v>-302.94999999999993</v>
      </c>
      <c r="Y73" s="2"/>
      <c r="Z73" s="7">
        <f t="shared" si="20"/>
        <v>-0.34704959160528331</v>
      </c>
    </row>
    <row r="74" spans="1:26" s="24" customFormat="1" hidden="1" outlineLevel="2" x14ac:dyDescent="0.25">
      <c r="A74" s="28"/>
      <c r="B74" s="11" t="str">
        <f>CONCATENATE("          ", "6118", " - ", "VACATION")</f>
        <v xml:space="preserve">          6118 - VACATION</v>
      </c>
      <c r="C74" s="11"/>
      <c r="D74" s="6">
        <v>92.4</v>
      </c>
      <c r="E74" s="2"/>
      <c r="F74" s="7">
        <f t="shared" si="13"/>
        <v>1.2714376216741037E-3</v>
      </c>
      <c r="G74" s="2"/>
      <c r="H74" s="6">
        <v>140.91999999999999</v>
      </c>
      <c r="I74" s="2"/>
      <c r="J74" s="7">
        <f t="shared" si="14"/>
        <v>1.9942648610729598E-3</v>
      </c>
      <c r="K74" s="2"/>
      <c r="L74" s="6">
        <f t="shared" si="15"/>
        <v>-48.519999999999982</v>
      </c>
      <c r="M74" s="2"/>
      <c r="N74" s="7">
        <f t="shared" si="16"/>
        <v>-0.34430882770366156</v>
      </c>
      <c r="O74" s="11"/>
      <c r="P74" s="6">
        <v>424.32</v>
      </c>
      <c r="Q74" s="2"/>
      <c r="R74" s="7">
        <f t="shared" si="17"/>
        <v>3.3057279496213044E-3</v>
      </c>
      <c r="S74" s="2"/>
      <c r="T74" s="6">
        <v>492.2</v>
      </c>
      <c r="U74" s="2"/>
      <c r="V74" s="7">
        <f t="shared" si="18"/>
        <v>3.9980881957786306E-3</v>
      </c>
      <c r="W74" s="2"/>
      <c r="X74" s="6">
        <f t="shared" si="19"/>
        <v>-67.88</v>
      </c>
      <c r="Y74" s="2"/>
      <c r="Z74" s="7">
        <f t="shared" si="20"/>
        <v>-0.13791141812271435</v>
      </c>
    </row>
    <row r="75" spans="1:26" s="24" customFormat="1" hidden="1" outlineLevel="2" x14ac:dyDescent="0.25">
      <c r="A75" s="28"/>
      <c r="B75" s="11" t="str">
        <f>CONCATENATE("          ", "6119", " - ", "SICK LEAVE")</f>
        <v xml:space="preserve">          6119 - SICK LEAVE</v>
      </c>
      <c r="C75" s="11"/>
      <c r="D75" s="6">
        <v>110.7</v>
      </c>
      <c r="E75" s="2"/>
      <c r="F75" s="7">
        <f t="shared" si="13"/>
        <v>1.5232483194731956E-3</v>
      </c>
      <c r="G75" s="2"/>
      <c r="H75" s="6">
        <v>168.84</v>
      </c>
      <c r="I75" s="2"/>
      <c r="J75" s="7">
        <f t="shared" si="14"/>
        <v>2.3893817708171912E-3</v>
      </c>
      <c r="K75" s="2"/>
      <c r="L75" s="6">
        <f t="shared" si="15"/>
        <v>-58.14</v>
      </c>
      <c r="M75" s="2"/>
      <c r="N75" s="7">
        <f t="shared" si="16"/>
        <v>-0.34434968017057571</v>
      </c>
      <c r="O75" s="11"/>
      <c r="P75" s="6">
        <v>376.38</v>
      </c>
      <c r="Q75" s="2"/>
      <c r="R75" s="7">
        <f t="shared" si="17"/>
        <v>2.9322442630054357E-3</v>
      </c>
      <c r="S75" s="2"/>
      <c r="T75" s="6">
        <v>665.51</v>
      </c>
      <c r="U75" s="2"/>
      <c r="V75" s="7">
        <f t="shared" si="18"/>
        <v>5.4058668735730122E-3</v>
      </c>
      <c r="W75" s="2"/>
      <c r="X75" s="6">
        <f t="shared" si="19"/>
        <v>-289.13</v>
      </c>
      <c r="Y75" s="2"/>
      <c r="Z75" s="7">
        <f t="shared" si="20"/>
        <v>-0.43444876861354448</v>
      </c>
    </row>
    <row r="76" spans="1:26" s="24" customFormat="1" hidden="1" outlineLevel="2" x14ac:dyDescent="0.25">
      <c r="A76" s="28"/>
      <c r="B76" s="11" t="str">
        <f>CONCATENATE("          ", "6156", " - ", "EMPLOYEE MEALS")</f>
        <v xml:space="preserve">          6156 - EMPLOYEE MEALS</v>
      </c>
      <c r="C76" s="11"/>
      <c r="D76" s="6">
        <v>173.92</v>
      </c>
      <c r="E76" s="2"/>
      <c r="F76" s="7">
        <f t="shared" si="13"/>
        <v>2.3931648394108235E-3</v>
      </c>
      <c r="G76" s="2"/>
      <c r="H76" s="6">
        <v>150</v>
      </c>
      <c r="I76" s="2"/>
      <c r="J76" s="7">
        <f t="shared" si="14"/>
        <v>2.1227627672505255E-3</v>
      </c>
      <c r="K76" s="2"/>
      <c r="L76" s="6">
        <f t="shared" si="15"/>
        <v>23.919999999999987</v>
      </c>
      <c r="M76" s="2"/>
      <c r="N76" s="7">
        <f t="shared" si="16"/>
        <v>0.15946666666666659</v>
      </c>
      <c r="O76" s="11"/>
      <c r="P76" s="6">
        <v>472.65</v>
      </c>
      <c r="Q76" s="2"/>
      <c r="R76" s="7">
        <f t="shared" si="17"/>
        <v>3.6822499891320452E-3</v>
      </c>
      <c r="S76" s="2"/>
      <c r="T76" s="6">
        <v>449.78</v>
      </c>
      <c r="U76" s="2"/>
      <c r="V76" s="7">
        <f t="shared" si="18"/>
        <v>3.6535150522090864E-3</v>
      </c>
      <c r="W76" s="2"/>
      <c r="X76" s="6">
        <f t="shared" si="19"/>
        <v>22.870000000000005</v>
      </c>
      <c r="Y76" s="2"/>
      <c r="Z76" s="7">
        <f t="shared" si="20"/>
        <v>5.0847080795055372E-2</v>
      </c>
    </row>
    <row r="77" spans="1:26" s="29" customFormat="1" outlineLevel="1" collapsed="1" x14ac:dyDescent="0.25">
      <c r="A77" s="27"/>
      <c r="B77" s="14" t="str">
        <f>CONCATENATE("     ","*Payroll                                          ")</f>
        <v xml:space="preserve">     *Payroll                                          </v>
      </c>
      <c r="C77" s="14"/>
      <c r="D77" s="1">
        <f>SUM(OSRRefD22_1x_0)</f>
        <v>8429</v>
      </c>
      <c r="E77" s="1"/>
      <c r="F77" s="5">
        <f t="shared" ref="F77:F80" si="21">IF(D$12=0,0,D77/D$12)</f>
        <v>0.11598428260921016</v>
      </c>
      <c r="G77" s="1"/>
      <c r="H77" s="1">
        <f>SUM(OSRRefH22_1x_0)</f>
        <v>8553.26</v>
      </c>
      <c r="I77" s="1"/>
      <c r="J77" s="5">
        <f t="shared" ref="J77:J80" si="22">IF(H$12=0,0,H77/H$12)</f>
        <v>0.12104361244408819</v>
      </c>
      <c r="K77" s="1"/>
      <c r="L77" s="1">
        <f t="shared" ref="L77:L80" si="23">+D77-H77</f>
        <v>-124.26000000000022</v>
      </c>
      <c r="M77" s="1"/>
      <c r="N77" s="5">
        <f t="shared" ref="N77:N80" si="24">IF(H77=0,0,L77/H77)</f>
        <v>-1.4527794080853407E-2</v>
      </c>
      <c r="O77" s="14"/>
      <c r="P77" s="1">
        <f>SUM(OSRRefP22_1x_0)</f>
        <v>20087.75</v>
      </c>
      <c r="Q77" s="1"/>
      <c r="R77" s="5">
        <f t="shared" ref="R77:R80" si="25">IF(P$12=0,0,P77/P$12)</f>
        <v>0.15649659836916796</v>
      </c>
      <c r="S77" s="1"/>
      <c r="T77" s="1">
        <f>SUM(OSRRefT22_1x_0)</f>
        <v>21283.670000000002</v>
      </c>
      <c r="U77" s="1"/>
      <c r="V77" s="5">
        <f t="shared" ref="V77:V80" si="26">IF(T$12=0,0,T77/T$12)</f>
        <v>0.17288498535117386</v>
      </c>
      <c r="W77" s="1"/>
      <c r="X77" s="1">
        <f t="shared" ref="X77:X80" si="27">+P77-T77</f>
        <v>-1195.9200000000019</v>
      </c>
      <c r="Y77" s="1"/>
      <c r="Z77" s="5">
        <f t="shared" ref="Z77:Z80" si="28">IF(T77=0,0,X77/T77)</f>
        <v>-5.6189557534015597E-2</v>
      </c>
    </row>
    <row r="78" spans="1:26" s="24" customFormat="1" hidden="1" outlineLevel="2" x14ac:dyDescent="0.25">
      <c r="A78" s="28"/>
      <c r="B78" s="11" t="str">
        <f>CONCATENATE("          ", "6002", " - ", "STAFF SALARIES")</f>
        <v xml:space="preserve">          6002 - STAFF SALARIES</v>
      </c>
      <c r="C78" s="11"/>
      <c r="D78" s="6">
        <v>2280</v>
      </c>
      <c r="E78" s="2"/>
      <c r="F78" s="7">
        <f t="shared" si="21"/>
        <v>3.1373136119231128E-2</v>
      </c>
      <c r="G78" s="2"/>
      <c r="H78" s="6">
        <v>3357.25</v>
      </c>
      <c r="I78" s="2"/>
      <c r="J78" s="7">
        <f t="shared" si="22"/>
        <v>4.7510968669012173E-2</v>
      </c>
      <c r="K78" s="2"/>
      <c r="L78" s="6">
        <f t="shared" si="23"/>
        <v>-1077.25</v>
      </c>
      <c r="M78" s="2"/>
      <c r="N78" s="7">
        <f t="shared" si="24"/>
        <v>-0.32087273810410305</v>
      </c>
      <c r="O78" s="11"/>
      <c r="P78" s="6">
        <v>8616</v>
      </c>
      <c r="Q78" s="2"/>
      <c r="R78" s="7">
        <f t="shared" si="25"/>
        <v>6.7124227031337566E-2</v>
      </c>
      <c r="S78" s="2"/>
      <c r="T78" s="6">
        <v>11390.53</v>
      </c>
      <c r="U78" s="2"/>
      <c r="V78" s="7">
        <f t="shared" si="26"/>
        <v>9.2524062447505828E-2</v>
      </c>
      <c r="W78" s="2"/>
      <c r="X78" s="6">
        <f t="shared" si="27"/>
        <v>-2774.5300000000007</v>
      </c>
      <c r="Y78" s="2"/>
      <c r="Z78" s="7">
        <f t="shared" si="28"/>
        <v>-0.24358216869627669</v>
      </c>
    </row>
    <row r="79" spans="1:26" s="24" customFormat="1" hidden="1" outlineLevel="2" x14ac:dyDescent="0.25">
      <c r="A79" s="28"/>
      <c r="B79" s="11" t="str">
        <f>CONCATENATE("          ", "6006", " - ", "TEMPORARY PART TIME")</f>
        <v xml:space="preserve">          6006 - TEMPORARY PART TIME</v>
      </c>
      <c r="C79" s="11"/>
      <c r="D79" s="6"/>
      <c r="E79" s="2"/>
      <c r="F79" s="7">
        <f t="shared" si="21"/>
        <v>0</v>
      </c>
      <c r="G79" s="2"/>
      <c r="H79" s="6">
        <v>1399.75</v>
      </c>
      <c r="I79" s="2"/>
      <c r="J79" s="7">
        <f t="shared" si="22"/>
        <v>1.9808914556392818E-2</v>
      </c>
      <c r="K79" s="2"/>
      <c r="L79" s="6">
        <f t="shared" si="23"/>
        <v>-1399.75</v>
      </c>
      <c r="M79" s="2"/>
      <c r="N79" s="7">
        <f t="shared" si="24"/>
        <v>-1</v>
      </c>
      <c r="O79" s="11"/>
      <c r="P79" s="6">
        <v>25.5</v>
      </c>
      <c r="Q79" s="2"/>
      <c r="R79" s="7">
        <f t="shared" si="25"/>
        <v>1.9866153543397262E-4</v>
      </c>
      <c r="S79" s="2"/>
      <c r="T79" s="6">
        <v>1974.5</v>
      </c>
      <c r="U79" s="2"/>
      <c r="V79" s="7">
        <f t="shared" si="26"/>
        <v>1.6038653276239143E-2</v>
      </c>
      <c r="W79" s="2"/>
      <c r="X79" s="6">
        <f t="shared" si="27"/>
        <v>-1949</v>
      </c>
      <c r="Y79" s="2"/>
      <c r="Z79" s="7">
        <f t="shared" si="28"/>
        <v>-0.98708533806026844</v>
      </c>
    </row>
    <row r="80" spans="1:26" s="24" customFormat="1" hidden="1" outlineLevel="2" x14ac:dyDescent="0.25">
      <c r="A80" s="28"/>
      <c r="B80" s="11" t="str">
        <f>CONCATENATE("          ", "6007", " - ", "STUDENT HOURLY")</f>
        <v xml:space="preserve">          6007 - STUDENT HOURLY</v>
      </c>
      <c r="C80" s="11"/>
      <c r="D80" s="6">
        <v>6149</v>
      </c>
      <c r="E80" s="2"/>
      <c r="F80" s="7">
        <f t="shared" si="21"/>
        <v>8.4611146489979042E-2</v>
      </c>
      <c r="G80" s="2"/>
      <c r="H80" s="6">
        <v>3796.26</v>
      </c>
      <c r="I80" s="2"/>
      <c r="J80" s="7">
        <f t="shared" si="22"/>
        <v>5.3723729218683201E-2</v>
      </c>
      <c r="K80" s="2"/>
      <c r="L80" s="6">
        <f t="shared" si="23"/>
        <v>2352.7399999999998</v>
      </c>
      <c r="M80" s="2"/>
      <c r="N80" s="7">
        <f t="shared" si="24"/>
        <v>0.61975207177590563</v>
      </c>
      <c r="O80" s="11"/>
      <c r="P80" s="6">
        <v>11446.25</v>
      </c>
      <c r="Q80" s="2"/>
      <c r="R80" s="7">
        <f t="shared" si="25"/>
        <v>8.9173709802396431E-2</v>
      </c>
      <c r="S80" s="2"/>
      <c r="T80" s="6">
        <v>7918.64</v>
      </c>
      <c r="U80" s="2"/>
      <c r="V80" s="7">
        <f t="shared" si="26"/>
        <v>6.4322269627428888E-2</v>
      </c>
      <c r="W80" s="2"/>
      <c r="X80" s="6">
        <f t="shared" si="27"/>
        <v>3527.6099999999997</v>
      </c>
      <c r="Y80" s="2"/>
      <c r="Z80" s="7">
        <f t="shared" si="28"/>
        <v>0.44548179990503411</v>
      </c>
    </row>
    <row r="81" spans="1:26" s="29" customFormat="1" outlineLevel="1" collapsed="1" x14ac:dyDescent="0.25">
      <c r="A81" s="27"/>
      <c r="B81" s="14" t="str">
        <f>CONCATENATE("     ","Advertising/Promo                                 ")</f>
        <v xml:space="preserve">     Advertising/Promo                                 </v>
      </c>
      <c r="C81" s="14"/>
      <c r="D81" s="1">
        <f>SUM(OSRRefD22_2x_0)</f>
        <v>100.85</v>
      </c>
      <c r="E81" s="1"/>
      <c r="F81" s="5">
        <f t="shared" ref="F81:F87" si="29">IF(D$12=0,0,D81/D$12)</f>
        <v>1.3877108673791487E-3</v>
      </c>
      <c r="G81" s="1"/>
      <c r="H81" s="1">
        <f>SUM(OSRRefH22_2x_0)</f>
        <v>0</v>
      </c>
      <c r="I81" s="1"/>
      <c r="J81" s="5">
        <f t="shared" ref="J81:J87" si="30">IF(H$12=0,0,H81/H$12)</f>
        <v>0</v>
      </c>
      <c r="K81" s="1"/>
      <c r="L81" s="1">
        <f t="shared" ref="L81:L87" si="31">+D81-H81</f>
        <v>100.85</v>
      </c>
      <c r="M81" s="1"/>
      <c r="N81" s="5">
        <f t="shared" ref="N81:N87" si="32">IF(H81=0,0,L81/H81)</f>
        <v>0</v>
      </c>
      <c r="O81" s="14"/>
      <c r="P81" s="1">
        <f>SUM(OSRRefP22_2x_0)</f>
        <v>146.71</v>
      </c>
      <c r="Q81" s="1"/>
      <c r="R81" s="5">
        <f t="shared" ref="R81:R87" si="33">IF(P$12=0,0,P81/P$12)</f>
        <v>1.1429660338634559E-3</v>
      </c>
      <c r="S81" s="1"/>
      <c r="T81" s="1">
        <f>SUM(OSRRefT22_2x_0)</f>
        <v>0</v>
      </c>
      <c r="U81" s="1"/>
      <c r="V81" s="5">
        <f t="shared" ref="V81:V87" si="34">IF(T$12=0,0,T81/T$12)</f>
        <v>0</v>
      </c>
      <c r="W81" s="1"/>
      <c r="X81" s="1">
        <f t="shared" ref="X81:X87" si="35">+P81-T81</f>
        <v>146.71</v>
      </c>
      <c r="Y81" s="1"/>
      <c r="Z81" s="5">
        <f t="shared" ref="Z81:Z87" si="36">IF(T81=0,0,X81/T81)</f>
        <v>0</v>
      </c>
    </row>
    <row r="82" spans="1:26" s="24" customFormat="1" hidden="1" outlineLevel="2" x14ac:dyDescent="0.25">
      <c r="A82" s="28"/>
      <c r="B82" s="11" t="str">
        <f>CONCATENATE("          ", "6362", " - ", "ADVERTISING EXPENSE")</f>
        <v xml:space="preserve">          6362 - ADVERTISING EXPENSE</v>
      </c>
      <c r="C82" s="11"/>
      <c r="D82" s="6">
        <v>100.85</v>
      </c>
      <c r="E82" s="2"/>
      <c r="F82" s="7">
        <f t="shared" si="29"/>
        <v>1.3877108673791487E-3</v>
      </c>
      <c r="G82" s="2"/>
      <c r="H82" s="6"/>
      <c r="I82" s="2"/>
      <c r="J82" s="7">
        <f t="shared" si="30"/>
        <v>0</v>
      </c>
      <c r="K82" s="2"/>
      <c r="L82" s="6">
        <f t="shared" si="31"/>
        <v>100.85</v>
      </c>
      <c r="M82" s="2"/>
      <c r="N82" s="7">
        <f t="shared" si="32"/>
        <v>0</v>
      </c>
      <c r="O82" s="11"/>
      <c r="P82" s="6">
        <v>146.71</v>
      </c>
      <c r="Q82" s="2"/>
      <c r="R82" s="7">
        <f t="shared" si="33"/>
        <v>1.1429660338634559E-3</v>
      </c>
      <c r="S82" s="2"/>
      <c r="T82" s="6"/>
      <c r="U82" s="2"/>
      <c r="V82" s="7">
        <f t="shared" si="34"/>
        <v>0</v>
      </c>
      <c r="W82" s="2"/>
      <c r="X82" s="6">
        <f t="shared" si="35"/>
        <v>146.71</v>
      </c>
      <c r="Y82" s="2"/>
      <c r="Z82" s="7">
        <f t="shared" si="36"/>
        <v>0</v>
      </c>
    </row>
    <row r="83" spans="1:26" s="29" customFormat="1" outlineLevel="1" collapsed="1" x14ac:dyDescent="0.25">
      <c r="A83" s="27"/>
      <c r="B83" s="14" t="str">
        <f>CONCATENATE("     ","Bad Debts/Over/Short                              ")</f>
        <v xml:space="preserve">     Bad Debts/Over/Short                              </v>
      </c>
      <c r="C83" s="14"/>
      <c r="D83" s="1">
        <f>SUM(OSRRefD22_3x_0)</f>
        <v>-30.21</v>
      </c>
      <c r="E83" s="1"/>
      <c r="F83" s="5">
        <f t="shared" si="29"/>
        <v>-4.1569405357981244E-4</v>
      </c>
      <c r="G83" s="1"/>
      <c r="H83" s="1">
        <f>SUM(OSRRefH22_3x_0)</f>
        <v>8.49</v>
      </c>
      <c r="I83" s="1"/>
      <c r="J83" s="5">
        <f t="shared" si="30"/>
        <v>1.2014837262637973E-4</v>
      </c>
      <c r="K83" s="1"/>
      <c r="L83" s="1">
        <f t="shared" si="31"/>
        <v>-38.700000000000003</v>
      </c>
      <c r="M83" s="1"/>
      <c r="N83" s="5">
        <f t="shared" si="32"/>
        <v>-4.5583038869257955</v>
      </c>
      <c r="O83" s="14"/>
      <c r="P83" s="1">
        <f>SUM(OSRRefP22_3x_0)</f>
        <v>-39.28</v>
      </c>
      <c r="Q83" s="1"/>
      <c r="R83" s="5">
        <f t="shared" si="33"/>
        <v>-3.0601667105280175E-4</v>
      </c>
      <c r="S83" s="1"/>
      <c r="T83" s="1">
        <f>SUM(OSRRefT22_3x_0)</f>
        <v>7.2</v>
      </c>
      <c r="U83" s="1"/>
      <c r="V83" s="5">
        <f t="shared" si="34"/>
        <v>5.8484833420573227E-5</v>
      </c>
      <c r="W83" s="1"/>
      <c r="X83" s="1">
        <f t="shared" si="35"/>
        <v>-46.480000000000004</v>
      </c>
      <c r="Y83" s="1"/>
      <c r="Z83" s="5">
        <f t="shared" si="36"/>
        <v>-6.4555555555555557</v>
      </c>
    </row>
    <row r="84" spans="1:26" s="24" customFormat="1" hidden="1" outlineLevel="2" x14ac:dyDescent="0.25">
      <c r="A84" s="28"/>
      <c r="B84" s="11" t="str">
        <f>CONCATENATE("          ", "6272", " - ", "CASH (OVER/SHORT)")</f>
        <v xml:space="preserve">          6272 - CASH (OVER/SHORT)</v>
      </c>
      <c r="C84" s="11"/>
      <c r="D84" s="6">
        <v>-30.21</v>
      </c>
      <c r="E84" s="2"/>
      <c r="F84" s="7">
        <f t="shared" si="29"/>
        <v>-4.1569405357981244E-4</v>
      </c>
      <c r="G84" s="2"/>
      <c r="H84" s="6">
        <v>8.49</v>
      </c>
      <c r="I84" s="2"/>
      <c r="J84" s="7">
        <f t="shared" si="30"/>
        <v>1.2014837262637973E-4</v>
      </c>
      <c r="K84" s="2"/>
      <c r="L84" s="6">
        <f t="shared" si="31"/>
        <v>-38.700000000000003</v>
      </c>
      <c r="M84" s="2"/>
      <c r="N84" s="7">
        <f t="shared" si="32"/>
        <v>-4.5583038869257955</v>
      </c>
      <c r="O84" s="11"/>
      <c r="P84" s="6">
        <v>-39.28</v>
      </c>
      <c r="Q84" s="2"/>
      <c r="R84" s="7">
        <f t="shared" si="33"/>
        <v>-3.0601667105280175E-4</v>
      </c>
      <c r="S84" s="2"/>
      <c r="T84" s="6">
        <v>7.2</v>
      </c>
      <c r="U84" s="2"/>
      <c r="V84" s="7">
        <f t="shared" si="34"/>
        <v>5.8484833420573227E-5</v>
      </c>
      <c r="W84" s="2"/>
      <c r="X84" s="6">
        <f t="shared" si="35"/>
        <v>-46.480000000000004</v>
      </c>
      <c r="Y84" s="2"/>
      <c r="Z84" s="7">
        <f t="shared" si="36"/>
        <v>-6.4555555555555557</v>
      </c>
    </row>
    <row r="85" spans="1:26" s="29" customFormat="1" outlineLevel="1" collapsed="1" x14ac:dyDescent="0.25">
      <c r="A85" s="27"/>
      <c r="B85" s="14" t="str">
        <f>CONCATENATE("     ","Discounts and Markdowns                           ")</f>
        <v xml:space="preserve">     Discounts and Markdowns                           </v>
      </c>
      <c r="C85" s="14"/>
      <c r="D85" s="1">
        <f>SUM(OSRRefD22_4x_0)</f>
        <v>1078.8900000000001</v>
      </c>
      <c r="E85" s="1"/>
      <c r="F85" s="5">
        <f t="shared" si="29"/>
        <v>1.4845685450735646E-2</v>
      </c>
      <c r="G85" s="1"/>
      <c r="H85" s="1">
        <f>SUM(OSRRefH22_4x_0)</f>
        <v>588.81000000000006</v>
      </c>
      <c r="I85" s="1"/>
      <c r="J85" s="5">
        <f t="shared" si="30"/>
        <v>8.3326929665652125E-3</v>
      </c>
      <c r="K85" s="1"/>
      <c r="L85" s="1">
        <f t="shared" si="31"/>
        <v>490.08000000000004</v>
      </c>
      <c r="M85" s="1"/>
      <c r="N85" s="5">
        <f t="shared" si="32"/>
        <v>0.83232282060426965</v>
      </c>
      <c r="O85" s="14"/>
      <c r="P85" s="1">
        <f>SUM(OSRRefP22_4x_0)</f>
        <v>3519.83</v>
      </c>
      <c r="Q85" s="1"/>
      <c r="R85" s="5">
        <f t="shared" si="33"/>
        <v>2.7421758128100385E-2</v>
      </c>
      <c r="S85" s="1"/>
      <c r="T85" s="1">
        <f>SUM(OSRRefT22_4x_0)</f>
        <v>2730.4</v>
      </c>
      <c r="U85" s="1"/>
      <c r="V85" s="5">
        <f t="shared" si="34"/>
        <v>2.2178748496046268E-2</v>
      </c>
      <c r="W85" s="1"/>
      <c r="X85" s="1">
        <f t="shared" si="35"/>
        <v>789.42999999999984</v>
      </c>
      <c r="Y85" s="1"/>
      <c r="Z85" s="5">
        <f t="shared" si="36"/>
        <v>0.28912613536478166</v>
      </c>
    </row>
    <row r="86" spans="1:26" s="24" customFormat="1" hidden="1" outlineLevel="2" x14ac:dyDescent="0.25">
      <c r="A86" s="28"/>
      <c r="B86" s="11" t="str">
        <f>CONCATENATE("          ", "6382", " - ", "DISCOUNTS/MARK DOWNS")</f>
        <v xml:space="preserve">          6382 - DISCOUNTS/MARK DOWNS</v>
      </c>
      <c r="C86" s="11"/>
      <c r="D86" s="6">
        <v>1020.45</v>
      </c>
      <c r="E86" s="2"/>
      <c r="F86" s="7">
        <f t="shared" si="29"/>
        <v>1.4041542435469038E-2</v>
      </c>
      <c r="G86" s="2"/>
      <c r="H86" s="6">
        <v>590.97</v>
      </c>
      <c r="I86" s="2"/>
      <c r="J86" s="7">
        <f t="shared" si="30"/>
        <v>8.363260750413621E-3</v>
      </c>
      <c r="K86" s="2"/>
      <c r="L86" s="6">
        <f t="shared" si="31"/>
        <v>429.48</v>
      </c>
      <c r="M86" s="2"/>
      <c r="N86" s="7">
        <f t="shared" si="32"/>
        <v>0.72673739783745372</v>
      </c>
      <c r="O86" s="11"/>
      <c r="P86" s="6">
        <v>3519.83</v>
      </c>
      <c r="Q86" s="2"/>
      <c r="R86" s="7">
        <f t="shared" si="33"/>
        <v>2.7421758128100385E-2</v>
      </c>
      <c r="S86" s="2"/>
      <c r="T86" s="6">
        <v>2732.56</v>
      </c>
      <c r="U86" s="2"/>
      <c r="V86" s="7">
        <f t="shared" si="34"/>
        <v>2.2196293946072441E-2</v>
      </c>
      <c r="W86" s="2"/>
      <c r="X86" s="6">
        <f t="shared" si="35"/>
        <v>787.27</v>
      </c>
      <c r="Y86" s="2"/>
      <c r="Z86" s="7">
        <f t="shared" si="36"/>
        <v>0.28810712299089497</v>
      </c>
    </row>
    <row r="87" spans="1:26" s="24" customFormat="1" hidden="1" outlineLevel="2" x14ac:dyDescent="0.25">
      <c r="A87" s="28"/>
      <c r="B87" s="11" t="str">
        <f>CONCATENATE("          ", "9175", " - ", "EARNED DISCOUNTS")</f>
        <v xml:space="preserve">          9175 - EARNED DISCOUNTS</v>
      </c>
      <c r="C87" s="11"/>
      <c r="D87" s="6">
        <v>58.44</v>
      </c>
      <c r="E87" s="2"/>
      <c r="F87" s="7">
        <f t="shared" si="29"/>
        <v>8.0414301526660829E-4</v>
      </c>
      <c r="G87" s="2"/>
      <c r="H87" s="6">
        <v>-2.16</v>
      </c>
      <c r="I87" s="2"/>
      <c r="J87" s="7">
        <f t="shared" si="30"/>
        <v>-3.0567783848407569E-5</v>
      </c>
      <c r="K87" s="2"/>
      <c r="L87" s="6">
        <f t="shared" si="31"/>
        <v>60.599999999999994</v>
      </c>
      <c r="M87" s="2"/>
      <c r="N87" s="7">
        <f t="shared" si="32"/>
        <v>-28.05555555555555</v>
      </c>
      <c r="O87" s="11"/>
      <c r="P87" s="6">
        <v>0</v>
      </c>
      <c r="Q87" s="2"/>
      <c r="R87" s="7">
        <f t="shared" si="33"/>
        <v>0</v>
      </c>
      <c r="S87" s="2"/>
      <c r="T87" s="6">
        <v>-2.16</v>
      </c>
      <c r="U87" s="2"/>
      <c r="V87" s="7">
        <f t="shared" si="34"/>
        <v>-1.7545450026171969E-5</v>
      </c>
      <c r="W87" s="2"/>
      <c r="X87" s="6">
        <f t="shared" si="35"/>
        <v>2.16</v>
      </c>
      <c r="Y87" s="2"/>
      <c r="Z87" s="7">
        <f t="shared" si="36"/>
        <v>-1</v>
      </c>
    </row>
    <row r="88" spans="1:26" s="29" customFormat="1" outlineLevel="1" collapsed="1" x14ac:dyDescent="0.25">
      <c r="A88" s="27"/>
      <c r="B88" s="14" t="str">
        <f>CONCATENATE("     ","General                                           ")</f>
        <v xml:space="preserve">     General                                           </v>
      </c>
      <c r="C88" s="14"/>
      <c r="D88" s="1">
        <f>SUM(OSRRefD22_5x_0)</f>
        <v>0</v>
      </c>
      <c r="E88" s="1"/>
      <c r="F88" s="5">
        <f t="shared" ref="F88:F96" si="37">IF(D$12=0,0,D88/D$12)</f>
        <v>0</v>
      </c>
      <c r="G88" s="1"/>
      <c r="H88" s="1">
        <f>SUM(OSRRefH22_5x_0)</f>
        <v>0</v>
      </c>
      <c r="I88" s="1"/>
      <c r="J88" s="5">
        <f t="shared" ref="J88:J96" si="38">IF(H$12=0,0,H88/H$12)</f>
        <v>0</v>
      </c>
      <c r="K88" s="1"/>
      <c r="L88" s="1">
        <f t="shared" ref="L88:L96" si="39">+D88-H88</f>
        <v>0</v>
      </c>
      <c r="M88" s="1"/>
      <c r="N88" s="5">
        <f t="shared" ref="N88:N96" si="40">IF(H88=0,0,L88/H88)</f>
        <v>0</v>
      </c>
      <c r="O88" s="14"/>
      <c r="P88" s="1">
        <f>SUM(OSRRefP22_5x_0)</f>
        <v>694.55</v>
      </c>
      <c r="Q88" s="1"/>
      <c r="R88" s="5">
        <f t="shared" ref="R88:R96" si="41">IF(P$12=0,0,P88/P$12)</f>
        <v>5.4109948798300262E-3</v>
      </c>
      <c r="S88" s="1"/>
      <c r="T88" s="1">
        <f>SUM(OSRRefT22_5x_0)</f>
        <v>669.2</v>
      </c>
      <c r="U88" s="1"/>
      <c r="V88" s="5">
        <f t="shared" ref="V88:V96" si="42">IF(T$12=0,0,T88/T$12)</f>
        <v>5.4358403507010567E-3</v>
      </c>
      <c r="W88" s="1"/>
      <c r="X88" s="1">
        <f t="shared" ref="X88:X96" si="43">+P88-T88</f>
        <v>25.349999999999909</v>
      </c>
      <c r="Y88" s="1"/>
      <c r="Z88" s="5">
        <f t="shared" ref="Z88:Z96" si="44">IF(T88=0,0,X88/T88)</f>
        <v>3.7881052002390773E-2</v>
      </c>
    </row>
    <row r="89" spans="1:26" s="24" customFormat="1" hidden="1" outlineLevel="2" x14ac:dyDescent="0.25">
      <c r="A89" s="28"/>
      <c r="B89" s="11" t="str">
        <f>CONCATENATE("          ", "6279", " - ", "GENERAL EXPENSE")</f>
        <v xml:space="preserve">          6279 - GENERAL EXPENSE</v>
      </c>
      <c r="C89" s="11"/>
      <c r="D89" s="6"/>
      <c r="E89" s="2"/>
      <c r="F89" s="7">
        <f t="shared" si="37"/>
        <v>0</v>
      </c>
      <c r="G89" s="2"/>
      <c r="H89" s="6"/>
      <c r="I89" s="2"/>
      <c r="J89" s="7">
        <f t="shared" si="38"/>
        <v>0</v>
      </c>
      <c r="K89" s="2"/>
      <c r="L89" s="6">
        <f t="shared" si="39"/>
        <v>0</v>
      </c>
      <c r="M89" s="2"/>
      <c r="N89" s="7">
        <f t="shared" si="40"/>
        <v>0</v>
      </c>
      <c r="O89" s="11"/>
      <c r="P89" s="6">
        <v>694.55</v>
      </c>
      <c r="Q89" s="2"/>
      <c r="R89" s="7">
        <f t="shared" si="41"/>
        <v>5.4109948798300262E-3</v>
      </c>
      <c r="S89" s="2"/>
      <c r="T89" s="6">
        <v>669.2</v>
      </c>
      <c r="U89" s="2"/>
      <c r="V89" s="7">
        <f t="shared" si="42"/>
        <v>5.4358403507010567E-3</v>
      </c>
      <c r="W89" s="2"/>
      <c r="X89" s="6">
        <f t="shared" si="43"/>
        <v>25.349999999999909</v>
      </c>
      <c r="Y89" s="2"/>
      <c r="Z89" s="7">
        <f t="shared" si="44"/>
        <v>3.7881052002390773E-2</v>
      </c>
    </row>
    <row r="90" spans="1:26" s="29" customFormat="1" outlineLevel="1" collapsed="1" x14ac:dyDescent="0.25">
      <c r="A90" s="27"/>
      <c r="B90" s="14" t="str">
        <f>CONCATENATE("     ","Inventory Adjustment                              ")</f>
        <v xml:space="preserve">     Inventory Adjustment                              </v>
      </c>
      <c r="C90" s="14"/>
      <c r="D90" s="1">
        <f>SUM(OSRRefD22_6x_0)</f>
        <v>0</v>
      </c>
      <c r="E90" s="1"/>
      <c r="F90" s="5">
        <f t="shared" si="37"/>
        <v>0</v>
      </c>
      <c r="G90" s="1"/>
      <c r="H90" s="1">
        <f>SUM(OSRRefH22_6x_0)</f>
        <v>400</v>
      </c>
      <c r="I90" s="1"/>
      <c r="J90" s="5">
        <f t="shared" si="38"/>
        <v>5.6607007126680672E-3</v>
      </c>
      <c r="K90" s="1"/>
      <c r="L90" s="1">
        <f t="shared" si="39"/>
        <v>-400</v>
      </c>
      <c r="M90" s="1"/>
      <c r="N90" s="5">
        <f t="shared" si="40"/>
        <v>-1</v>
      </c>
      <c r="O90" s="14"/>
      <c r="P90" s="1">
        <f>SUM(OSRRefP22_6x_0)</f>
        <v>0</v>
      </c>
      <c r="Q90" s="1"/>
      <c r="R90" s="5">
        <f t="shared" si="41"/>
        <v>0</v>
      </c>
      <c r="S90" s="1"/>
      <c r="T90" s="1">
        <f>SUM(OSRRefT22_6x_0)</f>
        <v>1200</v>
      </c>
      <c r="U90" s="1"/>
      <c r="V90" s="5">
        <f t="shared" si="42"/>
        <v>9.7474722367622037E-3</v>
      </c>
      <c r="W90" s="1"/>
      <c r="X90" s="1">
        <f t="shared" si="43"/>
        <v>-1200</v>
      </c>
      <c r="Y90" s="1"/>
      <c r="Z90" s="5">
        <f t="shared" si="44"/>
        <v>-1</v>
      </c>
    </row>
    <row r="91" spans="1:26" s="24" customFormat="1" hidden="1" outlineLevel="2" x14ac:dyDescent="0.25">
      <c r="A91" s="28"/>
      <c r="B91" s="11" t="str">
        <f>CONCATENATE("          ", "6408", " - ", "INVENTORY ADJUSTMENT")</f>
        <v xml:space="preserve">          6408 - INVENTORY ADJUSTMENT</v>
      </c>
      <c r="C91" s="11"/>
      <c r="D91" s="6"/>
      <c r="E91" s="2"/>
      <c r="F91" s="7">
        <f t="shared" si="37"/>
        <v>0</v>
      </c>
      <c r="G91" s="2"/>
      <c r="H91" s="6">
        <v>400</v>
      </c>
      <c r="I91" s="2"/>
      <c r="J91" s="7">
        <f t="shared" si="38"/>
        <v>5.6607007126680672E-3</v>
      </c>
      <c r="K91" s="2"/>
      <c r="L91" s="6">
        <f t="shared" si="39"/>
        <v>-400</v>
      </c>
      <c r="M91" s="2"/>
      <c r="N91" s="7">
        <f t="shared" si="40"/>
        <v>-1</v>
      </c>
      <c r="O91" s="11"/>
      <c r="P91" s="6"/>
      <c r="Q91" s="2"/>
      <c r="R91" s="7">
        <f t="shared" si="41"/>
        <v>0</v>
      </c>
      <c r="S91" s="2"/>
      <c r="T91" s="6">
        <v>1200</v>
      </c>
      <c r="U91" s="2"/>
      <c r="V91" s="7">
        <f t="shared" si="42"/>
        <v>9.7474722367622037E-3</v>
      </c>
      <c r="W91" s="2"/>
      <c r="X91" s="6">
        <f t="shared" si="43"/>
        <v>-1200</v>
      </c>
      <c r="Y91" s="2"/>
      <c r="Z91" s="7">
        <f t="shared" si="44"/>
        <v>-1</v>
      </c>
    </row>
    <row r="92" spans="1:26" s="29" customFormat="1" outlineLevel="1" collapsed="1" x14ac:dyDescent="0.25">
      <c r="A92" s="27"/>
      <c r="B92" s="14" t="str">
        <f>CONCATENATE("     ","Professional Services                             ")</f>
        <v xml:space="preserve">     Professional Services                             </v>
      </c>
      <c r="C92" s="14"/>
      <c r="D92" s="1">
        <f>SUM(OSRRefD22_7x_0)</f>
        <v>0</v>
      </c>
      <c r="E92" s="1"/>
      <c r="F92" s="5">
        <f t="shared" si="37"/>
        <v>0</v>
      </c>
      <c r="G92" s="1"/>
      <c r="H92" s="1">
        <f>SUM(OSRRefH22_7x_0)</f>
        <v>0</v>
      </c>
      <c r="I92" s="1"/>
      <c r="J92" s="5">
        <f t="shared" si="38"/>
        <v>0</v>
      </c>
      <c r="K92" s="1"/>
      <c r="L92" s="1">
        <f t="shared" si="39"/>
        <v>0</v>
      </c>
      <c r="M92" s="1"/>
      <c r="N92" s="5">
        <f t="shared" si="40"/>
        <v>0</v>
      </c>
      <c r="O92" s="14"/>
      <c r="P92" s="1">
        <f>SUM(OSRRefP22_7x_0)</f>
        <v>750</v>
      </c>
      <c r="Q92" s="1"/>
      <c r="R92" s="5">
        <f t="shared" si="41"/>
        <v>5.8429863362933123E-3</v>
      </c>
      <c r="S92" s="1"/>
      <c r="T92" s="1">
        <f>SUM(OSRRefT22_7x_0)</f>
        <v>750</v>
      </c>
      <c r="U92" s="1"/>
      <c r="V92" s="5">
        <f t="shared" si="42"/>
        <v>6.0921701479763777E-3</v>
      </c>
      <c r="W92" s="1"/>
      <c r="X92" s="1">
        <f t="shared" si="43"/>
        <v>0</v>
      </c>
      <c r="Y92" s="1"/>
      <c r="Z92" s="5">
        <f t="shared" si="44"/>
        <v>0</v>
      </c>
    </row>
    <row r="93" spans="1:26" s="24" customFormat="1" hidden="1" outlineLevel="2" x14ac:dyDescent="0.25">
      <c r="A93" s="28"/>
      <c r="B93" s="11" t="str">
        <f>CONCATENATE("          ", "6336", " - ", "PROFESSIONAL SERVICES")</f>
        <v xml:space="preserve">          6336 - PROFESSIONAL SERVICES</v>
      </c>
      <c r="C93" s="11"/>
      <c r="D93" s="6"/>
      <c r="E93" s="2"/>
      <c r="F93" s="7">
        <f t="shared" si="37"/>
        <v>0</v>
      </c>
      <c r="G93" s="2"/>
      <c r="H93" s="6"/>
      <c r="I93" s="2"/>
      <c r="J93" s="7">
        <f t="shared" si="38"/>
        <v>0</v>
      </c>
      <c r="K93" s="2"/>
      <c r="L93" s="6">
        <f t="shared" si="39"/>
        <v>0</v>
      </c>
      <c r="M93" s="2"/>
      <c r="N93" s="7">
        <f t="shared" si="40"/>
        <v>0</v>
      </c>
      <c r="O93" s="11"/>
      <c r="P93" s="6">
        <v>750</v>
      </c>
      <c r="Q93" s="2"/>
      <c r="R93" s="7">
        <f t="shared" si="41"/>
        <v>5.8429863362933123E-3</v>
      </c>
      <c r="S93" s="2"/>
      <c r="T93" s="6">
        <v>750</v>
      </c>
      <c r="U93" s="2"/>
      <c r="V93" s="7">
        <f t="shared" si="42"/>
        <v>6.0921701479763777E-3</v>
      </c>
      <c r="W93" s="2"/>
      <c r="X93" s="6">
        <f t="shared" si="43"/>
        <v>0</v>
      </c>
      <c r="Y93" s="2"/>
      <c r="Z93" s="7">
        <f t="shared" si="44"/>
        <v>0</v>
      </c>
    </row>
    <row r="94" spans="1:26" s="29" customFormat="1" outlineLevel="1" collapsed="1" x14ac:dyDescent="0.25">
      <c r="A94" s="27"/>
      <c r="B94" s="14" t="str">
        <f>CONCATENATE("     ","Repair and Maintenance                            ")</f>
        <v xml:space="preserve">     Repair and Maintenance                            </v>
      </c>
      <c r="C94" s="14"/>
      <c r="D94" s="1">
        <f>SUM(OSRRefD22_8x_0)</f>
        <v>9.8000000000000007</v>
      </c>
      <c r="E94" s="1"/>
      <c r="F94" s="5">
        <f t="shared" si="37"/>
        <v>1.34849444723011E-4</v>
      </c>
      <c r="G94" s="1"/>
      <c r="H94" s="1">
        <f>SUM(OSRRefH22_8x_0)</f>
        <v>49.62</v>
      </c>
      <c r="I94" s="1"/>
      <c r="J94" s="5">
        <f t="shared" si="38"/>
        <v>7.0220992340647376E-4</v>
      </c>
      <c r="K94" s="1"/>
      <c r="L94" s="1">
        <f t="shared" si="39"/>
        <v>-39.819999999999993</v>
      </c>
      <c r="M94" s="1"/>
      <c r="N94" s="5">
        <f t="shared" si="40"/>
        <v>-0.80249899234179756</v>
      </c>
      <c r="O94" s="14"/>
      <c r="P94" s="1">
        <f>SUM(OSRRefP22_8x_0)</f>
        <v>9.8000000000000007</v>
      </c>
      <c r="Q94" s="1"/>
      <c r="R94" s="5">
        <f t="shared" si="41"/>
        <v>7.6348354794232616E-5</v>
      </c>
      <c r="S94" s="1"/>
      <c r="T94" s="1">
        <f>SUM(OSRRefT22_8x_0)</f>
        <v>49.62</v>
      </c>
      <c r="U94" s="1"/>
      <c r="V94" s="5">
        <f t="shared" si="42"/>
        <v>4.0305797699011713E-4</v>
      </c>
      <c r="W94" s="1"/>
      <c r="X94" s="1">
        <f t="shared" si="43"/>
        <v>-39.819999999999993</v>
      </c>
      <c r="Y94" s="1"/>
      <c r="Z94" s="5">
        <f t="shared" si="44"/>
        <v>-0.80249899234179756</v>
      </c>
    </row>
    <row r="95" spans="1:26" s="24" customFormat="1" hidden="1" outlineLevel="2" x14ac:dyDescent="0.25">
      <c r="A95" s="28"/>
      <c r="B95" s="11" t="str">
        <f>CONCATENATE("          ", "6373", " - ", "MAINTENANCE CONTRACTS")</f>
        <v xml:space="preserve">          6373 - MAINTENANCE CONTRACTS</v>
      </c>
      <c r="C95" s="11"/>
      <c r="D95" s="6"/>
      <c r="E95" s="2"/>
      <c r="F95" s="7">
        <f t="shared" si="37"/>
        <v>0</v>
      </c>
      <c r="G95" s="2"/>
      <c r="H95" s="6">
        <v>49.62</v>
      </c>
      <c r="I95" s="2"/>
      <c r="J95" s="7">
        <f t="shared" si="38"/>
        <v>7.0220992340647376E-4</v>
      </c>
      <c r="K95" s="2"/>
      <c r="L95" s="6">
        <f t="shared" si="39"/>
        <v>-49.62</v>
      </c>
      <c r="M95" s="2"/>
      <c r="N95" s="7">
        <f t="shared" si="40"/>
        <v>-1</v>
      </c>
      <c r="O95" s="11"/>
      <c r="P95" s="6"/>
      <c r="Q95" s="2"/>
      <c r="R95" s="7">
        <f t="shared" si="41"/>
        <v>0</v>
      </c>
      <c r="S95" s="2"/>
      <c r="T95" s="6">
        <v>49.62</v>
      </c>
      <c r="U95" s="2"/>
      <c r="V95" s="7">
        <f t="shared" si="42"/>
        <v>4.0305797699011713E-4</v>
      </c>
      <c r="W95" s="2"/>
      <c r="X95" s="6">
        <f t="shared" si="43"/>
        <v>-49.62</v>
      </c>
      <c r="Y95" s="2"/>
      <c r="Z95" s="7">
        <f t="shared" si="44"/>
        <v>-1</v>
      </c>
    </row>
    <row r="96" spans="1:26" s="24" customFormat="1" hidden="1" outlineLevel="2" x14ac:dyDescent="0.25">
      <c r="A96" s="28"/>
      <c r="B96" s="11" t="str">
        <f>CONCATENATE("          ", "6375", " - ", "OUTSIDE REPAIRS &amp; MAINTENANCE")</f>
        <v xml:space="preserve">          6375 - OUTSIDE REPAIRS &amp; MAINTENANCE</v>
      </c>
      <c r="C96" s="11"/>
      <c r="D96" s="6">
        <v>9.8000000000000007</v>
      </c>
      <c r="E96" s="2"/>
      <c r="F96" s="7">
        <f t="shared" si="37"/>
        <v>1.34849444723011E-4</v>
      </c>
      <c r="G96" s="2"/>
      <c r="H96" s="6"/>
      <c r="I96" s="2"/>
      <c r="J96" s="7">
        <f t="shared" si="38"/>
        <v>0</v>
      </c>
      <c r="K96" s="2"/>
      <c r="L96" s="6">
        <f t="shared" si="39"/>
        <v>9.8000000000000007</v>
      </c>
      <c r="M96" s="2"/>
      <c r="N96" s="7">
        <f t="shared" si="40"/>
        <v>0</v>
      </c>
      <c r="O96" s="11"/>
      <c r="P96" s="6">
        <v>9.8000000000000007</v>
      </c>
      <c r="Q96" s="2"/>
      <c r="R96" s="7">
        <f t="shared" si="41"/>
        <v>7.6348354794232616E-5</v>
      </c>
      <c r="S96" s="2"/>
      <c r="T96" s="6"/>
      <c r="U96" s="2"/>
      <c r="V96" s="7">
        <f t="shared" si="42"/>
        <v>0</v>
      </c>
      <c r="W96" s="2"/>
      <c r="X96" s="6">
        <f t="shared" si="43"/>
        <v>9.8000000000000007</v>
      </c>
      <c r="Y96" s="2"/>
      <c r="Z96" s="7">
        <f t="shared" si="44"/>
        <v>0</v>
      </c>
    </row>
    <row r="97" spans="1:26" s="29" customFormat="1" outlineLevel="1" collapsed="1" x14ac:dyDescent="0.25">
      <c r="A97" s="27"/>
      <c r="B97" s="14" t="str">
        <f>CONCATENATE("     ","Services                                          ")</f>
        <v xml:space="preserve">     Services                                          </v>
      </c>
      <c r="C97" s="14"/>
      <c r="D97" s="1">
        <f>SUM(OSRRefD22_9x_0)</f>
        <v>233.11</v>
      </c>
      <c r="E97" s="1"/>
      <c r="F97" s="5">
        <f t="shared" ref="F97:F99" si="45">IF(D$12=0,0,D97/D$12)</f>
        <v>3.2076279652429687E-3</v>
      </c>
      <c r="G97" s="1"/>
      <c r="H97" s="1">
        <f>SUM(OSRRefH22_9x_0)</f>
        <v>168.62</v>
      </c>
      <c r="I97" s="1"/>
      <c r="J97" s="5">
        <f t="shared" ref="J97:J99" si="46">IF(H$12=0,0,H97/H$12)</f>
        <v>2.3862683854252238E-3</v>
      </c>
      <c r="K97" s="1"/>
      <c r="L97" s="1">
        <f t="shared" ref="L97:L99" si="47">+D97-H97</f>
        <v>64.490000000000009</v>
      </c>
      <c r="M97" s="1"/>
      <c r="N97" s="5">
        <f t="shared" ref="N97:N99" si="48">IF(H97=0,0,L97/H97)</f>
        <v>0.38245759696358683</v>
      </c>
      <c r="O97" s="14"/>
      <c r="P97" s="1">
        <f>SUM(OSRRefP22_9x_0)</f>
        <v>695.96</v>
      </c>
      <c r="Q97" s="1"/>
      <c r="R97" s="5">
        <f t="shared" ref="R97:R99" si="49">IF(P$12=0,0,P97/P$12)</f>
        <v>5.4219796941422579E-3</v>
      </c>
      <c r="S97" s="1"/>
      <c r="T97" s="1">
        <f>SUM(OSRRefT22_9x_0)</f>
        <v>599.91999999999996</v>
      </c>
      <c r="U97" s="1"/>
      <c r="V97" s="5">
        <f t="shared" ref="V97:V99" si="50">IF(T$12=0,0,T97/T$12)</f>
        <v>4.8730862868986511E-3</v>
      </c>
      <c r="W97" s="1"/>
      <c r="X97" s="1">
        <f t="shared" ref="X97:X99" si="51">+P97-T97</f>
        <v>96.040000000000077</v>
      </c>
      <c r="Y97" s="1"/>
      <c r="Z97" s="5">
        <f t="shared" ref="Z97:Z99" si="52">IF(T97=0,0,X97/T97)</f>
        <v>0.16008801173489812</v>
      </c>
    </row>
    <row r="98" spans="1:26" s="24" customFormat="1" hidden="1" outlineLevel="2" x14ac:dyDescent="0.25">
      <c r="A98" s="28"/>
      <c r="B98" s="11" t="str">
        <f>CONCATENATE("          ", "6282", " - ", "JANITORIAL/EXTERMINATOR EXPENS")</f>
        <v xml:space="preserve">          6282 - JANITORIAL/EXTERMINATOR EXPENS</v>
      </c>
      <c r="C98" s="11"/>
      <c r="D98" s="6">
        <v>44</v>
      </c>
      <c r="E98" s="2"/>
      <c r="F98" s="7">
        <f t="shared" si="45"/>
        <v>6.0544648651147785E-4</v>
      </c>
      <c r="G98" s="2"/>
      <c r="H98" s="6">
        <v>41.5</v>
      </c>
      <c r="I98" s="2"/>
      <c r="J98" s="7">
        <f t="shared" si="46"/>
        <v>5.87297698939312E-4</v>
      </c>
      <c r="K98" s="2"/>
      <c r="L98" s="6">
        <f t="shared" si="47"/>
        <v>2.5</v>
      </c>
      <c r="M98" s="2"/>
      <c r="N98" s="7">
        <f t="shared" si="48"/>
        <v>6.0240963855421686E-2</v>
      </c>
      <c r="O98" s="11"/>
      <c r="P98" s="6">
        <v>132</v>
      </c>
      <c r="Q98" s="2"/>
      <c r="R98" s="7">
        <f t="shared" si="49"/>
        <v>1.028365595187623E-3</v>
      </c>
      <c r="S98" s="2"/>
      <c r="T98" s="6">
        <v>83</v>
      </c>
      <c r="U98" s="2"/>
      <c r="V98" s="7">
        <f t="shared" si="50"/>
        <v>6.742001630427191E-4</v>
      </c>
      <c r="W98" s="2"/>
      <c r="X98" s="6">
        <f t="shared" si="51"/>
        <v>49</v>
      </c>
      <c r="Y98" s="2"/>
      <c r="Z98" s="7">
        <f t="shared" si="52"/>
        <v>0.59036144578313254</v>
      </c>
    </row>
    <row r="99" spans="1:26" s="24" customFormat="1" hidden="1" outlineLevel="2" x14ac:dyDescent="0.25">
      <c r="A99" s="28"/>
      <c r="B99" s="11" t="str">
        <f>CONCATENATE("          ", "6285", " - ", "JANITORIAL SERVICES")</f>
        <v xml:space="preserve">          6285 - JANITORIAL SERVICES</v>
      </c>
      <c r="C99" s="11"/>
      <c r="D99" s="6">
        <v>189.11</v>
      </c>
      <c r="E99" s="2"/>
      <c r="F99" s="7">
        <f t="shared" si="45"/>
        <v>2.6021814787314909E-3</v>
      </c>
      <c r="G99" s="2"/>
      <c r="H99" s="6">
        <v>127.12</v>
      </c>
      <c r="I99" s="2"/>
      <c r="J99" s="7">
        <f t="shared" si="46"/>
        <v>1.7989706864859119E-3</v>
      </c>
      <c r="K99" s="2"/>
      <c r="L99" s="6">
        <f t="shared" si="47"/>
        <v>61.990000000000009</v>
      </c>
      <c r="M99" s="2"/>
      <c r="N99" s="7">
        <f t="shared" si="48"/>
        <v>0.48764946507237261</v>
      </c>
      <c r="O99" s="11"/>
      <c r="P99" s="6">
        <v>563.96</v>
      </c>
      <c r="Q99" s="2"/>
      <c r="R99" s="7">
        <f t="shared" si="49"/>
        <v>4.393614098954635E-3</v>
      </c>
      <c r="S99" s="2"/>
      <c r="T99" s="6">
        <v>516.91999999999996</v>
      </c>
      <c r="U99" s="2"/>
      <c r="V99" s="7">
        <f t="shared" si="50"/>
        <v>4.1988861238559322E-3</v>
      </c>
      <c r="W99" s="2"/>
      <c r="X99" s="6">
        <f t="shared" si="51"/>
        <v>47.040000000000077</v>
      </c>
      <c r="Y99" s="2"/>
      <c r="Z99" s="7">
        <f t="shared" si="52"/>
        <v>9.100054166989105E-2</v>
      </c>
    </row>
    <row r="100" spans="1:26" s="29" customFormat="1" outlineLevel="1" collapsed="1" x14ac:dyDescent="0.25">
      <c r="A100" s="27"/>
      <c r="B100" s="14" t="str">
        <f>CONCATENATE("     ","Supplies                                          ")</f>
        <v xml:space="preserve">     Supplies                                          </v>
      </c>
      <c r="C100" s="14"/>
      <c r="D100" s="1">
        <f>SUM(OSRRefD22_10x_0)</f>
        <v>358.54</v>
      </c>
      <c r="E100" s="1"/>
      <c r="F100" s="5">
        <f t="shared" ref="F100:F103" si="53">IF(D$12=0,0,D100/D$12)</f>
        <v>4.9335632562233023E-3</v>
      </c>
      <c r="G100" s="1"/>
      <c r="H100" s="1">
        <f>SUM(OSRRefH22_10x_0)</f>
        <v>205.23</v>
      </c>
      <c r="I100" s="1"/>
      <c r="J100" s="5">
        <f t="shared" ref="J100:J103" si="54">IF(H$12=0,0,H100/H$12)</f>
        <v>2.9043640181521686E-3</v>
      </c>
      <c r="K100" s="1"/>
      <c r="L100" s="1">
        <f t="shared" ref="L100:L103" si="55">+D100-H100</f>
        <v>153.31000000000003</v>
      </c>
      <c r="M100" s="1"/>
      <c r="N100" s="5">
        <f t="shared" ref="N100:N103" si="56">IF(H100=0,0,L100/H100)</f>
        <v>0.74701554353652022</v>
      </c>
      <c r="O100" s="14"/>
      <c r="P100" s="1">
        <f>SUM(OSRRefP22_10x_0)</f>
        <v>373.63</v>
      </c>
      <c r="Q100" s="1"/>
      <c r="R100" s="5">
        <f t="shared" ref="R100:R103" si="57">IF(P$12=0,0,P100/P$12)</f>
        <v>2.9108199797723603E-3</v>
      </c>
      <c r="S100" s="1"/>
      <c r="T100" s="1">
        <f>SUM(OSRRefT22_10x_0)</f>
        <v>506.43</v>
      </c>
      <c r="U100" s="1"/>
      <c r="V100" s="5">
        <f t="shared" ref="V100:V103" si="58">IF(T$12=0,0,T100/T$12)</f>
        <v>4.1136769707195691E-3</v>
      </c>
      <c r="W100" s="1"/>
      <c r="X100" s="1">
        <f t="shared" ref="X100:X103" si="59">+P100-T100</f>
        <v>-132.80000000000001</v>
      </c>
      <c r="Y100" s="1"/>
      <c r="Z100" s="5">
        <f t="shared" ref="Z100:Z103" si="60">IF(T100=0,0,X100/T100)</f>
        <v>-0.26222775112058921</v>
      </c>
    </row>
    <row r="101" spans="1:26" s="24" customFormat="1" hidden="1" outlineLevel="2" x14ac:dyDescent="0.25">
      <c r="A101" s="28"/>
      <c r="B101" s="11" t="str">
        <f>CONCATENATE("          ", "6241", " - ", "OFFICE EXPENSE")</f>
        <v xml:space="preserve">          6241 - OFFICE EXPENSE</v>
      </c>
      <c r="C101" s="11"/>
      <c r="D101" s="6">
        <v>358.54</v>
      </c>
      <c r="E101" s="2"/>
      <c r="F101" s="7">
        <f t="shared" si="53"/>
        <v>4.9335632562233023E-3</v>
      </c>
      <c r="G101" s="2"/>
      <c r="H101" s="6">
        <v>205.23</v>
      </c>
      <c r="I101" s="2"/>
      <c r="J101" s="7">
        <f t="shared" si="54"/>
        <v>2.9043640181521686E-3</v>
      </c>
      <c r="K101" s="2"/>
      <c r="L101" s="6">
        <f t="shared" si="55"/>
        <v>153.31000000000003</v>
      </c>
      <c r="M101" s="2"/>
      <c r="N101" s="7">
        <f t="shared" si="56"/>
        <v>0.74701554353652022</v>
      </c>
      <c r="O101" s="11"/>
      <c r="P101" s="6">
        <v>373.63</v>
      </c>
      <c r="Q101" s="2"/>
      <c r="R101" s="7">
        <f t="shared" si="57"/>
        <v>2.9108199797723603E-3</v>
      </c>
      <c r="S101" s="2"/>
      <c r="T101" s="6">
        <v>506.43</v>
      </c>
      <c r="U101" s="2"/>
      <c r="V101" s="7">
        <f t="shared" si="58"/>
        <v>4.1136769707195691E-3</v>
      </c>
      <c r="W101" s="2"/>
      <c r="X101" s="6">
        <f t="shared" si="59"/>
        <v>-132.80000000000001</v>
      </c>
      <c r="Y101" s="2"/>
      <c r="Z101" s="7">
        <f t="shared" si="60"/>
        <v>-0.26222775112058921</v>
      </c>
    </row>
    <row r="102" spans="1:26" s="29" customFormat="1" outlineLevel="1" collapsed="1" x14ac:dyDescent="0.25">
      <c r="A102" s="27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SUM(OSRRefD22_11x_0)</f>
        <v>125</v>
      </c>
      <c r="E102" s="1"/>
      <c r="F102" s="5">
        <f t="shared" si="53"/>
        <v>1.7200184275894259E-3</v>
      </c>
      <c r="G102" s="1"/>
      <c r="H102" s="1">
        <f>SUM(OSRRefH22_11x_0)</f>
        <v>132</v>
      </c>
      <c r="I102" s="1"/>
      <c r="J102" s="5">
        <f t="shared" si="54"/>
        <v>1.8680312351804624E-3</v>
      </c>
      <c r="K102" s="1"/>
      <c r="L102" s="1">
        <f t="shared" si="55"/>
        <v>-7</v>
      </c>
      <c r="M102" s="1"/>
      <c r="N102" s="5">
        <f t="shared" si="56"/>
        <v>-5.3030303030303032E-2</v>
      </c>
      <c r="O102" s="14"/>
      <c r="P102" s="1">
        <f>SUM(OSRRefP22_11x_0)</f>
        <v>302.5</v>
      </c>
      <c r="Q102" s="1"/>
      <c r="R102" s="5">
        <f t="shared" si="57"/>
        <v>2.3566711556383024E-3</v>
      </c>
      <c r="S102" s="1"/>
      <c r="T102" s="1">
        <f>SUM(OSRRefT22_11x_0)</f>
        <v>240.35</v>
      </c>
      <c r="U102" s="1"/>
      <c r="V102" s="5">
        <f t="shared" si="58"/>
        <v>1.9523374600881631E-3</v>
      </c>
      <c r="W102" s="1"/>
      <c r="X102" s="1">
        <f t="shared" si="59"/>
        <v>62.150000000000006</v>
      </c>
      <c r="Y102" s="1"/>
      <c r="Z102" s="5">
        <f t="shared" si="60"/>
        <v>0.25858123569794056</v>
      </c>
    </row>
    <row r="103" spans="1:26" s="24" customFormat="1" hidden="1" outlineLevel="2" x14ac:dyDescent="0.25">
      <c r="A103" s="28"/>
      <c r="B103" s="11" t="str">
        <f>CONCATENATE("          ", "6309", " - ", "TELEPHONE")</f>
        <v xml:space="preserve">          6309 - TELEPHONE</v>
      </c>
      <c r="C103" s="11"/>
      <c r="D103" s="6">
        <v>125</v>
      </c>
      <c r="E103" s="2"/>
      <c r="F103" s="7">
        <f t="shared" si="53"/>
        <v>1.7200184275894259E-3</v>
      </c>
      <c r="G103" s="2"/>
      <c r="H103" s="6">
        <v>132</v>
      </c>
      <c r="I103" s="2"/>
      <c r="J103" s="7">
        <f t="shared" si="54"/>
        <v>1.8680312351804624E-3</v>
      </c>
      <c r="K103" s="2"/>
      <c r="L103" s="6">
        <f t="shared" si="55"/>
        <v>-7</v>
      </c>
      <c r="M103" s="2"/>
      <c r="N103" s="7">
        <f t="shared" si="56"/>
        <v>-5.3030303030303032E-2</v>
      </c>
      <c r="O103" s="11"/>
      <c r="P103" s="6">
        <v>302.5</v>
      </c>
      <c r="Q103" s="2"/>
      <c r="R103" s="7">
        <f t="shared" si="57"/>
        <v>2.3566711556383024E-3</v>
      </c>
      <c r="S103" s="2"/>
      <c r="T103" s="6">
        <v>240.35</v>
      </c>
      <c r="U103" s="2"/>
      <c r="V103" s="7">
        <f t="shared" si="58"/>
        <v>1.9523374600881631E-3</v>
      </c>
      <c r="W103" s="2"/>
      <c r="X103" s="6">
        <f t="shared" si="59"/>
        <v>62.150000000000006</v>
      </c>
      <c r="Y103" s="2"/>
      <c r="Z103" s="7">
        <f t="shared" si="60"/>
        <v>0.25858123569794056</v>
      </c>
    </row>
    <row r="104" spans="1:26" s="53" customFormat="1" x14ac:dyDescent="0.25">
      <c r="A104" s="37"/>
      <c r="B104" s="37"/>
      <c r="C104" s="37"/>
      <c r="D104" s="1"/>
      <c r="E104" s="1"/>
      <c r="F104" s="5"/>
      <c r="G104" s="1"/>
      <c r="H104" s="1"/>
      <c r="I104" s="1"/>
      <c r="J104" s="5"/>
      <c r="K104" s="1"/>
      <c r="L104" s="1"/>
      <c r="M104" s="1"/>
      <c r="N104" s="5"/>
      <c r="O104" s="37"/>
      <c r="P104" s="1"/>
      <c r="Q104" s="1"/>
      <c r="R104" s="5"/>
      <c r="S104" s="1"/>
      <c r="T104" s="1"/>
      <c r="U104" s="1"/>
      <c r="V104" s="5"/>
      <c r="W104" s="1"/>
      <c r="X104" s="1"/>
      <c r="Y104" s="1"/>
      <c r="Z104" s="5"/>
    </row>
    <row r="105" spans="1:26" s="23" customFormat="1" x14ac:dyDescent="0.25">
      <c r="A105" s="10"/>
      <c r="B105" s="25" t="s">
        <v>0</v>
      </c>
      <c r="C105" s="10"/>
      <c r="D105" s="4">
        <f>SUM(0)</f>
        <v>0</v>
      </c>
      <c r="E105" s="4"/>
      <c r="F105" s="12">
        <f>IF(D$12=0,0,D105/D$12)</f>
        <v>0</v>
      </c>
      <c r="G105" s="4"/>
      <c r="H105" s="4">
        <f>SUM(0)</f>
        <v>0</v>
      </c>
      <c r="I105" s="4"/>
      <c r="J105" s="12">
        <f>IF(H$12=0,0,H105/H$12)</f>
        <v>0</v>
      </c>
      <c r="K105" s="4"/>
      <c r="L105" s="4">
        <f>+D105-H105</f>
        <v>0</v>
      </c>
      <c r="M105" s="4"/>
      <c r="N105" s="12">
        <f>IF(H105=0,0,L105/H105)</f>
        <v>0</v>
      </c>
      <c r="O105" s="10"/>
      <c r="P105" s="4">
        <f>SUM(0)</f>
        <v>0</v>
      </c>
      <c r="Q105" s="4"/>
      <c r="R105" s="12">
        <f>IF(P$12=0,0,P105/P$12)</f>
        <v>0</v>
      </c>
      <c r="S105" s="4"/>
      <c r="T105" s="4">
        <f>SUM(0)</f>
        <v>0</v>
      </c>
      <c r="U105" s="4"/>
      <c r="V105" s="12">
        <f>IF(T$12=0,0,T105/T$12)</f>
        <v>0</v>
      </c>
      <c r="W105" s="4"/>
      <c r="X105" s="4">
        <f>+P105-T105</f>
        <v>0</v>
      </c>
      <c r="Y105" s="4"/>
      <c r="Z105" s="12">
        <f>IF(T105=0,0,X105/T105)</f>
        <v>0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6" t="s">
        <v>3</v>
      </c>
      <c r="C107" s="26"/>
      <c r="D107" s="21">
        <f>+D65-D67+D105</f>
        <v>23483.049999999996</v>
      </c>
      <c r="E107" s="13"/>
      <c r="F107" s="20">
        <f>IF(D$12=0,0,D107/D$12)</f>
        <v>0.32313022988803086</v>
      </c>
      <c r="G107" s="13"/>
      <c r="H107" s="21">
        <f>+H65-H67+H105</f>
        <v>20796.409999999996</v>
      </c>
      <c r="I107" s="13"/>
      <c r="J107" s="20">
        <f>IF(H$12=0,0,H107/H$12)</f>
        <v>0.29430563226984324</v>
      </c>
      <c r="K107" s="15"/>
      <c r="L107" s="21">
        <f>+D107-H107</f>
        <v>2686.6399999999994</v>
      </c>
      <c r="M107" s="15"/>
      <c r="N107" s="20">
        <f>IF(H107=0,0,L107/H107)</f>
        <v>0.12918768191240698</v>
      </c>
      <c r="O107" s="25"/>
      <c r="P107" s="21">
        <f>+P65-P67+P105</f>
        <v>30313.299999999992</v>
      </c>
      <c r="Q107" s="13"/>
      <c r="R107" s="20">
        <f>IF(P$12=0,0,P107/P$12)</f>
        <v>0.23616026361061335</v>
      </c>
      <c r="S107" s="13"/>
      <c r="T107" s="21">
        <f>+T65-T67+T105</f>
        <v>23329.87999999999</v>
      </c>
      <c r="U107" s="13"/>
      <c r="V107" s="20">
        <f>IF(T$12=0,0,T107/T$12)</f>
        <v>0.18950613132249478</v>
      </c>
      <c r="W107" s="15"/>
      <c r="X107" s="21">
        <f>+P107-T107</f>
        <v>6983.4200000000019</v>
      </c>
      <c r="Y107" s="15"/>
      <c r="Z107" s="20">
        <f>IF(T107=0,0,X107/T107)</f>
        <v>0.29933372996346336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1"/>
      <c r="B109" s="10" t="s">
        <v>13</v>
      </c>
      <c r="C109" s="10"/>
      <c r="D109" s="4">
        <v>6844.51</v>
      </c>
      <c r="E109" s="4"/>
      <c r="F109" s="12">
        <f>IF(D$12=0,0,D109/D$12)</f>
        <v>9.4181466622560814E-2</v>
      </c>
      <c r="G109" s="4"/>
      <c r="H109" s="4">
        <v>5583.35</v>
      </c>
      <c r="I109" s="4"/>
      <c r="J109" s="12">
        <f>IF(H$12=0,0,H109/H$12)</f>
        <v>7.9014183310188141E-2</v>
      </c>
      <c r="K109" s="4"/>
      <c r="L109" s="4">
        <f>+D109-H109</f>
        <v>1261.1599999999999</v>
      </c>
      <c r="M109" s="4"/>
      <c r="N109" s="12">
        <f>IF(H109=0,0,L109/H109)</f>
        <v>0.22587872872021272</v>
      </c>
      <c r="O109" s="10"/>
      <c r="P109" s="4">
        <v>13787.46</v>
      </c>
      <c r="Q109" s="4"/>
      <c r="R109" s="12">
        <f>IF(P$12=0,0,P109/P$12)</f>
        <v>0.10741325385625411</v>
      </c>
      <c r="S109" s="4"/>
      <c r="T109" s="4">
        <v>10937.86</v>
      </c>
      <c r="U109" s="4"/>
      <c r="V109" s="12">
        <f>IF(T$12=0,0,T109/T$12)</f>
        <v>8.8847072232993207E-2</v>
      </c>
      <c r="W109" s="4"/>
      <c r="X109" s="4">
        <f>+P109-T109</f>
        <v>2849.5999999999985</v>
      </c>
      <c r="Y109" s="4"/>
      <c r="Z109" s="12">
        <f>IF(T109=0,0,X109/T109)</f>
        <v>0.26052628210637169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6" t="s">
        <v>4</v>
      </c>
      <c r="C111" s="26"/>
      <c r="D111" s="35">
        <f>+D107-D109</f>
        <v>16638.539999999994</v>
      </c>
      <c r="E111" s="13"/>
      <c r="F111" s="30">
        <f>IF(D$12=0,0,D111/D$12)</f>
        <v>0.22894876326547003</v>
      </c>
      <c r="G111" s="13"/>
      <c r="H111" s="35">
        <f>+H107-H109</f>
        <v>15213.059999999996</v>
      </c>
      <c r="I111" s="13"/>
      <c r="J111" s="30">
        <f>IF(H$12=0,0,H111/H$12)</f>
        <v>0.21529144895965513</v>
      </c>
      <c r="K111" s="15"/>
      <c r="L111" s="35">
        <f>D111-H111</f>
        <v>1425.4799999999977</v>
      </c>
      <c r="M111" s="15"/>
      <c r="N111" s="30">
        <f>IF(H111=0,0,L111/H111)</f>
        <v>9.3701070001695794E-2</v>
      </c>
      <c r="O111" s="25"/>
      <c r="P111" s="35">
        <f>+P107-P109</f>
        <v>16525.839999999993</v>
      </c>
      <c r="Q111" s="13"/>
      <c r="R111" s="30">
        <f>IF(P$12=0,0,P111/P$12)</f>
        <v>0.12874700975435924</v>
      </c>
      <c r="S111" s="13"/>
      <c r="T111" s="35">
        <f>+T107-T109</f>
        <v>12392.01999999999</v>
      </c>
      <c r="U111" s="13"/>
      <c r="V111" s="30">
        <f>IF(T$12=0,0,T111/T$12)</f>
        <v>0.10065905908950155</v>
      </c>
      <c r="W111" s="15"/>
      <c r="X111" s="35">
        <f>P111-T111</f>
        <v>4133.8200000000033</v>
      </c>
      <c r="Y111" s="15"/>
      <c r="Z111" s="30">
        <f>IF(T111=0,0,X111/T111)</f>
        <v>0.33358726018841212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6" t="s">
        <v>5</v>
      </c>
      <c r="C114" s="26"/>
      <c r="D114" s="36">
        <f>SUM(D111:D113)</f>
        <v>16638.539999999994</v>
      </c>
      <c r="E114" s="13"/>
      <c r="F114" s="31">
        <f>IF(D$12=0,0,D114/D$12)</f>
        <v>0.22894876326547003</v>
      </c>
      <c r="G114" s="13"/>
      <c r="H114" s="36">
        <f>SUM(H111:H113)</f>
        <v>15213.059999999996</v>
      </c>
      <c r="I114" s="13"/>
      <c r="J114" s="31">
        <f>IF(H$12=0,0,H114/H$12)</f>
        <v>0.21529144895965513</v>
      </c>
      <c r="K114" s="15"/>
      <c r="L114" s="36">
        <f>+D114-H114</f>
        <v>1425.4799999999977</v>
      </c>
      <c r="M114" s="15"/>
      <c r="N114" s="31">
        <f>IF(H114=0,0,L114/H114)</f>
        <v>9.3701070001695794E-2</v>
      </c>
      <c r="O114" s="25"/>
      <c r="P114" s="36">
        <f>SUM(P111:P113)</f>
        <v>16525.839999999993</v>
      </c>
      <c r="Q114" s="13"/>
      <c r="R114" s="31">
        <f>IF(P$12=0,0,P114/P$12)</f>
        <v>0.12874700975435924</v>
      </c>
      <c r="S114" s="13"/>
      <c r="T114" s="36">
        <f>SUM(T111:T113)</f>
        <v>12392.01999999999</v>
      </c>
      <c r="U114" s="13"/>
      <c r="V114" s="31">
        <f>IF(T$12=0,0,T114/T$12)</f>
        <v>0.10065905908950155</v>
      </c>
      <c r="W114" s="15"/>
      <c r="X114" s="36">
        <f>+P114-T114</f>
        <v>4133.8200000000033</v>
      </c>
      <c r="Y114" s="15"/>
      <c r="Z114" s="31">
        <f>IF(T114=0,0,X114/T114)</f>
        <v>0.33358726018841212</v>
      </c>
    </row>
    <row r="115" spans="1:26" ht="15.75" thickTop="1" x14ac:dyDescent="0.25">
      <c r="A115" s="9"/>
      <c r="C115" s="9"/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6" x14ac:dyDescent="0.25">
      <c r="A116" s="9"/>
      <c r="B116" s="55">
        <v>43756.462941516205</v>
      </c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6" x14ac:dyDescent="0.25">
      <c r="A117" s="9"/>
      <c r="B117" s="56" t="s">
        <v>313</v>
      </c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57"/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","314", " - ", "Supplies")</f>
        <v>Department 314 - Supplies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65954.300000000017</v>
      </c>
      <c r="E12" s="4"/>
      <c r="F12" s="12"/>
      <c r="G12" s="4"/>
      <c r="H12" s="4">
        <f>SUM(OSRRefH13x_0)</f>
        <v>64285.17</v>
      </c>
      <c r="I12" s="4"/>
      <c r="J12" s="12"/>
      <c r="K12" s="4"/>
      <c r="L12" s="4">
        <f t="shared" ref="L12:L33" si="0">+D12-H12</f>
        <v>1669.1300000000192</v>
      </c>
      <c r="M12" s="4"/>
      <c r="N12" s="12">
        <f t="shared" ref="N12:N33" si="1">IF(H12=0,0,L12/H12)</f>
        <v>2.5964464276908954E-2</v>
      </c>
      <c r="O12" s="10"/>
      <c r="P12" s="4">
        <f>SUM(OSRRefP13x_0)</f>
        <v>162369.93000000005</v>
      </c>
      <c r="Q12" s="4"/>
      <c r="R12" s="12"/>
      <c r="S12" s="4"/>
      <c r="T12" s="4">
        <f>SUM(OSRRefT13x_0)</f>
        <v>158911.59000000003</v>
      </c>
      <c r="U12" s="4"/>
      <c r="V12" s="12"/>
      <c r="W12" s="4"/>
      <c r="X12" s="4">
        <f t="shared" ref="X12:X33" si="2">+P12-T12</f>
        <v>3458.3400000000256</v>
      </c>
      <c r="Y12" s="4"/>
      <c r="Z12" s="12">
        <f t="shared" ref="Z12:Z33" si="3">IF(T12=0,0,X12/T12)</f>
        <v>2.1762666901766103E-2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>--48.92</f>
        <v>48.92</v>
      </c>
      <c r="E13" s="2"/>
      <c r="F13" s="19"/>
      <c r="G13" s="2"/>
      <c r="H13" s="2">
        <f>--8.94</f>
        <v>8.94</v>
      </c>
      <c r="I13" s="2"/>
      <c r="J13" s="19"/>
      <c r="K13" s="2"/>
      <c r="L13" s="2">
        <f t="shared" si="0"/>
        <v>39.980000000000004</v>
      </c>
      <c r="M13" s="2"/>
      <c r="N13" s="19">
        <f t="shared" si="1"/>
        <v>4.4720357941834461</v>
      </c>
      <c r="O13" s="11"/>
      <c r="P13" s="2">
        <f>--206.22</f>
        <v>206.22</v>
      </c>
      <c r="Q13" s="2"/>
      <c r="R13" s="19"/>
      <c r="S13" s="2"/>
      <c r="T13" s="2">
        <f>--609.29</f>
        <v>609.29</v>
      </c>
      <c r="U13" s="2"/>
      <c r="V13" s="19"/>
      <c r="W13" s="2"/>
      <c r="X13" s="2">
        <f t="shared" si="2"/>
        <v>-403.06999999999994</v>
      </c>
      <c r="Y13" s="2"/>
      <c r="Z13" s="19">
        <f t="shared" si="3"/>
        <v>-0.66154048154409228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--14.95</f>
        <v>14.95</v>
      </c>
      <c r="Q14" s="2"/>
      <c r="R14" s="19"/>
      <c r="S14" s="2"/>
      <c r="T14" s="2">
        <f>0</f>
        <v>0</v>
      </c>
      <c r="U14" s="2"/>
      <c r="V14" s="19"/>
      <c r="W14" s="2"/>
      <c r="X14" s="2">
        <f t="shared" si="2"/>
        <v>14.95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--11441.5</f>
        <v>11441.5</v>
      </c>
      <c r="E15" s="2"/>
      <c r="F15" s="19"/>
      <c r="G15" s="2"/>
      <c r="H15" s="2">
        <f>--11228.71</f>
        <v>11228.71</v>
      </c>
      <c r="I15" s="2"/>
      <c r="J15" s="19"/>
      <c r="K15" s="2"/>
      <c r="L15" s="2">
        <f t="shared" si="0"/>
        <v>212.79000000000087</v>
      </c>
      <c r="M15" s="2"/>
      <c r="N15" s="19">
        <f t="shared" si="1"/>
        <v>1.895052949092112E-2</v>
      </c>
      <c r="O15" s="11"/>
      <c r="P15" s="2">
        <f>--15797.31</f>
        <v>15797.31</v>
      </c>
      <c r="Q15" s="2"/>
      <c r="R15" s="19"/>
      <c r="S15" s="2"/>
      <c r="T15" s="2">
        <f>--16072.31</f>
        <v>16072.31</v>
      </c>
      <c r="U15" s="2"/>
      <c r="V15" s="19"/>
      <c r="W15" s="2"/>
      <c r="X15" s="2">
        <f t="shared" si="2"/>
        <v>-275</v>
      </c>
      <c r="Y15" s="2"/>
      <c r="Z15" s="19">
        <f t="shared" si="3"/>
        <v>-1.7110172713194309E-2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--10856.45</f>
        <v>10856.45</v>
      </c>
      <c r="E16" s="2"/>
      <c r="F16" s="19"/>
      <c r="G16" s="2"/>
      <c r="H16" s="2">
        <f>--9823.66</f>
        <v>9823.66</v>
      </c>
      <c r="I16" s="2"/>
      <c r="J16" s="19"/>
      <c r="K16" s="2"/>
      <c r="L16" s="2">
        <f t="shared" si="0"/>
        <v>1032.7900000000009</v>
      </c>
      <c r="M16" s="2"/>
      <c r="N16" s="19">
        <f t="shared" si="1"/>
        <v>0.10513291380198428</v>
      </c>
      <c r="O16" s="11"/>
      <c r="P16" s="2">
        <f>--22895.01</f>
        <v>22895.01</v>
      </c>
      <c r="Q16" s="2"/>
      <c r="R16" s="19"/>
      <c r="S16" s="2"/>
      <c r="T16" s="2">
        <f>--21595.92</f>
        <v>21595.919999999998</v>
      </c>
      <c r="U16" s="2"/>
      <c r="V16" s="19"/>
      <c r="W16" s="2"/>
      <c r="X16" s="2">
        <f t="shared" si="2"/>
        <v>1299.0900000000001</v>
      </c>
      <c r="Y16" s="2"/>
      <c r="Z16" s="19">
        <f t="shared" si="3"/>
        <v>6.0154418056744062E-2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--43126.62</f>
        <v>43126.62</v>
      </c>
      <c r="E17" s="2"/>
      <c r="F17" s="19"/>
      <c r="G17" s="2"/>
      <c r="H17" s="2">
        <f>--40714.84</f>
        <v>40714.839999999997</v>
      </c>
      <c r="I17" s="2"/>
      <c r="J17" s="19"/>
      <c r="K17" s="2"/>
      <c r="L17" s="2">
        <f t="shared" si="0"/>
        <v>2411.7800000000061</v>
      </c>
      <c r="M17" s="2"/>
      <c r="N17" s="19">
        <f t="shared" si="1"/>
        <v>5.9235895314828854E-2</v>
      </c>
      <c r="O17" s="11"/>
      <c r="P17" s="2">
        <f>--118850.36</f>
        <v>118850.36</v>
      </c>
      <c r="Q17" s="2"/>
      <c r="R17" s="19"/>
      <c r="S17" s="2"/>
      <c r="T17" s="2">
        <f>--112494.5</f>
        <v>112494.5</v>
      </c>
      <c r="U17" s="2"/>
      <c r="V17" s="19"/>
      <c r="W17" s="2"/>
      <c r="X17" s="2">
        <f t="shared" si="2"/>
        <v>6355.8600000000006</v>
      </c>
      <c r="Y17" s="2"/>
      <c r="Z17" s="19">
        <f t="shared" si="3"/>
        <v>5.6499295521114372E-2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--1966.07</f>
        <v>1966.07</v>
      </c>
      <c r="E18" s="2"/>
      <c r="F18" s="19"/>
      <c r="G18" s="2"/>
      <c r="H18" s="2">
        <f>--1328.56</f>
        <v>1328.56</v>
      </c>
      <c r="I18" s="2"/>
      <c r="J18" s="19"/>
      <c r="K18" s="2"/>
      <c r="L18" s="2">
        <f t="shared" si="0"/>
        <v>637.51</v>
      </c>
      <c r="M18" s="2"/>
      <c r="N18" s="19">
        <f t="shared" si="1"/>
        <v>0.47985036430420908</v>
      </c>
      <c r="O18" s="11"/>
      <c r="P18" s="2">
        <f>--4130.53</f>
        <v>4130.53</v>
      </c>
      <c r="Q18" s="2"/>
      <c r="R18" s="19"/>
      <c r="S18" s="2"/>
      <c r="T18" s="2">
        <f>--3599.79</f>
        <v>3599.79</v>
      </c>
      <c r="U18" s="2"/>
      <c r="V18" s="19"/>
      <c r="W18" s="2"/>
      <c r="X18" s="2">
        <f t="shared" si="2"/>
        <v>530.73999999999978</v>
      </c>
      <c r="Y18" s="2"/>
      <c r="Z18" s="19">
        <f t="shared" si="3"/>
        <v>0.14743637823317465</v>
      </c>
    </row>
    <row r="19" spans="1:26" s="24" customFormat="1" hidden="1" outlineLevel="1" x14ac:dyDescent="0.2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>--9.27</f>
        <v>9.27</v>
      </c>
      <c r="E19" s="2"/>
      <c r="F19" s="19"/>
      <c r="G19" s="2"/>
      <c r="H19" s="2">
        <f>--126.86</f>
        <v>126.86</v>
      </c>
      <c r="I19" s="2"/>
      <c r="J19" s="19"/>
      <c r="K19" s="2"/>
      <c r="L19" s="2">
        <f t="shared" si="0"/>
        <v>-117.59</v>
      </c>
      <c r="M19" s="2"/>
      <c r="N19" s="19">
        <f t="shared" si="1"/>
        <v>-0.92692732145672396</v>
      </c>
      <c r="O19" s="11"/>
      <c r="P19" s="2">
        <f>--16.2</f>
        <v>16.2</v>
      </c>
      <c r="Q19" s="2"/>
      <c r="R19" s="19"/>
      <c r="S19" s="2"/>
      <c r="T19" s="2">
        <f>--208.81</f>
        <v>208.81</v>
      </c>
      <c r="U19" s="2"/>
      <c r="V19" s="19"/>
      <c r="W19" s="2"/>
      <c r="X19" s="2">
        <f t="shared" si="2"/>
        <v>-192.61</v>
      </c>
      <c r="Y19" s="2"/>
      <c r="Z19" s="19">
        <f t="shared" si="3"/>
        <v>-0.92241750874000294</v>
      </c>
    </row>
    <row r="20" spans="1:26" s="24" customFormat="1" hidden="1" outlineLevel="1" x14ac:dyDescent="0.2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>--42.03</f>
        <v>42.03</v>
      </c>
      <c r="E20" s="2"/>
      <c r="F20" s="19"/>
      <c r="G20" s="2"/>
      <c r="H20" s="2">
        <f>--51.94</f>
        <v>51.94</v>
      </c>
      <c r="I20" s="2"/>
      <c r="J20" s="19"/>
      <c r="K20" s="2"/>
      <c r="L20" s="2">
        <f t="shared" si="0"/>
        <v>-9.9099999999999966</v>
      </c>
      <c r="M20" s="2"/>
      <c r="N20" s="19">
        <f t="shared" si="1"/>
        <v>-0.19079707354639963</v>
      </c>
      <c r="O20" s="11"/>
      <c r="P20" s="2">
        <f>--124.18</f>
        <v>124.18</v>
      </c>
      <c r="Q20" s="2"/>
      <c r="R20" s="19"/>
      <c r="S20" s="2"/>
      <c r="T20" s="2">
        <f>--160.73</f>
        <v>160.72999999999999</v>
      </c>
      <c r="U20" s="2"/>
      <c r="V20" s="19"/>
      <c r="W20" s="2"/>
      <c r="X20" s="2">
        <f t="shared" si="2"/>
        <v>-36.549999999999983</v>
      </c>
      <c r="Y20" s="2"/>
      <c r="Z20" s="19">
        <f t="shared" si="3"/>
        <v>-0.22739998755677213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>--332.14</f>
        <v>332.14</v>
      </c>
      <c r="E21" s="2"/>
      <c r="F21" s="19"/>
      <c r="G21" s="2"/>
      <c r="H21" s="2">
        <f>--512.7</f>
        <v>512.70000000000005</v>
      </c>
      <c r="I21" s="2"/>
      <c r="J21" s="19"/>
      <c r="K21" s="2"/>
      <c r="L21" s="2">
        <f t="shared" si="0"/>
        <v>-180.56000000000006</v>
      </c>
      <c r="M21" s="2"/>
      <c r="N21" s="19">
        <f t="shared" si="1"/>
        <v>-0.35217476106885126</v>
      </c>
      <c r="O21" s="11"/>
      <c r="P21" s="2">
        <f>--1343.26</f>
        <v>1343.26</v>
      </c>
      <c r="Q21" s="2"/>
      <c r="R21" s="19"/>
      <c r="S21" s="2"/>
      <c r="T21" s="2">
        <f>--1693.67</f>
        <v>1693.67</v>
      </c>
      <c r="U21" s="2"/>
      <c r="V21" s="19"/>
      <c r="W21" s="2"/>
      <c r="X21" s="2">
        <f t="shared" si="2"/>
        <v>-350.41000000000008</v>
      </c>
      <c r="Y21" s="2"/>
      <c r="Z21" s="19">
        <f t="shared" si="3"/>
        <v>-0.20689390495196824</v>
      </c>
    </row>
    <row r="22" spans="1:26" s="24" customFormat="1" hidden="1" outlineLevel="1" x14ac:dyDescent="0.2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>--536.13</f>
        <v>536.13</v>
      </c>
      <c r="E22" s="2"/>
      <c r="F22" s="19"/>
      <c r="G22" s="2"/>
      <c r="H22" s="2">
        <f>--629.68</f>
        <v>629.67999999999995</v>
      </c>
      <c r="I22" s="2"/>
      <c r="J22" s="19"/>
      <c r="K22" s="2"/>
      <c r="L22" s="2">
        <f t="shared" si="0"/>
        <v>-93.549999999999955</v>
      </c>
      <c r="M22" s="2"/>
      <c r="N22" s="19">
        <f t="shared" si="1"/>
        <v>-0.14856752636259682</v>
      </c>
      <c r="O22" s="11"/>
      <c r="P22" s="2">
        <f>--2406.41</f>
        <v>2406.41</v>
      </c>
      <c r="Q22" s="2"/>
      <c r="R22" s="19"/>
      <c r="S22" s="2"/>
      <c r="T22" s="2">
        <f>--2526.44</f>
        <v>2526.44</v>
      </c>
      <c r="U22" s="2"/>
      <c r="V22" s="19"/>
      <c r="W22" s="2"/>
      <c r="X22" s="2">
        <f t="shared" si="2"/>
        <v>-120.0300000000002</v>
      </c>
      <c r="Y22" s="2"/>
      <c r="Z22" s="19">
        <f t="shared" si="3"/>
        <v>-4.7509539114326954E-2</v>
      </c>
    </row>
    <row r="23" spans="1:26" s="24" customFormat="1" hidden="1" outlineLevel="1" x14ac:dyDescent="0.2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>--90.59</f>
        <v>90.59</v>
      </c>
      <c r="E23" s="2"/>
      <c r="F23" s="19"/>
      <c r="G23" s="2"/>
      <c r="H23" s="2">
        <f>--113.16</f>
        <v>113.16</v>
      </c>
      <c r="I23" s="2"/>
      <c r="J23" s="19"/>
      <c r="K23" s="2"/>
      <c r="L23" s="2">
        <f t="shared" si="0"/>
        <v>-22.569999999999993</v>
      </c>
      <c r="M23" s="2"/>
      <c r="N23" s="19">
        <f t="shared" si="1"/>
        <v>-0.19945210321668427</v>
      </c>
      <c r="O23" s="11"/>
      <c r="P23" s="2">
        <f>--220.69</f>
        <v>220.69</v>
      </c>
      <c r="Q23" s="2"/>
      <c r="R23" s="19"/>
      <c r="S23" s="2"/>
      <c r="T23" s="2">
        <f>--309.61</f>
        <v>309.61</v>
      </c>
      <c r="U23" s="2"/>
      <c r="V23" s="19"/>
      <c r="W23" s="2"/>
      <c r="X23" s="2">
        <f t="shared" si="2"/>
        <v>-88.920000000000016</v>
      </c>
      <c r="Y23" s="2"/>
      <c r="Z23" s="19">
        <f t="shared" si="3"/>
        <v>-0.28720002583895871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>--241.07</f>
        <v>241.07</v>
      </c>
      <c r="E24" s="2"/>
      <c r="F24" s="19"/>
      <c r="G24" s="2"/>
      <c r="H24" s="2">
        <f>--355.32</f>
        <v>355.32</v>
      </c>
      <c r="I24" s="2"/>
      <c r="J24" s="19"/>
      <c r="K24" s="2"/>
      <c r="L24" s="2">
        <f t="shared" si="0"/>
        <v>-114.25</v>
      </c>
      <c r="M24" s="2"/>
      <c r="N24" s="19">
        <f t="shared" si="1"/>
        <v>-0.32154114600923112</v>
      </c>
      <c r="O24" s="11"/>
      <c r="P24" s="2">
        <f>--505</f>
        <v>505</v>
      </c>
      <c r="Q24" s="2"/>
      <c r="R24" s="19"/>
      <c r="S24" s="2"/>
      <c r="T24" s="2">
        <f>--727.27</f>
        <v>727.27</v>
      </c>
      <c r="U24" s="2"/>
      <c r="V24" s="19"/>
      <c r="W24" s="2"/>
      <c r="X24" s="2">
        <f t="shared" si="2"/>
        <v>-222.26999999999998</v>
      </c>
      <c r="Y24" s="2"/>
      <c r="Z24" s="19">
        <f t="shared" si="3"/>
        <v>-0.30562239608398528</v>
      </c>
    </row>
    <row r="25" spans="1:26" s="24" customFormat="1" hidden="1" outlineLevel="1" x14ac:dyDescent="0.2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>--399.15</f>
        <v>399.15</v>
      </c>
      <c r="E25" s="2"/>
      <c r="F25" s="19"/>
      <c r="G25" s="2"/>
      <c r="H25" s="2">
        <f>--394.76</f>
        <v>394.76</v>
      </c>
      <c r="I25" s="2"/>
      <c r="J25" s="19"/>
      <c r="K25" s="2"/>
      <c r="L25" s="2">
        <f t="shared" si="0"/>
        <v>4.3899999999999864</v>
      </c>
      <c r="M25" s="2"/>
      <c r="N25" s="19">
        <f t="shared" si="1"/>
        <v>1.1120680920052656E-2</v>
      </c>
      <c r="O25" s="11"/>
      <c r="P25" s="2">
        <f>--872.35</f>
        <v>872.35</v>
      </c>
      <c r="Q25" s="2"/>
      <c r="R25" s="19"/>
      <c r="S25" s="2"/>
      <c r="T25" s="2">
        <f>--943.67</f>
        <v>943.67</v>
      </c>
      <c r="U25" s="2"/>
      <c r="V25" s="19"/>
      <c r="W25" s="2"/>
      <c r="X25" s="2">
        <f t="shared" si="2"/>
        <v>-71.319999999999936</v>
      </c>
      <c r="Y25" s="2"/>
      <c r="Z25" s="19">
        <f t="shared" si="3"/>
        <v>-7.5577267476978113E-2</v>
      </c>
    </row>
    <row r="26" spans="1:26" s="24" customFormat="1" hidden="1" outlineLevel="1" x14ac:dyDescent="0.2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>--3.59</f>
        <v>3.59</v>
      </c>
      <c r="E26" s="2"/>
      <c r="F26" s="19"/>
      <c r="G26" s="2"/>
      <c r="H26" s="2">
        <f>--19.67</f>
        <v>19.670000000000002</v>
      </c>
      <c r="I26" s="2"/>
      <c r="J26" s="19"/>
      <c r="K26" s="2"/>
      <c r="L26" s="2">
        <f t="shared" si="0"/>
        <v>-16.080000000000002</v>
      </c>
      <c r="M26" s="2"/>
      <c r="N26" s="19">
        <f t="shared" si="1"/>
        <v>-0.81748856126080327</v>
      </c>
      <c r="O26" s="11"/>
      <c r="P26" s="2">
        <f>--50.16</f>
        <v>50.16</v>
      </c>
      <c r="Q26" s="2"/>
      <c r="R26" s="19"/>
      <c r="S26" s="2"/>
      <c r="T26" s="2">
        <f>--32.67</f>
        <v>32.67</v>
      </c>
      <c r="U26" s="2"/>
      <c r="V26" s="19"/>
      <c r="W26" s="2"/>
      <c r="X26" s="2">
        <f t="shared" si="2"/>
        <v>17.489999999999995</v>
      </c>
      <c r="Y26" s="2"/>
      <c r="Z26" s="19">
        <f t="shared" si="3"/>
        <v>0.53535353535353514</v>
      </c>
    </row>
    <row r="27" spans="1:26" s="24" customFormat="1" hidden="1" outlineLevel="1" x14ac:dyDescent="0.25">
      <c r="A27" s="44"/>
      <c r="B27" s="11" t="str">
        <f>CONCATENATE("          ", "4217", " - ", "NON-TAXABLE SALES-DORM/HOUSEWA")</f>
        <v xml:space="preserve">          4217 - NON-TAXABLE SALES-DORM/HOUSEWA</v>
      </c>
      <c r="C27" s="11"/>
      <c r="D27" s="2">
        <f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-1.5</f>
        <v>-1.5</v>
      </c>
      <c r="U27" s="2"/>
      <c r="V27" s="19"/>
      <c r="W27" s="2"/>
      <c r="X27" s="2">
        <f t="shared" si="2"/>
        <v>1.5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>-20.41</f>
        <v>-20.41</v>
      </c>
      <c r="E28" s="2"/>
      <c r="F28" s="19"/>
      <c r="G28" s="2"/>
      <c r="H28" s="2">
        <f>-23.53</f>
        <v>-23.53</v>
      </c>
      <c r="I28" s="2"/>
      <c r="J28" s="19"/>
      <c r="K28" s="2"/>
      <c r="L28" s="2">
        <f t="shared" si="0"/>
        <v>3.120000000000001</v>
      </c>
      <c r="M28" s="2"/>
      <c r="N28" s="19">
        <f t="shared" si="1"/>
        <v>-0.13259668508287295</v>
      </c>
      <c r="O28" s="11"/>
      <c r="P28" s="2">
        <f>-33.1</f>
        <v>-33.1</v>
      </c>
      <c r="Q28" s="2"/>
      <c r="R28" s="19"/>
      <c r="S28" s="2"/>
      <c r="T28" s="2">
        <f>-37.33</f>
        <v>-37.33</v>
      </c>
      <c r="U28" s="2"/>
      <c r="V28" s="19"/>
      <c r="W28" s="2"/>
      <c r="X28" s="2">
        <f t="shared" si="2"/>
        <v>4.2299999999999969</v>
      </c>
      <c r="Y28" s="2"/>
      <c r="Z28" s="19">
        <f t="shared" si="3"/>
        <v>-0.11331368872220726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>-181.87</f>
        <v>-181.87</v>
      </c>
      <c r="E29" s="2"/>
      <c r="F29" s="19"/>
      <c r="G29" s="2"/>
      <c r="H29" s="2">
        <f>-42.45</f>
        <v>-42.45</v>
      </c>
      <c r="I29" s="2"/>
      <c r="J29" s="19"/>
      <c r="K29" s="2"/>
      <c r="L29" s="2">
        <f t="shared" si="0"/>
        <v>-139.42000000000002</v>
      </c>
      <c r="M29" s="2"/>
      <c r="N29" s="19">
        <f t="shared" si="1"/>
        <v>3.2843345111896349</v>
      </c>
      <c r="O29" s="11"/>
      <c r="P29" s="2">
        <f>-306.08</f>
        <v>-306.08</v>
      </c>
      <c r="Q29" s="2"/>
      <c r="R29" s="19"/>
      <c r="S29" s="2"/>
      <c r="T29" s="2">
        <f>-111.69</f>
        <v>-111.69</v>
      </c>
      <c r="U29" s="2"/>
      <c r="V29" s="19"/>
      <c r="W29" s="2"/>
      <c r="X29" s="2">
        <f t="shared" si="2"/>
        <v>-194.39</v>
      </c>
      <c r="Y29" s="2"/>
      <c r="Z29" s="19">
        <f t="shared" si="3"/>
        <v>1.740442295639717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>-2793.28</f>
        <v>-2793.28</v>
      </c>
      <c r="E30" s="2"/>
      <c r="F30" s="19"/>
      <c r="G30" s="2"/>
      <c r="H30" s="2">
        <f>-951.89</f>
        <v>-951.89</v>
      </c>
      <c r="I30" s="2"/>
      <c r="J30" s="19"/>
      <c r="K30" s="2"/>
      <c r="L30" s="2">
        <f t="shared" si="0"/>
        <v>-1841.3900000000003</v>
      </c>
      <c r="M30" s="2"/>
      <c r="N30" s="19">
        <f t="shared" si="1"/>
        <v>1.9344567124352607</v>
      </c>
      <c r="O30" s="11"/>
      <c r="P30" s="2">
        <f>-4479.41</f>
        <v>-4479.41</v>
      </c>
      <c r="Q30" s="2"/>
      <c r="R30" s="19"/>
      <c r="S30" s="2"/>
      <c r="T30" s="2">
        <f>-1901.23</f>
        <v>-1901.23</v>
      </c>
      <c r="U30" s="2"/>
      <c r="V30" s="19"/>
      <c r="W30" s="2"/>
      <c r="X30" s="2">
        <f t="shared" si="2"/>
        <v>-2578.1799999999998</v>
      </c>
      <c r="Y30" s="2"/>
      <c r="Z30" s="19">
        <f t="shared" si="3"/>
        <v>1.3560589723494789</v>
      </c>
    </row>
    <row r="31" spans="1:26" s="24" customFormat="1" hidden="1" outlineLevel="1" x14ac:dyDescent="0.25">
      <c r="A31" s="44"/>
      <c r="B31" s="11" t="str">
        <f>CONCATENATE("          ", "4228", " - ", "SALES RETURN TAXABLE-ART/TECH")</f>
        <v xml:space="preserve">          4228 - SALES RETURN TAXABLE-ART/TECH</v>
      </c>
      <c r="C31" s="11"/>
      <c r="D31" s="2">
        <f>-135.38</f>
        <v>-135.38</v>
      </c>
      <c r="E31" s="2"/>
      <c r="F31" s="19"/>
      <c r="G31" s="2"/>
      <c r="H31" s="2">
        <f>-5.76</f>
        <v>-5.76</v>
      </c>
      <c r="I31" s="2"/>
      <c r="J31" s="19"/>
      <c r="K31" s="2"/>
      <c r="L31" s="2">
        <f t="shared" si="0"/>
        <v>-129.62</v>
      </c>
      <c r="M31" s="2"/>
      <c r="N31" s="19">
        <f t="shared" si="1"/>
        <v>22.503472222222225</v>
      </c>
      <c r="O31" s="11"/>
      <c r="P31" s="2">
        <f>-222.24</f>
        <v>-222.24</v>
      </c>
      <c r="Q31" s="2"/>
      <c r="R31" s="19"/>
      <c r="S31" s="2"/>
      <c r="T31" s="2">
        <f>-5.76</f>
        <v>-5.76</v>
      </c>
      <c r="U31" s="2"/>
      <c r="V31" s="19"/>
      <c r="W31" s="2"/>
      <c r="X31" s="2">
        <f t="shared" si="2"/>
        <v>-216.48000000000002</v>
      </c>
      <c r="Y31" s="2"/>
      <c r="Z31" s="19">
        <f t="shared" si="3"/>
        <v>37.583333333333336</v>
      </c>
    </row>
    <row r="32" spans="1:26" s="24" customFormat="1" hidden="1" outlineLevel="1" x14ac:dyDescent="0.25">
      <c r="A32" s="44"/>
      <c r="B32" s="11" t="str">
        <f>CONCATENATE("          ", "4326", " - ", "SALES RETURN NON TAXABLE-WRITI")</f>
        <v xml:space="preserve">          4326 - SALES RETURN NON TAXABLE-WRITI</v>
      </c>
      <c r="C32" s="11"/>
      <c r="D32" s="2">
        <f>0</f>
        <v>0</v>
      </c>
      <c r="E32" s="2"/>
      <c r="F32" s="19"/>
      <c r="G32" s="2"/>
      <c r="H32" s="2">
        <f t="shared" ref="H32:H33" si="4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-5.58</f>
        <v>-5.58</v>
      </c>
      <c r="U32" s="2"/>
      <c r="V32" s="19"/>
      <c r="W32" s="2"/>
      <c r="X32" s="2">
        <f t="shared" si="2"/>
        <v>5.58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"4327", " - ", "SALES RETURN NON TAXABLE-SCHOO")</f>
        <v xml:space="preserve">          4327 - SALES RETURN NON TAXABLE-SCHOO</v>
      </c>
      <c r="C33" s="11"/>
      <c r="D33" s="2">
        <f>-8.29</f>
        <v>-8.2899999999999991</v>
      </c>
      <c r="E33" s="2"/>
      <c r="F33" s="19"/>
      <c r="G33" s="2"/>
      <c r="H33" s="2">
        <f t="shared" si="4"/>
        <v>0</v>
      </c>
      <c r="I33" s="2"/>
      <c r="J33" s="19"/>
      <c r="K33" s="2"/>
      <c r="L33" s="2">
        <f t="shared" si="0"/>
        <v>-8.2899999999999991</v>
      </c>
      <c r="M33" s="2"/>
      <c r="N33" s="19">
        <f t="shared" si="1"/>
        <v>0</v>
      </c>
      <c r="O33" s="11"/>
      <c r="P33" s="2">
        <f>-21.87</f>
        <v>-21.87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-21.87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5" t="s">
        <v>8</v>
      </c>
      <c r="C35" s="10"/>
      <c r="D35" s="4">
        <f>SUM(OSRRefD16x_0)</f>
        <v>31970.119999999995</v>
      </c>
      <c r="E35" s="4"/>
      <c r="F35" s="12">
        <f t="shared" ref="F35:F49" si="5">IF(D$12=0,0,D35/D$12)</f>
        <v>0.48473139734634418</v>
      </c>
      <c r="G35" s="4"/>
      <c r="H35" s="4">
        <f>SUM(OSRRefH16x_0)</f>
        <v>32022.06</v>
      </c>
      <c r="I35" s="4"/>
      <c r="J35" s="12">
        <f t="shared" ref="J35:J49" si="6">IF(H$12=0,0,H35/H$12)</f>
        <v>0.49812515079294339</v>
      </c>
      <c r="K35" s="4"/>
      <c r="L35" s="4">
        <f t="shared" ref="L35:L49" si="7">+D35-H35</f>
        <v>-51.940000000005966</v>
      </c>
      <c r="M35" s="4"/>
      <c r="N35" s="12">
        <f t="shared" ref="N35:N49" si="8">IF(H35=0,0,L35/H35)</f>
        <v>-1.6220068290424153E-3</v>
      </c>
      <c r="O35" s="10"/>
      <c r="P35" s="4">
        <f>SUM(OSRRefP16x_0)</f>
        <v>74627.760000000009</v>
      </c>
      <c r="Q35" s="4"/>
      <c r="R35" s="12">
        <f t="shared" ref="R35:R49" si="9">IF(P$12=0,0,P35/P$12)</f>
        <v>0.45961564434991126</v>
      </c>
      <c r="S35" s="4"/>
      <c r="T35" s="4">
        <f>SUM(OSRRefT16x_0)</f>
        <v>80199.490000000005</v>
      </c>
      <c r="U35" s="4"/>
      <c r="V35" s="12">
        <f t="shared" ref="V35:V49" si="10">IF(T$12=0,0,T35/T$12)</f>
        <v>0.50467992926129546</v>
      </c>
      <c r="W35" s="4"/>
      <c r="X35" s="4">
        <f t="shared" ref="X35:X49" si="11">+P35-T35</f>
        <v>-5571.7299999999959</v>
      </c>
      <c r="Y35" s="4"/>
      <c r="Z35" s="12">
        <f t="shared" ref="Z35:Z49" si="12">IF(T35=0,0,X35/T35)</f>
        <v>-6.9473384431746332E-2</v>
      </c>
    </row>
    <row r="36" spans="1:26" s="24" customFormat="1" hidden="1" outlineLevel="1" x14ac:dyDescent="0.25">
      <c r="A36" s="44"/>
      <c r="B36" s="11" t="str">
        <f>CONCATENATE("          ", "5017", " - ", "PURCHASES @ COST-DORM/HOUSEWAR")</f>
        <v xml:space="preserve">          5017 - PURCHASES @ COST-DORM/HOUSEWAR</v>
      </c>
      <c r="C36" s="11"/>
      <c r="D36" s="2">
        <v>-139.86000000000001</v>
      </c>
      <c r="E36" s="2"/>
      <c r="F36" s="19">
        <f t="shared" si="5"/>
        <v>-2.120559235713213E-3</v>
      </c>
      <c r="G36" s="2"/>
      <c r="H36" s="2">
        <v>-959.6</v>
      </c>
      <c r="I36" s="2"/>
      <c r="J36" s="19">
        <f t="shared" si="6"/>
        <v>-1.4927237495055236E-2</v>
      </c>
      <c r="K36" s="2"/>
      <c r="L36" s="2">
        <f t="shared" si="7"/>
        <v>819.74</v>
      </c>
      <c r="M36" s="2"/>
      <c r="N36" s="19">
        <f t="shared" si="8"/>
        <v>-0.85425177157148813</v>
      </c>
      <c r="O36" s="11"/>
      <c r="P36" s="2">
        <v>0</v>
      </c>
      <c r="Q36" s="2"/>
      <c r="R36" s="19">
        <f t="shared" si="9"/>
        <v>0</v>
      </c>
      <c r="S36" s="2"/>
      <c r="T36" s="2">
        <v>0</v>
      </c>
      <c r="U36" s="2"/>
      <c r="V36" s="19">
        <f t="shared" si="10"/>
        <v>0</v>
      </c>
      <c r="W36" s="2"/>
      <c r="X36" s="2">
        <f t="shared" si="11"/>
        <v>0</v>
      </c>
      <c r="Y36" s="2"/>
      <c r="Z36" s="19">
        <f t="shared" si="12"/>
        <v>0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>
        <v>1351.03</v>
      </c>
      <c r="E37" s="2"/>
      <c r="F37" s="19">
        <f t="shared" si="5"/>
        <v>2.0484335365548563E-2</v>
      </c>
      <c r="G37" s="2"/>
      <c r="H37" s="2">
        <v>-58.2</v>
      </c>
      <c r="I37" s="2"/>
      <c r="J37" s="19">
        <f t="shared" si="6"/>
        <v>-9.0534099855378786E-4</v>
      </c>
      <c r="K37" s="2"/>
      <c r="L37" s="2">
        <f t="shared" si="7"/>
        <v>1409.23</v>
      </c>
      <c r="M37" s="2"/>
      <c r="N37" s="19">
        <f t="shared" si="8"/>
        <v>-24.213573883161512</v>
      </c>
      <c r="O37" s="11"/>
      <c r="P37" s="2">
        <v>3108.17</v>
      </c>
      <c r="Q37" s="2"/>
      <c r="R37" s="19">
        <f t="shared" si="9"/>
        <v>1.9142522263820641E-2</v>
      </c>
      <c r="S37" s="2"/>
      <c r="T37" s="2">
        <v>976.8</v>
      </c>
      <c r="U37" s="2"/>
      <c r="V37" s="19">
        <f t="shared" si="10"/>
        <v>6.1468140870027154E-3</v>
      </c>
      <c r="W37" s="2"/>
      <c r="X37" s="2">
        <f t="shared" si="11"/>
        <v>2131.37</v>
      </c>
      <c r="Y37" s="2"/>
      <c r="Z37" s="19">
        <f t="shared" si="12"/>
        <v>2.1819922194922197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>
        <v>2090.38</v>
      </c>
      <c r="E38" s="2"/>
      <c r="F38" s="19">
        <f t="shared" si="5"/>
        <v>3.1694370192694027E-2</v>
      </c>
      <c r="G38" s="2"/>
      <c r="H38" s="2">
        <v>17969.72</v>
      </c>
      <c r="I38" s="2"/>
      <c r="J38" s="19">
        <f t="shared" si="6"/>
        <v>0.27953134447649436</v>
      </c>
      <c r="K38" s="2"/>
      <c r="L38" s="2">
        <f t="shared" si="7"/>
        <v>-15879.34</v>
      </c>
      <c r="M38" s="2"/>
      <c r="N38" s="19">
        <f t="shared" si="8"/>
        <v>-0.8836720883797855</v>
      </c>
      <c r="O38" s="11"/>
      <c r="P38" s="2">
        <v>14289.71</v>
      </c>
      <c r="Q38" s="2"/>
      <c r="R38" s="19">
        <f t="shared" si="9"/>
        <v>8.8007120530260718E-2</v>
      </c>
      <c r="S38" s="2"/>
      <c r="T38" s="2">
        <v>21789.72</v>
      </c>
      <c r="U38" s="2"/>
      <c r="V38" s="19">
        <f t="shared" si="10"/>
        <v>0.13711850721523836</v>
      </c>
      <c r="W38" s="2"/>
      <c r="X38" s="2">
        <f t="shared" si="11"/>
        <v>-7500.010000000002</v>
      </c>
      <c r="Y38" s="2"/>
      <c r="Z38" s="19">
        <f t="shared" si="12"/>
        <v>-0.3441994665374315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12324.55</v>
      </c>
      <c r="E39" s="2"/>
      <c r="F39" s="19">
        <f t="shared" si="5"/>
        <v>0.18686499591383726</v>
      </c>
      <c r="G39" s="2"/>
      <c r="H39" s="2">
        <v>14915.4</v>
      </c>
      <c r="I39" s="2"/>
      <c r="J39" s="19">
        <f t="shared" si="6"/>
        <v>0.23201929776338773</v>
      </c>
      <c r="K39" s="2"/>
      <c r="L39" s="2">
        <f t="shared" si="7"/>
        <v>-2590.8500000000004</v>
      </c>
      <c r="M39" s="2"/>
      <c r="N39" s="19">
        <f t="shared" si="8"/>
        <v>-0.17370301835686608</v>
      </c>
      <c r="O39" s="11"/>
      <c r="P39" s="2">
        <v>61391.03</v>
      </c>
      <c r="Q39" s="2"/>
      <c r="R39" s="19">
        <f t="shared" si="9"/>
        <v>0.37809359159051176</v>
      </c>
      <c r="S39" s="2"/>
      <c r="T39" s="2">
        <v>57116.03</v>
      </c>
      <c r="U39" s="2"/>
      <c r="V39" s="19">
        <f t="shared" si="10"/>
        <v>0.35942016564052998</v>
      </c>
      <c r="W39" s="2"/>
      <c r="X39" s="2">
        <f t="shared" si="11"/>
        <v>4275</v>
      </c>
      <c r="Y39" s="2"/>
      <c r="Z39" s="19">
        <f t="shared" si="12"/>
        <v>7.4847639095364293E-2</v>
      </c>
    </row>
    <row r="40" spans="1:26" s="24" customFormat="1" hidden="1" outlineLevel="1" x14ac:dyDescent="0.25">
      <c r="A40" s="44"/>
      <c r="B40" s="11" t="str">
        <f>CONCATENATE("          ", "5028", " - ", "PURCHASES @ COST-ART/TECH")</f>
        <v xml:space="preserve">          5028 - PURCHASES @ COST-ART/TECH</v>
      </c>
      <c r="C40" s="11"/>
      <c r="D40" s="2">
        <v>462.63</v>
      </c>
      <c r="E40" s="2"/>
      <c r="F40" s="19">
        <f t="shared" si="5"/>
        <v>7.0144023968111233E-3</v>
      </c>
      <c r="G40" s="2"/>
      <c r="H40" s="2">
        <v>403.31</v>
      </c>
      <c r="I40" s="2"/>
      <c r="J40" s="19">
        <f t="shared" si="6"/>
        <v>6.2737642289815831E-3</v>
      </c>
      <c r="K40" s="2"/>
      <c r="L40" s="2">
        <f t="shared" si="7"/>
        <v>59.319999999999993</v>
      </c>
      <c r="M40" s="2"/>
      <c r="N40" s="19">
        <f t="shared" si="8"/>
        <v>0.14708288909275741</v>
      </c>
      <c r="O40" s="11"/>
      <c r="P40" s="2">
        <v>3078.83</v>
      </c>
      <c r="Q40" s="2"/>
      <c r="R40" s="19">
        <f t="shared" si="9"/>
        <v>1.8961823781041224E-2</v>
      </c>
      <c r="S40" s="2"/>
      <c r="T40" s="2">
        <v>1669.5</v>
      </c>
      <c r="U40" s="2"/>
      <c r="V40" s="19">
        <f t="shared" si="10"/>
        <v>1.050584164440114E-2</v>
      </c>
      <c r="W40" s="2"/>
      <c r="X40" s="2">
        <f t="shared" si="11"/>
        <v>1409.33</v>
      </c>
      <c r="Y40" s="2"/>
      <c r="Z40" s="19">
        <f t="shared" si="12"/>
        <v>0.8441629230308475</v>
      </c>
    </row>
    <row r="41" spans="1:26" s="24" customFormat="1" hidden="1" outlineLevel="1" x14ac:dyDescent="0.25">
      <c r="A41" s="44"/>
      <c r="B41" s="11" t="str">
        <f>CONCATENATE("          ", "5031", " - ", "PURCHASES @ COST-FOOD")</f>
        <v xml:space="preserve">          5031 - PURCHASES @ COST-FOOD</v>
      </c>
      <c r="C41" s="11"/>
      <c r="D41" s="2"/>
      <c r="E41" s="2"/>
      <c r="F41" s="19">
        <f t="shared" si="5"/>
        <v>0</v>
      </c>
      <c r="G41" s="2"/>
      <c r="H41" s="2">
        <v>55.64</v>
      </c>
      <c r="I41" s="2"/>
      <c r="J41" s="19">
        <f t="shared" si="6"/>
        <v>8.655184391672294E-4</v>
      </c>
      <c r="K41" s="2"/>
      <c r="L41" s="2">
        <f t="shared" si="7"/>
        <v>-55.64</v>
      </c>
      <c r="M41" s="2"/>
      <c r="N41" s="19">
        <f t="shared" si="8"/>
        <v>-1</v>
      </c>
      <c r="O41" s="11"/>
      <c r="P41" s="2">
        <v>149.11000000000001</v>
      </c>
      <c r="Q41" s="2"/>
      <c r="R41" s="19">
        <f t="shared" si="9"/>
        <v>9.1833506364140188E-4</v>
      </c>
      <c r="S41" s="2"/>
      <c r="T41" s="2">
        <v>287.64999999999998</v>
      </c>
      <c r="U41" s="2"/>
      <c r="V41" s="19">
        <f t="shared" si="10"/>
        <v>1.8101259952153265E-3</v>
      </c>
      <c r="W41" s="2"/>
      <c r="X41" s="2">
        <f t="shared" si="11"/>
        <v>-138.53999999999996</v>
      </c>
      <c r="Y41" s="2"/>
      <c r="Z41" s="19">
        <f t="shared" si="12"/>
        <v>-0.48162697722927161</v>
      </c>
    </row>
    <row r="42" spans="1:26" s="24" customFormat="1" hidden="1" outlineLevel="1" x14ac:dyDescent="0.25">
      <c r="A42" s="44"/>
      <c r="B42" s="11" t="str">
        <f>CONCATENATE("          ", "5033", " - ", "PURCHASES @ COST-CANDY")</f>
        <v xml:space="preserve">          5033 - PURCHASES @ COST-CANDY</v>
      </c>
      <c r="C42" s="11"/>
      <c r="D42" s="2"/>
      <c r="E42" s="2"/>
      <c r="F42" s="19">
        <f t="shared" si="5"/>
        <v>0</v>
      </c>
      <c r="G42" s="2"/>
      <c r="H42" s="2">
        <v>41.2</v>
      </c>
      <c r="I42" s="2"/>
      <c r="J42" s="19">
        <f t="shared" si="6"/>
        <v>6.4089431512742365E-4</v>
      </c>
      <c r="K42" s="2"/>
      <c r="L42" s="2">
        <f t="shared" si="7"/>
        <v>-41.2</v>
      </c>
      <c r="M42" s="2"/>
      <c r="N42" s="19">
        <f t="shared" si="8"/>
        <v>-1</v>
      </c>
      <c r="O42" s="11"/>
      <c r="P42" s="2">
        <v>80.95</v>
      </c>
      <c r="Q42" s="2"/>
      <c r="R42" s="19">
        <f t="shared" si="9"/>
        <v>4.9855290323768677E-4</v>
      </c>
      <c r="S42" s="2"/>
      <c r="T42" s="2">
        <v>295.05</v>
      </c>
      <c r="U42" s="2"/>
      <c r="V42" s="19">
        <f t="shared" si="10"/>
        <v>1.856692768601711E-3</v>
      </c>
      <c r="W42" s="2"/>
      <c r="X42" s="2">
        <f t="shared" si="11"/>
        <v>-214.10000000000002</v>
      </c>
      <c r="Y42" s="2"/>
      <c r="Z42" s="19">
        <f t="shared" si="12"/>
        <v>-0.72563972208100325</v>
      </c>
    </row>
    <row r="43" spans="1:26" s="24" customFormat="1" hidden="1" outlineLevel="1" x14ac:dyDescent="0.25">
      <c r="A43" s="44"/>
      <c r="B43" s="11" t="str">
        <f>CONCATENATE("          ", "5035", " - ", "PURCHASES @ COST-HEALTH &amp; BEAU")</f>
        <v xml:space="preserve">          5035 - PURCHASES @ COST-HEALTH &amp; BEAU</v>
      </c>
      <c r="C43" s="11"/>
      <c r="D43" s="2"/>
      <c r="E43" s="2"/>
      <c r="F43" s="19">
        <f t="shared" si="5"/>
        <v>0</v>
      </c>
      <c r="G43" s="2"/>
      <c r="H43" s="2"/>
      <c r="I43" s="2"/>
      <c r="J43" s="19">
        <f t="shared" si="6"/>
        <v>0</v>
      </c>
      <c r="K43" s="2"/>
      <c r="L43" s="2">
        <f t="shared" si="7"/>
        <v>0</v>
      </c>
      <c r="M43" s="2"/>
      <c r="N43" s="19">
        <f t="shared" si="8"/>
        <v>0</v>
      </c>
      <c r="O43" s="11"/>
      <c r="P43" s="2">
        <v>34.49</v>
      </c>
      <c r="Q43" s="2"/>
      <c r="R43" s="19">
        <f t="shared" si="9"/>
        <v>2.1241617829114042E-4</v>
      </c>
      <c r="S43" s="2"/>
      <c r="T43" s="2"/>
      <c r="U43" s="2"/>
      <c r="V43" s="19">
        <f t="shared" si="10"/>
        <v>0</v>
      </c>
      <c r="W43" s="2"/>
      <c r="X43" s="2">
        <f t="shared" si="11"/>
        <v>34.49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-16222</v>
      </c>
      <c r="E44" s="2"/>
      <c r="F44" s="19">
        <f t="shared" si="5"/>
        <v>-0.24595818619862533</v>
      </c>
      <c r="G44" s="2"/>
      <c r="H44" s="2">
        <v>-32816</v>
      </c>
      <c r="I44" s="2"/>
      <c r="J44" s="19">
        <f t="shared" si="6"/>
        <v>-0.51047543313644506</v>
      </c>
      <c r="K44" s="2"/>
      <c r="L44" s="2">
        <f t="shared" si="7"/>
        <v>16594</v>
      </c>
      <c r="M44" s="2"/>
      <c r="N44" s="19">
        <f t="shared" si="8"/>
        <v>-0.50566796684544124</v>
      </c>
      <c r="O44" s="11"/>
      <c r="P44" s="2">
        <v>-82627</v>
      </c>
      <c r="Q44" s="2"/>
      <c r="R44" s="19">
        <f t="shared" si="9"/>
        <v>-0.50888117030043667</v>
      </c>
      <c r="S44" s="2"/>
      <c r="T44" s="2">
        <v>-82824</v>
      </c>
      <c r="U44" s="2"/>
      <c r="V44" s="19">
        <f t="shared" si="10"/>
        <v>-0.52119546472349809</v>
      </c>
      <c r="W44" s="2"/>
      <c r="X44" s="2">
        <f t="shared" si="11"/>
        <v>197</v>
      </c>
      <c r="Y44" s="2"/>
      <c r="Z44" s="19">
        <f t="shared" si="12"/>
        <v>-2.3785376219453299E-3</v>
      </c>
    </row>
    <row r="45" spans="1:26" s="24" customFormat="1" hidden="1" outlineLevel="1" x14ac:dyDescent="0.25">
      <c r="A45" s="44"/>
      <c r="B45" s="11" t="str">
        <f>CONCATENATE("          ", "5300", " - ", "COG$ OFFSET")</f>
        <v xml:space="preserve">          5300 - COG$ OFFSET</v>
      </c>
      <c r="C45" s="11"/>
      <c r="D45" s="2">
        <v>32019</v>
      </c>
      <c r="E45" s="2"/>
      <c r="F45" s="19">
        <f t="shared" si="5"/>
        <v>0.48547251657587137</v>
      </c>
      <c r="G45" s="2"/>
      <c r="H45" s="2">
        <v>32022</v>
      </c>
      <c r="I45" s="2"/>
      <c r="J45" s="19">
        <f t="shared" si="6"/>
        <v>0.49812421745170776</v>
      </c>
      <c r="K45" s="2"/>
      <c r="L45" s="2">
        <f t="shared" si="7"/>
        <v>-3</v>
      </c>
      <c r="M45" s="2"/>
      <c r="N45" s="19">
        <f t="shared" si="8"/>
        <v>-9.3685591156080191E-5</v>
      </c>
      <c r="O45" s="11"/>
      <c r="P45" s="2">
        <v>74628</v>
      </c>
      <c r="Q45" s="2"/>
      <c r="R45" s="19">
        <f t="shared" si="9"/>
        <v>0.45961712245610981</v>
      </c>
      <c r="S45" s="2"/>
      <c r="T45" s="2">
        <v>80201</v>
      </c>
      <c r="U45" s="2"/>
      <c r="V45" s="19">
        <f t="shared" si="10"/>
        <v>0.50468943140018918</v>
      </c>
      <c r="W45" s="2"/>
      <c r="X45" s="2">
        <f t="shared" si="11"/>
        <v>-5573</v>
      </c>
      <c r="Y45" s="2"/>
      <c r="Z45" s="19">
        <f t="shared" si="12"/>
        <v>-6.9487911622049606E-2</v>
      </c>
    </row>
    <row r="46" spans="1:26" s="24" customFormat="1" hidden="1" outlineLevel="1" x14ac:dyDescent="0.25">
      <c r="A46" s="44"/>
      <c r="B46" s="11" t="str">
        <f>CONCATENATE("          ", "5500", " - ", "FREIGHT-IN")</f>
        <v xml:space="preserve">          5500 - FREIGHT-IN</v>
      </c>
      <c r="C46" s="11"/>
      <c r="D46" s="2">
        <v>-49</v>
      </c>
      <c r="E46" s="2"/>
      <c r="F46" s="19">
        <f t="shared" si="5"/>
        <v>-7.4293867117079533E-4</v>
      </c>
      <c r="G46" s="2"/>
      <c r="H46" s="2"/>
      <c r="I46" s="2"/>
      <c r="J46" s="19">
        <f t="shared" si="6"/>
        <v>0</v>
      </c>
      <c r="K46" s="2"/>
      <c r="L46" s="2">
        <f t="shared" si="7"/>
        <v>-49</v>
      </c>
      <c r="M46" s="2"/>
      <c r="N46" s="19">
        <f t="shared" si="8"/>
        <v>0</v>
      </c>
      <c r="O46" s="11"/>
      <c r="P46" s="2">
        <v>0</v>
      </c>
      <c r="Q46" s="2"/>
      <c r="R46" s="19">
        <f t="shared" si="9"/>
        <v>0</v>
      </c>
      <c r="S46" s="2"/>
      <c r="T46" s="2"/>
      <c r="U46" s="2"/>
      <c r="V46" s="19">
        <f t="shared" si="10"/>
        <v>0</v>
      </c>
      <c r="W46" s="2"/>
      <c r="X46" s="2">
        <f t="shared" si="11"/>
        <v>0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"5526", " - ", "FREIGHT-IN-WRITING INSTRUMENTS")</f>
        <v xml:space="preserve">          5526 - FREIGHT-IN-WRITING INSTRUMENTS</v>
      </c>
      <c r="C47" s="11"/>
      <c r="D47" s="2"/>
      <c r="E47" s="2"/>
      <c r="F47" s="19">
        <f t="shared" si="5"/>
        <v>0</v>
      </c>
      <c r="G47" s="2"/>
      <c r="H47" s="2"/>
      <c r="I47" s="2"/>
      <c r="J47" s="19">
        <f t="shared" si="6"/>
        <v>0</v>
      </c>
      <c r="K47" s="2"/>
      <c r="L47" s="2">
        <f t="shared" si="7"/>
        <v>0</v>
      </c>
      <c r="M47" s="2"/>
      <c r="N47" s="19">
        <f t="shared" si="8"/>
        <v>0</v>
      </c>
      <c r="O47" s="11"/>
      <c r="P47" s="2">
        <v>56.57</v>
      </c>
      <c r="Q47" s="2"/>
      <c r="R47" s="19">
        <f t="shared" si="9"/>
        <v>3.4840194856276639E-4</v>
      </c>
      <c r="S47" s="2"/>
      <c r="T47" s="2">
        <v>42.74</v>
      </c>
      <c r="U47" s="2"/>
      <c r="V47" s="19">
        <f t="shared" si="10"/>
        <v>2.6895458034244068E-4</v>
      </c>
      <c r="W47" s="2"/>
      <c r="X47" s="2">
        <f t="shared" si="11"/>
        <v>13.829999999999998</v>
      </c>
      <c r="Y47" s="2"/>
      <c r="Z47" s="19">
        <f t="shared" si="12"/>
        <v>0.32358446420215248</v>
      </c>
    </row>
    <row r="48" spans="1:26" s="24" customFormat="1" hidden="1" outlineLevel="1" x14ac:dyDescent="0.25">
      <c r="A48" s="44"/>
      <c r="B48" s="11" t="str">
        <f>CONCATENATE("          ", "5527", " - ", "FREIGHT-IN-SCHOOL SUPPLIES")</f>
        <v xml:space="preserve">          5527 - FREIGHT-IN-SCHOOL SUPPLIES</v>
      </c>
      <c r="C48" s="11"/>
      <c r="D48" s="2">
        <v>133.38999999999999</v>
      </c>
      <c r="E48" s="2"/>
      <c r="F48" s="19">
        <f t="shared" si="5"/>
        <v>2.022461007091273E-3</v>
      </c>
      <c r="G48" s="2"/>
      <c r="H48" s="2">
        <v>444.43</v>
      </c>
      <c r="I48" s="2"/>
      <c r="J48" s="19">
        <f t="shared" si="6"/>
        <v>6.9134140891281767E-3</v>
      </c>
      <c r="K48" s="2"/>
      <c r="L48" s="2">
        <f t="shared" si="7"/>
        <v>-311.04000000000002</v>
      </c>
      <c r="M48" s="2"/>
      <c r="N48" s="19">
        <f t="shared" si="8"/>
        <v>-0.69986274553923011</v>
      </c>
      <c r="O48" s="11"/>
      <c r="P48" s="2">
        <v>393.9</v>
      </c>
      <c r="Q48" s="2"/>
      <c r="R48" s="19">
        <f t="shared" si="9"/>
        <v>2.4259417984598495E-3</v>
      </c>
      <c r="S48" s="2"/>
      <c r="T48" s="2">
        <v>636.62</v>
      </c>
      <c r="U48" s="2"/>
      <c r="V48" s="19">
        <f t="shared" si="10"/>
        <v>4.006126928816205E-3</v>
      </c>
      <c r="W48" s="2"/>
      <c r="X48" s="2">
        <f t="shared" si="11"/>
        <v>-242.72000000000003</v>
      </c>
      <c r="Y48" s="2"/>
      <c r="Z48" s="19">
        <f t="shared" si="12"/>
        <v>-0.38126354811347435</v>
      </c>
    </row>
    <row r="49" spans="1:26" s="24" customFormat="1" hidden="1" outlineLevel="1" x14ac:dyDescent="0.25">
      <c r="A49" s="44"/>
      <c r="B49" s="11" t="str">
        <f>CONCATENATE("          ", "5528", " - ", "FREIGHT-IN-ART/TECH")</f>
        <v xml:space="preserve">          5528 - FREIGHT-IN-ART/TECH</v>
      </c>
      <c r="C49" s="11"/>
      <c r="D49" s="2"/>
      <c r="E49" s="2"/>
      <c r="F49" s="19">
        <f t="shared" si="5"/>
        <v>0</v>
      </c>
      <c r="G49" s="2"/>
      <c r="H49" s="2">
        <v>4.16</v>
      </c>
      <c r="I49" s="2"/>
      <c r="J49" s="19">
        <f t="shared" si="6"/>
        <v>6.4711659003157339E-5</v>
      </c>
      <c r="K49" s="2"/>
      <c r="L49" s="2">
        <f t="shared" si="7"/>
        <v>-4.16</v>
      </c>
      <c r="M49" s="2"/>
      <c r="N49" s="19">
        <f t="shared" si="8"/>
        <v>-1</v>
      </c>
      <c r="O49" s="11"/>
      <c r="P49" s="2">
        <v>44</v>
      </c>
      <c r="Q49" s="2"/>
      <c r="R49" s="19">
        <f t="shared" si="9"/>
        <v>2.709861364108489E-4</v>
      </c>
      <c r="S49" s="2"/>
      <c r="T49" s="2">
        <v>8.3800000000000008</v>
      </c>
      <c r="U49" s="2"/>
      <c r="V49" s="19">
        <f t="shared" si="10"/>
        <v>5.2733724456472932E-5</v>
      </c>
      <c r="W49" s="2"/>
      <c r="X49" s="2">
        <f t="shared" si="11"/>
        <v>35.619999999999997</v>
      </c>
      <c r="Y49" s="2"/>
      <c r="Z49" s="19">
        <f t="shared" si="12"/>
        <v>4.2505966587112161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6" t="s">
        <v>6</v>
      </c>
      <c r="C51" s="26"/>
      <c r="D51" s="21">
        <f>D12-D35</f>
        <v>33984.180000000022</v>
      </c>
      <c r="E51" s="13"/>
      <c r="F51" s="20">
        <f>IF(D$12=0,0,D51/D$12)</f>
        <v>0.51526860265365582</v>
      </c>
      <c r="G51" s="13"/>
      <c r="H51" s="21">
        <f>H12-H35</f>
        <v>32263.109999999997</v>
      </c>
      <c r="I51" s="13"/>
      <c r="J51" s="20">
        <f>IF(H$12=0,0,H51/H$12)</f>
        <v>0.50187484920705661</v>
      </c>
      <c r="K51" s="15"/>
      <c r="L51" s="21">
        <f>+D51-H51</f>
        <v>1721.0700000000252</v>
      </c>
      <c r="M51" s="15"/>
      <c r="N51" s="20">
        <f>IF(H51=0,0,L51/H51)</f>
        <v>5.3344826335713615E-2</v>
      </c>
      <c r="O51" s="25"/>
      <c r="P51" s="21">
        <f>P12-P35</f>
        <v>87742.170000000042</v>
      </c>
      <c r="Q51" s="13"/>
      <c r="R51" s="20">
        <f>IF(P$12=0,0,P51/P$12)</f>
        <v>0.5403843556500888</v>
      </c>
      <c r="S51" s="13"/>
      <c r="T51" s="21">
        <f>T12-T35</f>
        <v>78712.10000000002</v>
      </c>
      <c r="U51" s="13"/>
      <c r="V51" s="20">
        <f>IF(T$12=0,0,T51/T$12)</f>
        <v>0.49532007073870449</v>
      </c>
      <c r="W51" s="15"/>
      <c r="X51" s="21">
        <f>+P51-T51</f>
        <v>9030.0700000000215</v>
      </c>
      <c r="Y51" s="15"/>
      <c r="Z51" s="20">
        <f>IF(T51=0,0,X51/T51)</f>
        <v>0.11472276816398011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5" t="s">
        <v>9</v>
      </c>
      <c r="C53" s="10"/>
      <c r="D53" s="22">
        <f>SUM(OSRRefD22x_0)</f>
        <v>8563.07</v>
      </c>
      <c r="E53" s="22"/>
      <c r="F53" s="34">
        <f t="shared" ref="F53:F61" si="13">IF(D$12=0,0,D53/D$12)</f>
        <v>0.12983338463147964</v>
      </c>
      <c r="G53" s="22"/>
      <c r="H53" s="22">
        <f>SUM(OSRRefH22x_0)</f>
        <v>6920.21</v>
      </c>
      <c r="I53" s="22"/>
      <c r="J53" s="34">
        <f t="shared" ref="J53:J61" si="14">IF(H$12=0,0,H53/H$12)</f>
        <v>0.10764862253611525</v>
      </c>
      <c r="K53" s="4"/>
      <c r="L53" s="22">
        <f t="shared" ref="L53:L61" si="15">+D53-H53</f>
        <v>1642.8599999999997</v>
      </c>
      <c r="M53" s="4"/>
      <c r="N53" s="34">
        <f t="shared" ref="N53:N61" si="16">IF(H53=0,0,L53/H53)</f>
        <v>0.23740031010619614</v>
      </c>
      <c r="O53" s="10"/>
      <c r="P53" s="22">
        <f>SUM(OSRRefP22x_0)</f>
        <v>31002.400000000009</v>
      </c>
      <c r="Q53" s="22"/>
      <c r="R53" s="34">
        <f t="shared" ref="R53:R61" si="17">IF(P$12=0,0,P53/P$12)</f>
        <v>0.19093683171508419</v>
      </c>
      <c r="S53" s="22"/>
      <c r="T53" s="22">
        <f>SUM(OSRRefT22x_0)</f>
        <v>25298.010000000002</v>
      </c>
      <c r="U53" s="22"/>
      <c r="V53" s="34">
        <f t="shared" ref="V53:V61" si="18">IF(T$12=0,0,T53/T$12)</f>
        <v>0.15919549983736239</v>
      </c>
      <c r="W53" s="4"/>
      <c r="X53" s="22">
        <f t="shared" ref="X53:X61" si="19">+P53-T53</f>
        <v>5704.3900000000067</v>
      </c>
      <c r="Y53" s="4"/>
      <c r="Z53" s="34">
        <f t="shared" ref="Z53:Z61" si="20">IF(T53=0,0,X53/T53)</f>
        <v>0.22548769646308173</v>
      </c>
    </row>
    <row r="54" spans="1:26" s="29" customFormat="1" outlineLevel="1" collapsed="1" x14ac:dyDescent="0.25">
      <c r="A54" s="27"/>
      <c r="B54" s="14" t="str">
        <f>CONCATENATE("     ","*Benefits                                         ")</f>
        <v xml:space="preserve">     *Benefits                                         </v>
      </c>
      <c r="C54" s="14"/>
      <c r="D54" s="1">
        <f>SUM(OSRRefD22_0x_0)</f>
        <v>1426.7799999999997</v>
      </c>
      <c r="E54" s="1"/>
      <c r="F54" s="5">
        <f t="shared" si="13"/>
        <v>2.1632857903123821E-2</v>
      </c>
      <c r="G54" s="1"/>
      <c r="H54" s="1">
        <f>SUM(OSRRefH22_0x_0)</f>
        <v>1624.0300000000002</v>
      </c>
      <c r="I54" s="1"/>
      <c r="J54" s="5">
        <f t="shared" si="14"/>
        <v>2.5262902781465774E-2</v>
      </c>
      <c r="K54" s="1"/>
      <c r="L54" s="1">
        <f t="shared" si="15"/>
        <v>-197.25000000000045</v>
      </c>
      <c r="M54" s="1"/>
      <c r="N54" s="5">
        <f t="shared" si="16"/>
        <v>-0.12145711593997674</v>
      </c>
      <c r="O54" s="14"/>
      <c r="P54" s="1">
        <f>SUM(OSRRefP22_0x_0)</f>
        <v>5794.63</v>
      </c>
      <c r="Q54" s="1"/>
      <c r="R54" s="5">
        <f t="shared" si="17"/>
        <v>3.5687827173418118E-2</v>
      </c>
      <c r="S54" s="1"/>
      <c r="T54" s="1">
        <f>SUM(OSRRefT22_0x_0)</f>
        <v>5140.46</v>
      </c>
      <c r="U54" s="1"/>
      <c r="V54" s="5">
        <f t="shared" si="18"/>
        <v>3.2347923773212509E-2</v>
      </c>
      <c r="W54" s="1"/>
      <c r="X54" s="1">
        <f t="shared" si="19"/>
        <v>654.17000000000007</v>
      </c>
      <c r="Y54" s="1"/>
      <c r="Z54" s="5">
        <f t="shared" si="20"/>
        <v>0.12725903907432409</v>
      </c>
    </row>
    <row r="55" spans="1:26" s="24" customFormat="1" hidden="1" outlineLevel="2" x14ac:dyDescent="0.25">
      <c r="A55" s="28"/>
      <c r="B55" s="11" t="str">
        <f>CONCATENATE("          ", "6111", " - ", "F.I.C.A.")</f>
        <v xml:space="preserve">          6111 - F.I.C.A.</v>
      </c>
      <c r="C55" s="11"/>
      <c r="D55" s="6">
        <v>107.46</v>
      </c>
      <c r="E55" s="2"/>
      <c r="F55" s="7">
        <f t="shared" si="13"/>
        <v>1.6293099919186462E-3</v>
      </c>
      <c r="G55" s="2"/>
      <c r="H55" s="6">
        <v>185.28</v>
      </c>
      <c r="I55" s="2"/>
      <c r="J55" s="7">
        <f t="shared" si="14"/>
        <v>2.8821577356021614E-3</v>
      </c>
      <c r="K55" s="2"/>
      <c r="L55" s="6">
        <f t="shared" si="15"/>
        <v>-77.820000000000007</v>
      </c>
      <c r="M55" s="2"/>
      <c r="N55" s="7">
        <f t="shared" si="16"/>
        <v>-0.4200129533678757</v>
      </c>
      <c r="O55" s="11"/>
      <c r="P55" s="6">
        <v>1073.08</v>
      </c>
      <c r="Q55" s="2"/>
      <c r="R55" s="7">
        <f t="shared" si="17"/>
        <v>6.6088591649944026E-3</v>
      </c>
      <c r="S55" s="2"/>
      <c r="T55" s="6">
        <v>924.94</v>
      </c>
      <c r="U55" s="2"/>
      <c r="V55" s="7">
        <f t="shared" si="18"/>
        <v>5.8204691048651634E-3</v>
      </c>
      <c r="W55" s="2"/>
      <c r="X55" s="6">
        <f t="shared" si="19"/>
        <v>148.13999999999987</v>
      </c>
      <c r="Y55" s="2"/>
      <c r="Z55" s="7">
        <f t="shared" si="20"/>
        <v>0.16016174022098717</v>
      </c>
    </row>
    <row r="56" spans="1:26" s="24" customFormat="1" hidden="1" outlineLevel="2" x14ac:dyDescent="0.25">
      <c r="A56" s="28"/>
      <c r="B56" s="11" t="str">
        <f>CONCATENATE("          ", "6112", " - ", "COMPENSATION INSURANCE")</f>
        <v xml:space="preserve">          6112 - COMPENSATION INSURANCE</v>
      </c>
      <c r="C56" s="11"/>
      <c r="D56" s="6">
        <v>135.99</v>
      </c>
      <c r="E56" s="2"/>
      <c r="F56" s="7">
        <f t="shared" si="13"/>
        <v>2.0618822427044175E-3</v>
      </c>
      <c r="G56" s="2"/>
      <c r="H56" s="6"/>
      <c r="I56" s="2"/>
      <c r="J56" s="7">
        <f t="shared" si="14"/>
        <v>0</v>
      </c>
      <c r="K56" s="2"/>
      <c r="L56" s="6">
        <f t="shared" si="15"/>
        <v>135.99</v>
      </c>
      <c r="M56" s="2"/>
      <c r="N56" s="7">
        <f t="shared" si="16"/>
        <v>0</v>
      </c>
      <c r="O56" s="11"/>
      <c r="P56" s="6">
        <v>375.75</v>
      </c>
      <c r="Q56" s="2"/>
      <c r="R56" s="7">
        <f t="shared" si="17"/>
        <v>2.3141600171903746E-3</v>
      </c>
      <c r="S56" s="2"/>
      <c r="T56" s="6">
        <v>126.43</v>
      </c>
      <c r="U56" s="2"/>
      <c r="V56" s="7">
        <f t="shared" si="18"/>
        <v>7.9559961611358856E-4</v>
      </c>
      <c r="W56" s="2"/>
      <c r="X56" s="6">
        <f t="shared" si="19"/>
        <v>249.32</v>
      </c>
      <c r="Y56" s="2"/>
      <c r="Z56" s="7">
        <f t="shared" si="20"/>
        <v>1.9720003163806057</v>
      </c>
    </row>
    <row r="57" spans="1:26" s="24" customFormat="1" hidden="1" outlineLevel="2" x14ac:dyDescent="0.25">
      <c r="A57" s="28"/>
      <c r="B57" s="11" t="str">
        <f>CONCATENATE("          ", "6113", " - ", "GROUP INSURANCE")</f>
        <v xml:space="preserve">          6113 - GROUP INSURANCE</v>
      </c>
      <c r="C57" s="11"/>
      <c r="D57" s="6">
        <v>462.13</v>
      </c>
      <c r="E57" s="2"/>
      <c r="F57" s="7">
        <f t="shared" si="13"/>
        <v>7.0068213899624416E-3</v>
      </c>
      <c r="G57" s="2"/>
      <c r="H57" s="6">
        <v>988.44</v>
      </c>
      <c r="I57" s="2"/>
      <c r="J57" s="7">
        <f t="shared" si="14"/>
        <v>1.5375863515644433E-2</v>
      </c>
      <c r="K57" s="2"/>
      <c r="L57" s="6">
        <f t="shared" si="15"/>
        <v>-526.31000000000006</v>
      </c>
      <c r="M57" s="2"/>
      <c r="N57" s="7">
        <f t="shared" si="16"/>
        <v>-0.53246529885476102</v>
      </c>
      <c r="O57" s="11"/>
      <c r="P57" s="6">
        <v>2310.63</v>
      </c>
      <c r="Q57" s="2"/>
      <c r="R57" s="7">
        <f t="shared" si="17"/>
        <v>1.4230652190340904E-2</v>
      </c>
      <c r="S57" s="2"/>
      <c r="T57" s="6">
        <v>2330.6799999999998</v>
      </c>
      <c r="U57" s="2"/>
      <c r="V57" s="7">
        <f t="shared" si="18"/>
        <v>1.4666519918402425E-2</v>
      </c>
      <c r="W57" s="2"/>
      <c r="X57" s="6">
        <f t="shared" si="19"/>
        <v>-20.049999999999727</v>
      </c>
      <c r="Y57" s="2"/>
      <c r="Z57" s="7">
        <f t="shared" si="20"/>
        <v>-8.6026395730000385E-3</v>
      </c>
    </row>
    <row r="58" spans="1:26" s="24" customFormat="1" hidden="1" outlineLevel="2" x14ac:dyDescent="0.25">
      <c r="A58" s="28"/>
      <c r="B58" s="11" t="str">
        <f>CONCATENATE("          ", "6114", " - ", "STATE UNEMPLOYMENT INSURANCE")</f>
        <v xml:space="preserve">          6114 - STATE UNEMPLOYMENT INSURANCE</v>
      </c>
      <c r="C58" s="11"/>
      <c r="D58" s="6">
        <v>18.61</v>
      </c>
      <c r="E58" s="2"/>
      <c r="F58" s="7">
        <f t="shared" si="13"/>
        <v>2.8216507490792857E-4</v>
      </c>
      <c r="G58" s="2"/>
      <c r="H58" s="6">
        <v>11.41</v>
      </c>
      <c r="I58" s="2"/>
      <c r="J58" s="7">
        <f t="shared" si="14"/>
        <v>1.7749039164087146E-4</v>
      </c>
      <c r="K58" s="2"/>
      <c r="L58" s="6">
        <f t="shared" si="15"/>
        <v>7.1999999999999993</v>
      </c>
      <c r="M58" s="2"/>
      <c r="N58" s="7">
        <f t="shared" si="16"/>
        <v>0.63102541630148989</v>
      </c>
      <c r="O58" s="11"/>
      <c r="P58" s="6">
        <v>51.42</v>
      </c>
      <c r="Q58" s="2"/>
      <c r="R58" s="7">
        <f t="shared" si="17"/>
        <v>3.1668425305104205E-4</v>
      </c>
      <c r="S58" s="2"/>
      <c r="T58" s="6">
        <v>39.04</v>
      </c>
      <c r="U58" s="2"/>
      <c r="V58" s="7">
        <f t="shared" si="18"/>
        <v>2.4567119364924859E-4</v>
      </c>
      <c r="W58" s="2"/>
      <c r="X58" s="6">
        <f t="shared" si="19"/>
        <v>12.380000000000003</v>
      </c>
      <c r="Y58" s="2"/>
      <c r="Z58" s="7">
        <f t="shared" si="20"/>
        <v>0.31711065573770497</v>
      </c>
    </row>
    <row r="59" spans="1:26" s="24" customFormat="1" hidden="1" outlineLevel="2" x14ac:dyDescent="0.25">
      <c r="A59" s="28"/>
      <c r="B59" s="11" t="str">
        <f>CONCATENATE("          ", "6115", " - ", "P.E.R.S.")</f>
        <v xml:space="preserve">          6115 - P.E.R.S.</v>
      </c>
      <c r="C59" s="11"/>
      <c r="D59" s="6">
        <v>98.12</v>
      </c>
      <c r="E59" s="2"/>
      <c r="F59" s="7">
        <f t="shared" si="13"/>
        <v>1.4876967839852744E-3</v>
      </c>
      <c r="G59" s="2"/>
      <c r="H59" s="6">
        <v>174.42</v>
      </c>
      <c r="I59" s="2"/>
      <c r="J59" s="7">
        <f t="shared" si="14"/>
        <v>2.7132229719544956E-3</v>
      </c>
      <c r="K59" s="2"/>
      <c r="L59" s="6">
        <f t="shared" si="15"/>
        <v>-76.299999999999983</v>
      </c>
      <c r="M59" s="2"/>
      <c r="N59" s="7">
        <f t="shared" si="16"/>
        <v>-0.4374498337346634</v>
      </c>
      <c r="O59" s="11"/>
      <c r="P59" s="6">
        <v>464.92</v>
      </c>
      <c r="Q59" s="2"/>
      <c r="R59" s="7">
        <f t="shared" si="17"/>
        <v>2.8633380577302698E-3</v>
      </c>
      <c r="S59" s="2"/>
      <c r="T59" s="6">
        <v>607.91999999999996</v>
      </c>
      <c r="U59" s="2"/>
      <c r="V59" s="7">
        <f t="shared" si="18"/>
        <v>3.825523361763606E-3</v>
      </c>
      <c r="W59" s="2"/>
      <c r="X59" s="6">
        <f t="shared" si="19"/>
        <v>-142.99999999999994</v>
      </c>
      <c r="Y59" s="2"/>
      <c r="Z59" s="7">
        <f t="shared" si="20"/>
        <v>-0.23522831951572568</v>
      </c>
    </row>
    <row r="60" spans="1:26" s="24" customFormat="1" hidden="1" outlineLevel="2" x14ac:dyDescent="0.25">
      <c r="A60" s="28"/>
      <c r="B60" s="11" t="str">
        <f>CONCATENATE("          ", "6118", " - ", "VACATION")</f>
        <v xml:space="preserve">          6118 - VACATION</v>
      </c>
      <c r="C60" s="11"/>
      <c r="D60" s="6">
        <v>286.32</v>
      </c>
      <c r="E60" s="2"/>
      <c r="F60" s="7">
        <f t="shared" si="13"/>
        <v>4.3411877618290224E-3</v>
      </c>
      <c r="G60" s="2"/>
      <c r="H60" s="6">
        <v>146.9</v>
      </c>
      <c r="I60" s="2"/>
      <c r="J60" s="7">
        <f t="shared" si="14"/>
        <v>2.2851304585489937E-3</v>
      </c>
      <c r="K60" s="2"/>
      <c r="L60" s="6">
        <f t="shared" si="15"/>
        <v>139.41999999999999</v>
      </c>
      <c r="M60" s="2"/>
      <c r="N60" s="7">
        <f t="shared" si="16"/>
        <v>0.94908100748808699</v>
      </c>
      <c r="O60" s="11"/>
      <c r="P60" s="6">
        <v>750.95</v>
      </c>
      <c r="Q60" s="2"/>
      <c r="R60" s="7">
        <f t="shared" si="17"/>
        <v>4.6249327076756134E-3</v>
      </c>
      <c r="S60" s="2"/>
      <c r="T60" s="6">
        <v>590.63</v>
      </c>
      <c r="U60" s="2"/>
      <c r="V60" s="7">
        <f t="shared" si="18"/>
        <v>3.7167207250270412E-3</v>
      </c>
      <c r="W60" s="2"/>
      <c r="X60" s="6">
        <f t="shared" si="19"/>
        <v>160.32000000000005</v>
      </c>
      <c r="Y60" s="2"/>
      <c r="Z60" s="7">
        <f t="shared" si="20"/>
        <v>0.2714389719452111</v>
      </c>
    </row>
    <row r="61" spans="1:26" s="24" customFormat="1" hidden="1" outlineLevel="2" x14ac:dyDescent="0.25">
      <c r="A61" s="28"/>
      <c r="B61" s="11" t="str">
        <f>CONCATENATE("          ", "6119", " - ", "SICK LEAVE")</f>
        <v xml:space="preserve">          6119 - SICK LEAVE</v>
      </c>
      <c r="C61" s="11"/>
      <c r="D61" s="6">
        <v>318.14999999999998</v>
      </c>
      <c r="E61" s="2"/>
      <c r="F61" s="7">
        <f t="shared" si="13"/>
        <v>4.8237946578160926E-3</v>
      </c>
      <c r="G61" s="2"/>
      <c r="H61" s="6">
        <v>117.58</v>
      </c>
      <c r="I61" s="2"/>
      <c r="J61" s="7">
        <f t="shared" si="14"/>
        <v>1.8290377080748172E-3</v>
      </c>
      <c r="K61" s="2"/>
      <c r="L61" s="6">
        <f t="shared" si="15"/>
        <v>200.57</v>
      </c>
      <c r="M61" s="2"/>
      <c r="N61" s="7">
        <f t="shared" si="16"/>
        <v>1.7058173158700458</v>
      </c>
      <c r="O61" s="11"/>
      <c r="P61" s="6">
        <v>767.88</v>
      </c>
      <c r="Q61" s="2"/>
      <c r="R61" s="7">
        <f t="shared" si="17"/>
        <v>4.7292007824355151E-3</v>
      </c>
      <c r="S61" s="2"/>
      <c r="T61" s="6">
        <v>520.82000000000005</v>
      </c>
      <c r="U61" s="2"/>
      <c r="V61" s="7">
        <f t="shared" si="18"/>
        <v>3.2774198533914358E-3</v>
      </c>
      <c r="W61" s="2"/>
      <c r="X61" s="6">
        <f t="shared" si="19"/>
        <v>247.05999999999995</v>
      </c>
      <c r="Y61" s="2"/>
      <c r="Z61" s="7">
        <f t="shared" si="20"/>
        <v>0.47436734380400125</v>
      </c>
    </row>
    <row r="62" spans="1:26" s="29" customFormat="1" outlineLevel="1" collapsed="1" x14ac:dyDescent="0.25">
      <c r="A62" s="27"/>
      <c r="B62" s="14" t="str">
        <f>CONCATENATE("     ","*Payroll                                          ")</f>
        <v xml:space="preserve">     *Payroll                                          </v>
      </c>
      <c r="C62" s="14"/>
      <c r="D62" s="1">
        <f>SUM(OSRRefD22_1x_0)</f>
        <v>6768.49</v>
      </c>
      <c r="E62" s="1"/>
      <c r="F62" s="5">
        <f t="shared" ref="F62:F65" si="21">IF(D$12=0,0,D62/D$12)</f>
        <v>0.10262393809046565</v>
      </c>
      <c r="G62" s="1"/>
      <c r="H62" s="1">
        <f>SUM(OSRRefH22_1x_0)</f>
        <v>5003.91</v>
      </c>
      <c r="I62" s="1"/>
      <c r="J62" s="5">
        <f t="shared" ref="J62:J65" si="22">IF(H$12=0,0,H62/H$12)</f>
        <v>7.783925903905986E-2</v>
      </c>
      <c r="K62" s="1"/>
      <c r="L62" s="1">
        <f t="shared" ref="L62:L65" si="23">+D62-H62</f>
        <v>1764.58</v>
      </c>
      <c r="M62" s="1"/>
      <c r="N62" s="5">
        <f t="shared" ref="N62:N65" si="24">IF(H62=0,0,L62/H62)</f>
        <v>0.35264023533596728</v>
      </c>
      <c r="O62" s="14"/>
      <c r="P62" s="1">
        <f>SUM(OSRRefP22_1x_0)</f>
        <v>21461.17</v>
      </c>
      <c r="Q62" s="1"/>
      <c r="R62" s="5">
        <f t="shared" ref="R62:R65" si="25">IF(P$12=0,0,P62/P$12)</f>
        <v>0.13217453502628221</v>
      </c>
      <c r="S62" s="1"/>
      <c r="T62" s="1">
        <f>SUM(OSRRefT22_1x_0)</f>
        <v>15596.54</v>
      </c>
      <c r="U62" s="1"/>
      <c r="V62" s="5">
        <f t="shared" ref="V62:V65" si="26">IF(T$12=0,0,T62/T$12)</f>
        <v>9.8146019431307671E-2</v>
      </c>
      <c r="W62" s="1"/>
      <c r="X62" s="1">
        <f t="shared" ref="X62:X65" si="27">+P62-T62</f>
        <v>5864.6299999999974</v>
      </c>
      <c r="Y62" s="1"/>
      <c r="Z62" s="5">
        <f t="shared" ref="Z62:Z65" si="28">IF(T62=0,0,X62/T62)</f>
        <v>0.3760212200911226</v>
      </c>
    </row>
    <row r="63" spans="1:26" s="24" customFormat="1" hidden="1" outlineLevel="2" x14ac:dyDescent="0.25">
      <c r="A63" s="28"/>
      <c r="B63" s="11" t="str">
        <f>CONCATENATE("          ", "6002", " - ", "STAFF SALARIES")</f>
        <v xml:space="preserve">          6002 - STAFF SALARIES</v>
      </c>
      <c r="C63" s="11"/>
      <c r="D63" s="6">
        <v>1098.8</v>
      </c>
      <c r="E63" s="2"/>
      <c r="F63" s="7">
        <f t="shared" si="21"/>
        <v>1.666002065066265E-2</v>
      </c>
      <c r="G63" s="2"/>
      <c r="H63" s="6">
        <v>2549.2199999999998</v>
      </c>
      <c r="I63" s="2"/>
      <c r="J63" s="7">
        <f t="shared" si="22"/>
        <v>3.9654869077891522E-2</v>
      </c>
      <c r="K63" s="2"/>
      <c r="L63" s="6">
        <f t="shared" si="23"/>
        <v>-1450.4199999999998</v>
      </c>
      <c r="M63" s="2"/>
      <c r="N63" s="7">
        <f t="shared" si="24"/>
        <v>-0.5689661935807816</v>
      </c>
      <c r="O63" s="11"/>
      <c r="P63" s="6">
        <v>6875.91</v>
      </c>
      <c r="Q63" s="2"/>
      <c r="R63" s="7">
        <f t="shared" si="25"/>
        <v>4.234718830019818E-2</v>
      </c>
      <c r="S63" s="2"/>
      <c r="T63" s="6">
        <v>7648.35</v>
      </c>
      <c r="U63" s="2"/>
      <c r="V63" s="7">
        <f t="shared" si="26"/>
        <v>4.8129592058074551E-2</v>
      </c>
      <c r="W63" s="2"/>
      <c r="X63" s="6">
        <f t="shared" si="27"/>
        <v>-772.44000000000051</v>
      </c>
      <c r="Y63" s="2"/>
      <c r="Z63" s="7">
        <f t="shared" si="28"/>
        <v>-0.1009943321108475</v>
      </c>
    </row>
    <row r="64" spans="1:26" s="24" customFormat="1" hidden="1" outlineLevel="2" x14ac:dyDescent="0.25">
      <c r="A64" s="28"/>
      <c r="B64" s="11" t="str">
        <f>CONCATENATE("          ", "6006", " - ", "TEMPORARY PART TIME")</f>
        <v xml:space="preserve">          6006 - TEMPORARY PART TIME</v>
      </c>
      <c r="C64" s="11"/>
      <c r="D64" s="6"/>
      <c r="E64" s="2"/>
      <c r="F64" s="7">
        <f t="shared" si="21"/>
        <v>0</v>
      </c>
      <c r="G64" s="2"/>
      <c r="H64" s="6"/>
      <c r="I64" s="2"/>
      <c r="J64" s="7">
        <f t="shared" si="22"/>
        <v>0</v>
      </c>
      <c r="K64" s="2"/>
      <c r="L64" s="6">
        <f t="shared" si="23"/>
        <v>0</v>
      </c>
      <c r="M64" s="2"/>
      <c r="N64" s="7">
        <f t="shared" si="24"/>
        <v>0</v>
      </c>
      <c r="O64" s="11"/>
      <c r="P64" s="6"/>
      <c r="Q64" s="2"/>
      <c r="R64" s="7">
        <f t="shared" si="25"/>
        <v>0</v>
      </c>
      <c r="S64" s="2"/>
      <c r="T64" s="6">
        <v>58.75</v>
      </c>
      <c r="U64" s="2"/>
      <c r="V64" s="7">
        <f t="shared" si="26"/>
        <v>3.6970242384460434E-4</v>
      </c>
      <c r="W64" s="2"/>
      <c r="X64" s="6">
        <f t="shared" si="27"/>
        <v>-58.75</v>
      </c>
      <c r="Y64" s="2"/>
      <c r="Z64" s="7">
        <f t="shared" si="28"/>
        <v>-1</v>
      </c>
    </row>
    <row r="65" spans="1:26" s="24" customFormat="1" hidden="1" outlineLevel="2" x14ac:dyDescent="0.25">
      <c r="A65" s="28"/>
      <c r="B65" s="11" t="str">
        <f>CONCATENATE("          ", "6007", " - ", "STUDENT HOURLY")</f>
        <v xml:space="preserve">          6007 - STUDENT HOURLY</v>
      </c>
      <c r="C65" s="11"/>
      <c r="D65" s="6">
        <v>5669.69</v>
      </c>
      <c r="E65" s="2"/>
      <c r="F65" s="7">
        <f t="shared" si="21"/>
        <v>8.5963917439802986E-2</v>
      </c>
      <c r="G65" s="2"/>
      <c r="H65" s="6">
        <v>2454.69</v>
      </c>
      <c r="I65" s="2"/>
      <c r="J65" s="7">
        <f t="shared" si="22"/>
        <v>3.8184389961168339E-2</v>
      </c>
      <c r="K65" s="2"/>
      <c r="L65" s="6">
        <f t="shared" si="23"/>
        <v>3214.9999999999995</v>
      </c>
      <c r="M65" s="2"/>
      <c r="N65" s="7">
        <f t="shared" si="24"/>
        <v>1.309737685817761</v>
      </c>
      <c r="O65" s="11"/>
      <c r="P65" s="6">
        <v>14585.26</v>
      </c>
      <c r="Q65" s="2"/>
      <c r="R65" s="7">
        <f t="shared" si="25"/>
        <v>8.9827346726084042E-2</v>
      </c>
      <c r="S65" s="2"/>
      <c r="T65" s="6">
        <v>7889.44</v>
      </c>
      <c r="U65" s="2"/>
      <c r="V65" s="7">
        <f t="shared" si="26"/>
        <v>4.9646724949388515E-2</v>
      </c>
      <c r="W65" s="2"/>
      <c r="X65" s="6">
        <f t="shared" si="27"/>
        <v>6695.8200000000006</v>
      </c>
      <c r="Y65" s="2"/>
      <c r="Z65" s="7">
        <f t="shared" si="28"/>
        <v>0.84870662556531273</v>
      </c>
    </row>
    <row r="66" spans="1:26" s="29" customFormat="1" outlineLevel="1" collapsed="1" x14ac:dyDescent="0.25">
      <c r="A66" s="27"/>
      <c r="B66" s="14" t="str">
        <f>CONCATENATE("     ","Advertising/Promo                                 ")</f>
        <v xml:space="preserve">     Advertising/Promo                                 </v>
      </c>
      <c r="C66" s="14"/>
      <c r="D66" s="1">
        <f>SUM(OSRRefD22_2x_0)</f>
        <v>45.86</v>
      </c>
      <c r="E66" s="1"/>
      <c r="F66" s="5">
        <f t="shared" ref="F66:F70" si="29">IF(D$12=0,0,D66/D$12)</f>
        <v>6.95329948161075E-4</v>
      </c>
      <c r="G66" s="1"/>
      <c r="H66" s="1">
        <f>SUM(OSRRefH22_2x_0)</f>
        <v>40</v>
      </c>
      <c r="I66" s="1"/>
      <c r="J66" s="5">
        <f t="shared" ref="J66:J70" si="30">IF(H$12=0,0,H66/H$12)</f>
        <v>6.2222749041497441E-4</v>
      </c>
      <c r="K66" s="1"/>
      <c r="L66" s="1">
        <f t="shared" ref="L66:L70" si="31">+D66-H66</f>
        <v>5.8599999999999994</v>
      </c>
      <c r="M66" s="1"/>
      <c r="N66" s="5">
        <f t="shared" ref="N66:N70" si="32">IF(H66=0,0,L66/H66)</f>
        <v>0.14649999999999999</v>
      </c>
      <c r="O66" s="14"/>
      <c r="P66" s="1">
        <f>SUM(OSRRefP22_2x_0)</f>
        <v>45.86</v>
      </c>
      <c r="Q66" s="1"/>
      <c r="R66" s="5">
        <f t="shared" ref="R66:R70" si="33">IF(P$12=0,0,P66/P$12)</f>
        <v>2.824414594500348E-4</v>
      </c>
      <c r="S66" s="1"/>
      <c r="T66" s="1">
        <f>SUM(OSRRefT22_2x_0)</f>
        <v>85.86</v>
      </c>
      <c r="U66" s="1"/>
      <c r="V66" s="5">
        <f t="shared" ref="V66:V70" si="34">IF(T$12=0,0,T66/T$12)</f>
        <v>5.4030042742634428E-4</v>
      </c>
      <c r="W66" s="1"/>
      <c r="X66" s="1">
        <f t="shared" ref="X66:X70" si="35">+P66-T66</f>
        <v>-40</v>
      </c>
      <c r="Y66" s="1"/>
      <c r="Z66" s="5">
        <f t="shared" ref="Z66:Z70" si="36">IF(T66=0,0,X66/T66)</f>
        <v>-0.4658746797111577</v>
      </c>
    </row>
    <row r="67" spans="1:26" s="24" customFormat="1" hidden="1" outlineLevel="2" x14ac:dyDescent="0.25">
      <c r="A67" s="28"/>
      <c r="B67" s="11" t="str">
        <f>CONCATENATE("          ", "6362", " - ", "ADVERTISING EXPENSE")</f>
        <v xml:space="preserve">          6362 - ADVERTISING EXPENSE</v>
      </c>
      <c r="C67" s="11"/>
      <c r="D67" s="6">
        <v>45.86</v>
      </c>
      <c r="E67" s="2"/>
      <c r="F67" s="7">
        <f t="shared" si="29"/>
        <v>6.95329948161075E-4</v>
      </c>
      <c r="G67" s="2"/>
      <c r="H67" s="6">
        <v>40</v>
      </c>
      <c r="I67" s="2"/>
      <c r="J67" s="7">
        <f t="shared" si="30"/>
        <v>6.2222749041497441E-4</v>
      </c>
      <c r="K67" s="2"/>
      <c r="L67" s="6">
        <f t="shared" si="31"/>
        <v>5.8599999999999994</v>
      </c>
      <c r="M67" s="2"/>
      <c r="N67" s="7">
        <f t="shared" si="32"/>
        <v>0.14649999999999999</v>
      </c>
      <c r="O67" s="11"/>
      <c r="P67" s="6">
        <v>45.86</v>
      </c>
      <c r="Q67" s="2"/>
      <c r="R67" s="7">
        <f t="shared" si="33"/>
        <v>2.824414594500348E-4</v>
      </c>
      <c r="S67" s="2"/>
      <c r="T67" s="6">
        <v>85.86</v>
      </c>
      <c r="U67" s="2"/>
      <c r="V67" s="7">
        <f t="shared" si="34"/>
        <v>5.4030042742634428E-4</v>
      </c>
      <c r="W67" s="2"/>
      <c r="X67" s="6">
        <f t="shared" si="35"/>
        <v>-40</v>
      </c>
      <c r="Y67" s="2"/>
      <c r="Z67" s="7">
        <f t="shared" si="36"/>
        <v>-0.4658746797111577</v>
      </c>
    </row>
    <row r="68" spans="1:26" s="29" customFormat="1" outlineLevel="1" collapsed="1" x14ac:dyDescent="0.25">
      <c r="A68" s="27"/>
      <c r="B68" s="14" t="str">
        <f>CONCATENATE("     ","Discounts and Markdowns                           ")</f>
        <v xml:space="preserve">     Discounts and Markdowns                           </v>
      </c>
      <c r="C68" s="14"/>
      <c r="D68" s="1">
        <f>SUM(OSRRefD22_3x_0)</f>
        <v>321.94</v>
      </c>
      <c r="E68" s="1"/>
      <c r="F68" s="5">
        <f t="shared" si="29"/>
        <v>4.8812586897290988E-3</v>
      </c>
      <c r="G68" s="1"/>
      <c r="H68" s="1">
        <f>SUM(OSRRefH22_3x_0)</f>
        <v>98.330000000000041</v>
      </c>
      <c r="I68" s="1"/>
      <c r="J68" s="5">
        <f t="shared" si="30"/>
        <v>1.5295907283126116E-3</v>
      </c>
      <c r="K68" s="1"/>
      <c r="L68" s="1">
        <f t="shared" si="31"/>
        <v>223.60999999999996</v>
      </c>
      <c r="M68" s="1"/>
      <c r="N68" s="5">
        <f t="shared" si="32"/>
        <v>2.2740770873588922</v>
      </c>
      <c r="O68" s="14"/>
      <c r="P68" s="1">
        <f>SUM(OSRRefP22_3x_0)</f>
        <v>3382.41</v>
      </c>
      <c r="Q68" s="1"/>
      <c r="R68" s="5">
        <f t="shared" si="33"/>
        <v>2.0831504946759533E-2</v>
      </c>
      <c r="S68" s="1"/>
      <c r="T68" s="1">
        <f>SUM(OSRRefT22_3x_0)</f>
        <v>4069.5600000000004</v>
      </c>
      <c r="U68" s="1"/>
      <c r="V68" s="5">
        <f t="shared" si="34"/>
        <v>2.5608956527336992E-2</v>
      </c>
      <c r="W68" s="1"/>
      <c r="X68" s="1">
        <f t="shared" si="35"/>
        <v>-687.15000000000055</v>
      </c>
      <c r="Y68" s="1"/>
      <c r="Z68" s="5">
        <f t="shared" si="36"/>
        <v>-0.16885117801433092</v>
      </c>
    </row>
    <row r="69" spans="1:26" s="24" customFormat="1" hidden="1" outlineLevel="2" x14ac:dyDescent="0.25">
      <c r="A69" s="28"/>
      <c r="B69" s="11" t="str">
        <f>CONCATENATE("          ", "6382", " - ", "DISCOUNTS/MARK DOWNS")</f>
        <v xml:space="preserve">          6382 - DISCOUNTS/MARK DOWNS</v>
      </c>
      <c r="C69" s="11"/>
      <c r="D69" s="6">
        <v>373.06</v>
      </c>
      <c r="E69" s="2"/>
      <c r="F69" s="7">
        <f t="shared" si="29"/>
        <v>5.656340829938304E-3</v>
      </c>
      <c r="G69" s="2"/>
      <c r="H69" s="6">
        <v>814.61</v>
      </c>
      <c r="I69" s="2"/>
      <c r="J69" s="7">
        <f t="shared" si="30"/>
        <v>1.2671818399173558E-2</v>
      </c>
      <c r="K69" s="2"/>
      <c r="L69" s="6">
        <f t="shared" si="31"/>
        <v>-441.55</v>
      </c>
      <c r="M69" s="2"/>
      <c r="N69" s="7">
        <f t="shared" si="32"/>
        <v>-0.54203852150108645</v>
      </c>
      <c r="O69" s="11"/>
      <c r="P69" s="6">
        <v>3488.33</v>
      </c>
      <c r="Q69" s="2"/>
      <c r="R69" s="7">
        <f t="shared" si="33"/>
        <v>2.1483842482410375E-2</v>
      </c>
      <c r="S69" s="2"/>
      <c r="T69" s="6">
        <v>4785.84</v>
      </c>
      <c r="U69" s="2"/>
      <c r="V69" s="7">
        <f t="shared" si="34"/>
        <v>3.0116368478850405E-2</v>
      </c>
      <c r="W69" s="2"/>
      <c r="X69" s="6">
        <f t="shared" si="35"/>
        <v>-1297.5100000000002</v>
      </c>
      <c r="Y69" s="2"/>
      <c r="Z69" s="7">
        <f t="shared" si="36"/>
        <v>-0.27111437072697797</v>
      </c>
    </row>
    <row r="70" spans="1:26" s="24" customFormat="1" hidden="1" outlineLevel="2" x14ac:dyDescent="0.25">
      <c r="A70" s="28"/>
      <c r="B70" s="11" t="str">
        <f>CONCATENATE("          ", "9175", " - ", "EARNED DISCOUNTS")</f>
        <v xml:space="preserve">          9175 - EARNED DISCOUNTS</v>
      </c>
      <c r="C70" s="11"/>
      <c r="D70" s="6">
        <v>-51.12</v>
      </c>
      <c r="E70" s="2"/>
      <c r="F70" s="7">
        <f t="shared" si="29"/>
        <v>-7.7508214020920521E-4</v>
      </c>
      <c r="G70" s="2"/>
      <c r="H70" s="6">
        <v>-716.28</v>
      </c>
      <c r="I70" s="2"/>
      <c r="J70" s="7">
        <f t="shared" si="30"/>
        <v>-1.1142227670860946E-2</v>
      </c>
      <c r="K70" s="2"/>
      <c r="L70" s="6">
        <f t="shared" si="31"/>
        <v>665.16</v>
      </c>
      <c r="M70" s="2"/>
      <c r="N70" s="7">
        <f t="shared" si="32"/>
        <v>-0.92863126151784214</v>
      </c>
      <c r="O70" s="11"/>
      <c r="P70" s="6">
        <v>-105.92</v>
      </c>
      <c r="Q70" s="2"/>
      <c r="R70" s="7">
        <f t="shared" si="33"/>
        <v>-6.5233753565084357E-4</v>
      </c>
      <c r="S70" s="2"/>
      <c r="T70" s="6">
        <v>-716.28</v>
      </c>
      <c r="U70" s="2"/>
      <c r="V70" s="7">
        <f t="shared" si="34"/>
        <v>-4.507411951513416E-3</v>
      </c>
      <c r="W70" s="2"/>
      <c r="X70" s="6">
        <f t="shared" si="35"/>
        <v>610.36</v>
      </c>
      <c r="Y70" s="2"/>
      <c r="Z70" s="7">
        <f t="shared" si="36"/>
        <v>-0.85212486737030213</v>
      </c>
    </row>
    <row r="71" spans="1:26" s="29" customFormat="1" outlineLevel="1" collapsed="1" x14ac:dyDescent="0.25">
      <c r="A71" s="27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SUM(OSRRefD22_4x_0)</f>
        <v>0</v>
      </c>
      <c r="E71" s="1"/>
      <c r="F71" s="5">
        <f t="shared" ref="F71:F75" si="37">IF(D$12=0,0,D71/D$12)</f>
        <v>0</v>
      </c>
      <c r="G71" s="1"/>
      <c r="H71" s="1">
        <f>SUM(OSRRefH22_4x_0)</f>
        <v>120</v>
      </c>
      <c r="I71" s="1"/>
      <c r="J71" s="5">
        <f t="shared" ref="J71:J75" si="38">IF(H$12=0,0,H71/H$12)</f>
        <v>1.8666824712449232E-3</v>
      </c>
      <c r="K71" s="1"/>
      <c r="L71" s="1">
        <f t="shared" ref="L71:L75" si="39">+D71-H71</f>
        <v>-120</v>
      </c>
      <c r="M71" s="1"/>
      <c r="N71" s="5">
        <f t="shared" ref="N71:N75" si="40">IF(H71=0,0,L71/H71)</f>
        <v>-1</v>
      </c>
      <c r="O71" s="14"/>
      <c r="P71" s="1">
        <f>SUM(OSRRefP22_4x_0)</f>
        <v>120</v>
      </c>
      <c r="Q71" s="1"/>
      <c r="R71" s="5">
        <f t="shared" ref="R71:R75" si="41">IF(P$12=0,0,P71/P$12)</f>
        <v>7.3905309930231522E-4</v>
      </c>
      <c r="S71" s="1"/>
      <c r="T71" s="1">
        <f>SUM(OSRRefT22_4x_0)</f>
        <v>120</v>
      </c>
      <c r="U71" s="1"/>
      <c r="V71" s="5">
        <f t="shared" ref="V71:V75" si="42">IF(T$12=0,0,T71/T$12)</f>
        <v>7.5513686572514934E-4</v>
      </c>
      <c r="W71" s="1"/>
      <c r="X71" s="1">
        <f t="shared" ref="X71:X75" si="43">+P71-T71</f>
        <v>0</v>
      </c>
      <c r="Y71" s="1"/>
      <c r="Z71" s="5">
        <f t="shared" ref="Z71:Z75" si="44">IF(T71=0,0,X71/T71)</f>
        <v>0</v>
      </c>
    </row>
    <row r="72" spans="1:26" s="24" customFormat="1" hidden="1" outlineLevel="2" x14ac:dyDescent="0.25">
      <c r="A72" s="28"/>
      <c r="B72" s="11" t="str">
        <f>CONCATENATE("          ", "6258", " - ", "MEMBERSHIP DUES")</f>
        <v xml:space="preserve">          6258 - MEMBERSHIP DUES</v>
      </c>
      <c r="C72" s="11"/>
      <c r="D72" s="6"/>
      <c r="E72" s="2"/>
      <c r="F72" s="7">
        <f t="shared" si="37"/>
        <v>0</v>
      </c>
      <c r="G72" s="2"/>
      <c r="H72" s="6">
        <v>120</v>
      </c>
      <c r="I72" s="2"/>
      <c r="J72" s="7">
        <f t="shared" si="38"/>
        <v>1.8666824712449232E-3</v>
      </c>
      <c r="K72" s="2"/>
      <c r="L72" s="6">
        <f t="shared" si="39"/>
        <v>-120</v>
      </c>
      <c r="M72" s="2"/>
      <c r="N72" s="7">
        <f t="shared" si="40"/>
        <v>-1</v>
      </c>
      <c r="O72" s="11"/>
      <c r="P72" s="6">
        <v>120</v>
      </c>
      <c r="Q72" s="2"/>
      <c r="R72" s="7">
        <f t="shared" si="41"/>
        <v>7.3905309930231522E-4</v>
      </c>
      <c r="S72" s="2"/>
      <c r="T72" s="6">
        <v>120</v>
      </c>
      <c r="U72" s="2"/>
      <c r="V72" s="7">
        <f t="shared" si="42"/>
        <v>7.5513686572514934E-4</v>
      </c>
      <c r="W72" s="2"/>
      <c r="X72" s="6">
        <f t="shared" si="43"/>
        <v>0</v>
      </c>
      <c r="Y72" s="2"/>
      <c r="Z72" s="7">
        <f t="shared" si="44"/>
        <v>0</v>
      </c>
    </row>
    <row r="73" spans="1:26" s="29" customFormat="1" outlineLevel="1" collapsed="1" x14ac:dyDescent="0.25">
      <c r="A73" s="27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SUM(OSRRefD22_5x_0)</f>
        <v>0</v>
      </c>
      <c r="E73" s="1"/>
      <c r="F73" s="5">
        <f t="shared" si="37"/>
        <v>0</v>
      </c>
      <c r="G73" s="1"/>
      <c r="H73" s="1">
        <f>SUM(OSRRefH22_5x_0)</f>
        <v>33.94</v>
      </c>
      <c r="I73" s="1"/>
      <c r="J73" s="5">
        <f t="shared" si="38"/>
        <v>5.2796002561710572E-4</v>
      </c>
      <c r="K73" s="1"/>
      <c r="L73" s="1">
        <f t="shared" si="39"/>
        <v>-33.94</v>
      </c>
      <c r="M73" s="1"/>
      <c r="N73" s="5">
        <f t="shared" si="40"/>
        <v>-1</v>
      </c>
      <c r="O73" s="14"/>
      <c r="P73" s="1">
        <f>SUM(OSRRefP22_5x_0)</f>
        <v>198.33</v>
      </c>
      <c r="Q73" s="1"/>
      <c r="R73" s="5">
        <f t="shared" si="41"/>
        <v>1.2214700098719014E-3</v>
      </c>
      <c r="S73" s="1"/>
      <c r="T73" s="1">
        <f>SUM(OSRRefT22_5x_0)</f>
        <v>165.59</v>
      </c>
      <c r="U73" s="1"/>
      <c r="V73" s="5">
        <f t="shared" si="42"/>
        <v>1.0420259466285622E-3</v>
      </c>
      <c r="W73" s="1"/>
      <c r="X73" s="1">
        <f t="shared" si="43"/>
        <v>32.740000000000009</v>
      </c>
      <c r="Y73" s="1"/>
      <c r="Z73" s="5">
        <f t="shared" si="44"/>
        <v>0.19771725345733443</v>
      </c>
    </row>
    <row r="74" spans="1:26" s="24" customFormat="1" hidden="1" outlineLevel="2" x14ac:dyDescent="0.25">
      <c r="A74" s="28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37"/>
        <v>0</v>
      </c>
      <c r="G74" s="2"/>
      <c r="H74" s="6">
        <v>33.94</v>
      </c>
      <c r="I74" s="2"/>
      <c r="J74" s="7">
        <f t="shared" si="38"/>
        <v>5.2796002561710572E-4</v>
      </c>
      <c r="K74" s="2"/>
      <c r="L74" s="6">
        <f t="shared" si="39"/>
        <v>-33.94</v>
      </c>
      <c r="M74" s="2"/>
      <c r="N74" s="7">
        <f t="shared" si="40"/>
        <v>-1</v>
      </c>
      <c r="O74" s="11"/>
      <c r="P74" s="6">
        <v>198.33</v>
      </c>
      <c r="Q74" s="2"/>
      <c r="R74" s="7">
        <f t="shared" si="41"/>
        <v>1.2214700098719014E-3</v>
      </c>
      <c r="S74" s="2"/>
      <c r="T74" s="6">
        <v>162.06</v>
      </c>
      <c r="U74" s="2"/>
      <c r="V74" s="7">
        <f t="shared" si="42"/>
        <v>1.0198123371618142E-3</v>
      </c>
      <c r="W74" s="2"/>
      <c r="X74" s="6">
        <f t="shared" si="43"/>
        <v>36.27000000000001</v>
      </c>
      <c r="Y74" s="2"/>
      <c r="Z74" s="7">
        <f t="shared" si="44"/>
        <v>0.22380599777860058</v>
      </c>
    </row>
    <row r="75" spans="1:26" s="24" customFormat="1" hidden="1" outlineLevel="2" x14ac:dyDescent="0.25">
      <c r="A75" s="28"/>
      <c r="B75" s="11" t="str">
        <f>CONCATENATE("          ", "6245", " - ", "PRINTING")</f>
        <v xml:space="preserve">          6245 - PRINTING</v>
      </c>
      <c r="C75" s="11"/>
      <c r="D75" s="6"/>
      <c r="E75" s="2"/>
      <c r="F75" s="7">
        <f t="shared" si="37"/>
        <v>0</v>
      </c>
      <c r="G75" s="2"/>
      <c r="H75" s="6"/>
      <c r="I75" s="2"/>
      <c r="J75" s="7">
        <f t="shared" si="38"/>
        <v>0</v>
      </c>
      <c r="K75" s="2"/>
      <c r="L75" s="6">
        <f t="shared" si="39"/>
        <v>0</v>
      </c>
      <c r="M75" s="2"/>
      <c r="N75" s="7">
        <f t="shared" si="40"/>
        <v>0</v>
      </c>
      <c r="O75" s="11"/>
      <c r="P75" s="6"/>
      <c r="Q75" s="2"/>
      <c r="R75" s="7">
        <f t="shared" si="41"/>
        <v>0</v>
      </c>
      <c r="S75" s="2"/>
      <c r="T75" s="6">
        <v>3.53</v>
      </c>
      <c r="U75" s="2"/>
      <c r="V75" s="7">
        <f t="shared" si="42"/>
        <v>2.2213609466748142E-5</v>
      </c>
      <c r="W75" s="2"/>
      <c r="X75" s="6">
        <f t="shared" si="43"/>
        <v>-3.53</v>
      </c>
      <c r="Y75" s="2"/>
      <c r="Z75" s="7">
        <f t="shared" si="44"/>
        <v>-1</v>
      </c>
    </row>
    <row r="76" spans="1:26" s="29" customFormat="1" outlineLevel="1" collapsed="1" x14ac:dyDescent="0.25">
      <c r="A76" s="27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SUM(OSRRefD22_6x_0)</f>
        <v>0</v>
      </c>
      <c r="E76" s="1"/>
      <c r="F76" s="5">
        <f t="shared" ref="F76:F77" si="45">IF(D$12=0,0,D76/D$12)</f>
        <v>0</v>
      </c>
      <c r="G76" s="1"/>
      <c r="H76" s="1">
        <f>SUM(OSRRefH22_6x_0)</f>
        <v>0</v>
      </c>
      <c r="I76" s="1"/>
      <c r="J76" s="5">
        <f t="shared" ref="J76:J77" si="46">IF(H$12=0,0,H76/H$12)</f>
        <v>0</v>
      </c>
      <c r="K76" s="1"/>
      <c r="L76" s="1">
        <f t="shared" ref="L76:L77" si="47">+D76-H76</f>
        <v>0</v>
      </c>
      <c r="M76" s="1"/>
      <c r="N76" s="5">
        <f t="shared" ref="N76:N77" si="48">IF(H76=0,0,L76/H76)</f>
        <v>0</v>
      </c>
      <c r="O76" s="14"/>
      <c r="P76" s="1">
        <f>SUM(OSRRefP22_6x_0)</f>
        <v>0</v>
      </c>
      <c r="Q76" s="1"/>
      <c r="R76" s="5">
        <f t="shared" ref="R76:R77" si="49">IF(P$12=0,0,P76/P$12)</f>
        <v>0</v>
      </c>
      <c r="S76" s="1"/>
      <c r="T76" s="1">
        <f>SUM(OSRRefT22_6x_0)</f>
        <v>120</v>
      </c>
      <c r="U76" s="1"/>
      <c r="V76" s="5">
        <f t="shared" ref="V76:V77" si="50">IF(T$12=0,0,T76/T$12)</f>
        <v>7.5513686572514934E-4</v>
      </c>
      <c r="W76" s="1"/>
      <c r="X76" s="1">
        <f t="shared" ref="X76:X77" si="51">+P76-T76</f>
        <v>-120</v>
      </c>
      <c r="Y76" s="1"/>
      <c r="Z76" s="5">
        <f t="shared" ref="Z76:Z77" si="52">IF(T76=0,0,X76/T76)</f>
        <v>-1</v>
      </c>
    </row>
    <row r="77" spans="1:26" s="24" customFormat="1" hidden="1" outlineLevel="2" x14ac:dyDescent="0.25">
      <c r="A77" s="28"/>
      <c r="B77" s="11" t="str">
        <f>CONCATENATE("          ", "6309", " - ", "TELEPHONE")</f>
        <v xml:space="preserve">          6309 - TELEPHONE</v>
      </c>
      <c r="C77" s="11"/>
      <c r="D77" s="6"/>
      <c r="E77" s="2"/>
      <c r="F77" s="7">
        <f t="shared" si="45"/>
        <v>0</v>
      </c>
      <c r="G77" s="2"/>
      <c r="H77" s="6"/>
      <c r="I77" s="2"/>
      <c r="J77" s="7">
        <f t="shared" si="46"/>
        <v>0</v>
      </c>
      <c r="K77" s="2"/>
      <c r="L77" s="6">
        <f t="shared" si="47"/>
        <v>0</v>
      </c>
      <c r="M77" s="2"/>
      <c r="N77" s="7">
        <f t="shared" si="48"/>
        <v>0</v>
      </c>
      <c r="O77" s="11"/>
      <c r="P77" s="6"/>
      <c r="Q77" s="2"/>
      <c r="R77" s="7">
        <f t="shared" si="49"/>
        <v>0</v>
      </c>
      <c r="S77" s="2"/>
      <c r="T77" s="6">
        <v>120</v>
      </c>
      <c r="U77" s="2"/>
      <c r="V77" s="7">
        <f t="shared" si="50"/>
        <v>7.5513686572514934E-4</v>
      </c>
      <c r="W77" s="2"/>
      <c r="X77" s="6">
        <f t="shared" si="51"/>
        <v>-120</v>
      </c>
      <c r="Y77" s="2"/>
      <c r="Z77" s="7">
        <f t="shared" si="52"/>
        <v>-1</v>
      </c>
    </row>
    <row r="78" spans="1:26" s="53" customFormat="1" x14ac:dyDescent="0.25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5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6" t="s">
        <v>3</v>
      </c>
      <c r="C81" s="26"/>
      <c r="D81" s="21">
        <f>+D51-D53+D79</f>
        <v>25421.110000000022</v>
      </c>
      <c r="E81" s="13"/>
      <c r="F81" s="20">
        <f>IF(D$12=0,0,D81/D$12)</f>
        <v>0.38543521802217617</v>
      </c>
      <c r="G81" s="13"/>
      <c r="H81" s="21">
        <f>+H51-H53+H79</f>
        <v>25342.899999999998</v>
      </c>
      <c r="I81" s="13"/>
      <c r="J81" s="20">
        <f>IF(H$12=0,0,H81/H$12)</f>
        <v>0.39422622667094137</v>
      </c>
      <c r="K81" s="15"/>
      <c r="L81" s="21">
        <f>+D81-H81</f>
        <v>78.210000000024593</v>
      </c>
      <c r="M81" s="15"/>
      <c r="N81" s="20">
        <f>IF(H81=0,0,L81/H81)</f>
        <v>3.0860714440740641E-3</v>
      </c>
      <c r="O81" s="25"/>
      <c r="P81" s="21">
        <f>+P51-P53+P79</f>
        <v>56739.770000000033</v>
      </c>
      <c r="Q81" s="13"/>
      <c r="R81" s="20">
        <f>IF(P$12=0,0,P81/P$12)</f>
        <v>0.34944752393500456</v>
      </c>
      <c r="S81" s="13"/>
      <c r="T81" s="21">
        <f>+T51-T53+T79</f>
        <v>53414.090000000018</v>
      </c>
      <c r="U81" s="13"/>
      <c r="V81" s="20">
        <f>IF(T$12=0,0,T81/T$12)</f>
        <v>0.33612457090134212</v>
      </c>
      <c r="W81" s="15"/>
      <c r="X81" s="21">
        <f>+P81-T81</f>
        <v>3325.6800000000148</v>
      </c>
      <c r="Y81" s="15"/>
      <c r="Z81" s="20">
        <f>IF(T81=0,0,X81/T81)</f>
        <v>6.2262223319727319E-2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1"/>
      <c r="B83" s="10" t="s">
        <v>13</v>
      </c>
      <c r="C83" s="10"/>
      <c r="D83" s="4">
        <v>5419.41</v>
      </c>
      <c r="E83" s="4"/>
      <c r="F83" s="12">
        <f>IF(D$12=0,0,D83/D$12)</f>
        <v>8.2169168651626934E-2</v>
      </c>
      <c r="G83" s="4"/>
      <c r="H83" s="4">
        <v>4457.92</v>
      </c>
      <c r="I83" s="4"/>
      <c r="J83" s="12">
        <f>IF(H$12=0,0,H83/H$12)</f>
        <v>6.9346009351768073E-2</v>
      </c>
      <c r="K83" s="4"/>
      <c r="L83" s="4">
        <f>+D83-H83</f>
        <v>961.48999999999978</v>
      </c>
      <c r="M83" s="4"/>
      <c r="N83" s="12">
        <f>IF(H83=0,0,L83/H83)</f>
        <v>0.21568130428540661</v>
      </c>
      <c r="O83" s="10"/>
      <c r="P83" s="4">
        <v>17440.68</v>
      </c>
      <c r="Q83" s="4"/>
      <c r="R83" s="12">
        <f>IF(P$12=0,0,P83/P$12)</f>
        <v>0.10741323839949919</v>
      </c>
      <c r="S83" s="4"/>
      <c r="T83" s="4">
        <v>14118.83</v>
      </c>
      <c r="U83" s="4"/>
      <c r="V83" s="12">
        <f>IF(T$12=0,0,T83/T$12)</f>
        <v>8.8847075282551743E-2</v>
      </c>
      <c r="W83" s="4"/>
      <c r="X83" s="4">
        <f>+P83-T83</f>
        <v>3321.8500000000004</v>
      </c>
      <c r="Y83" s="4"/>
      <c r="Z83" s="12">
        <f>IF(T83=0,0,X83/T83)</f>
        <v>0.23527799399808627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6" t="s">
        <v>4</v>
      </c>
      <c r="C85" s="26"/>
      <c r="D85" s="35">
        <f>+D81-D83</f>
        <v>20001.700000000023</v>
      </c>
      <c r="E85" s="13"/>
      <c r="F85" s="30">
        <f>IF(D$12=0,0,D85/D$12)</f>
        <v>0.30326604937054924</v>
      </c>
      <c r="G85" s="13"/>
      <c r="H85" s="35">
        <f>+H81-H83</f>
        <v>20884.979999999996</v>
      </c>
      <c r="I85" s="13"/>
      <c r="J85" s="30">
        <f>IF(H$12=0,0,H85/H$12)</f>
        <v>0.32488021731917327</v>
      </c>
      <c r="K85" s="15"/>
      <c r="L85" s="35">
        <f>D85-H85</f>
        <v>-883.27999999997337</v>
      </c>
      <c r="M85" s="15"/>
      <c r="N85" s="30">
        <f>IF(H85=0,0,L85/H85)</f>
        <v>-4.2292594965375768E-2</v>
      </c>
      <c r="O85" s="25"/>
      <c r="P85" s="35">
        <f>+P81-P83</f>
        <v>39299.090000000033</v>
      </c>
      <c r="Q85" s="13"/>
      <c r="R85" s="30">
        <f>IF(P$12=0,0,P85/P$12)</f>
        <v>0.24203428553550538</v>
      </c>
      <c r="S85" s="13"/>
      <c r="T85" s="35">
        <f>+T81-T83</f>
        <v>39295.260000000017</v>
      </c>
      <c r="U85" s="13"/>
      <c r="V85" s="30">
        <f>IF(T$12=0,0,T85/T$12)</f>
        <v>0.24727749561879037</v>
      </c>
      <c r="W85" s="15"/>
      <c r="X85" s="35">
        <f>P85-T85</f>
        <v>3.8300000000162981</v>
      </c>
      <c r="Y85" s="15"/>
      <c r="Z85" s="30">
        <f>IF(T85=0,0,X85/T85)</f>
        <v>9.7467226327457732E-5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6" t="s">
        <v>5</v>
      </c>
      <c r="C88" s="26"/>
      <c r="D88" s="36">
        <f>SUM(D85:D87)</f>
        <v>20001.700000000023</v>
      </c>
      <c r="E88" s="13"/>
      <c r="F88" s="31">
        <f>IF(D$12=0,0,D88/D$12)</f>
        <v>0.30326604937054924</v>
      </c>
      <c r="G88" s="13"/>
      <c r="H88" s="36">
        <f>SUM(H85:H87)</f>
        <v>20884.979999999996</v>
      </c>
      <c r="I88" s="13"/>
      <c r="J88" s="31">
        <f>IF(H$12=0,0,H88/H$12)</f>
        <v>0.32488021731917327</v>
      </c>
      <c r="K88" s="15"/>
      <c r="L88" s="36">
        <f>+D88-H88</f>
        <v>-883.27999999997337</v>
      </c>
      <c r="M88" s="15"/>
      <c r="N88" s="31">
        <f>IF(H88=0,0,L88/H88)</f>
        <v>-4.2292594965375768E-2</v>
      </c>
      <c r="O88" s="25"/>
      <c r="P88" s="36">
        <f>SUM(P85:P87)</f>
        <v>39299.090000000033</v>
      </c>
      <c r="Q88" s="13"/>
      <c r="R88" s="31">
        <f>IF(P$12=0,0,P88/P$12)</f>
        <v>0.24203428553550538</v>
      </c>
      <c r="S88" s="13"/>
      <c r="T88" s="36">
        <f>SUM(T85:T87)</f>
        <v>39295.260000000017</v>
      </c>
      <c r="U88" s="13"/>
      <c r="V88" s="31">
        <f>IF(T$12=0,0,T88/T$12)</f>
        <v>0.24727749561879037</v>
      </c>
      <c r="W88" s="15"/>
      <c r="X88" s="36">
        <f>+P88-T88</f>
        <v>3.8300000000162981</v>
      </c>
      <c r="Y88" s="15"/>
      <c r="Z88" s="31">
        <f>IF(T88=0,0,X88/T88)</f>
        <v>9.7467226327457732E-5</v>
      </c>
    </row>
    <row r="89" spans="1:26" ht="15.75" thickTop="1" x14ac:dyDescent="0.25">
      <c r="A89" s="9"/>
      <c r="C89" s="9"/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5">
        <v>43756.46302974537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6" t="s">
        <v>313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7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301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577911.13000000024</v>
      </c>
      <c r="E12" s="4"/>
      <c r="F12" s="12"/>
      <c r="G12" s="4"/>
      <c r="H12" s="4">
        <f>SUM(OSRRefH13x_0)</f>
        <v>660416.09999999986</v>
      </c>
      <c r="I12" s="4"/>
      <c r="J12" s="12"/>
      <c r="K12" s="4"/>
      <c r="L12" s="4">
        <f t="shared" ref="L12:L39" si="0">+D12-H12</f>
        <v>-82504.969999999623</v>
      </c>
      <c r="M12" s="4"/>
      <c r="N12" s="12">
        <f t="shared" ref="N12:N39" si="1">IF(H12=0,0,L12/H12)</f>
        <v>-0.12492876839313827</v>
      </c>
      <c r="O12" s="10"/>
      <c r="P12" s="4">
        <f>SUM(OSRRefP13x_0)</f>
        <v>2819726.6999999979</v>
      </c>
      <c r="Q12" s="4"/>
      <c r="R12" s="12"/>
      <c r="S12" s="4"/>
      <c r="T12" s="4">
        <f>SUM(OSRRefT13x_0)</f>
        <v>3326365.2300000009</v>
      </c>
      <c r="U12" s="4"/>
      <c r="V12" s="12"/>
      <c r="W12" s="4"/>
      <c r="X12" s="4">
        <f t="shared" ref="X12:X39" si="2">+P12-T12</f>
        <v>-506638.53000000305</v>
      </c>
      <c r="Y12" s="4"/>
      <c r="Z12" s="12">
        <f t="shared" ref="Z12:Z39" si="3">IF(T12=0,0,X12/T12)</f>
        <v>-0.15230995244620293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--336733.45</f>
        <v>336733.45</v>
      </c>
      <c r="E13" s="2"/>
      <c r="F13" s="19"/>
      <c r="G13" s="2"/>
      <c r="H13" s="2">
        <f>--387172.58</f>
        <v>387172.58</v>
      </c>
      <c r="I13" s="2"/>
      <c r="J13" s="19"/>
      <c r="K13" s="2"/>
      <c r="L13" s="2">
        <f t="shared" si="0"/>
        <v>-50439.130000000005</v>
      </c>
      <c r="M13" s="2"/>
      <c r="N13" s="19">
        <f t="shared" si="1"/>
        <v>-0.13027557375059981</v>
      </c>
      <c r="O13" s="11"/>
      <c r="P13" s="2">
        <f>--1463955.42</f>
        <v>1463955.42</v>
      </c>
      <c r="Q13" s="2"/>
      <c r="R13" s="19"/>
      <c r="S13" s="2"/>
      <c r="T13" s="2">
        <f>--1790410.26</f>
        <v>1790410.26</v>
      </c>
      <c r="U13" s="2"/>
      <c r="V13" s="19"/>
      <c r="W13" s="2"/>
      <c r="X13" s="2">
        <f t="shared" si="2"/>
        <v>-326454.84000000008</v>
      </c>
      <c r="Y13" s="2"/>
      <c r="Z13" s="19">
        <f t="shared" si="3"/>
        <v>-0.1823352151701812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--101849.66</f>
        <v>101849.66</v>
      </c>
      <c r="E14" s="2"/>
      <c r="F14" s="19"/>
      <c r="G14" s="2"/>
      <c r="H14" s="2">
        <f>--112136.18</f>
        <v>112136.18</v>
      </c>
      <c r="I14" s="2"/>
      <c r="J14" s="19"/>
      <c r="K14" s="2"/>
      <c r="L14" s="2">
        <f t="shared" si="0"/>
        <v>-10286.51999999999</v>
      </c>
      <c r="M14" s="2"/>
      <c r="N14" s="19">
        <f t="shared" si="1"/>
        <v>-9.1732391811456301E-2</v>
      </c>
      <c r="O14" s="11"/>
      <c r="P14" s="2">
        <f>--657310.58</f>
        <v>657310.57999999996</v>
      </c>
      <c r="Q14" s="2"/>
      <c r="R14" s="19"/>
      <c r="S14" s="2"/>
      <c r="T14" s="2">
        <f>--729460.37</f>
        <v>729460.37</v>
      </c>
      <c r="U14" s="2"/>
      <c r="V14" s="19"/>
      <c r="W14" s="2"/>
      <c r="X14" s="2">
        <f t="shared" si="2"/>
        <v>-72149.790000000037</v>
      </c>
      <c r="Y14" s="2"/>
      <c r="Z14" s="19">
        <f t="shared" si="3"/>
        <v>-9.8908443785643951E-2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--2800.64</f>
        <v>2800.64</v>
      </c>
      <c r="E15" s="2"/>
      <c r="F15" s="19"/>
      <c r="G15" s="2"/>
      <c r="H15" s="2">
        <f>--4333.45</f>
        <v>4333.45</v>
      </c>
      <c r="I15" s="2"/>
      <c r="J15" s="19"/>
      <c r="K15" s="2"/>
      <c r="L15" s="2">
        <f t="shared" si="0"/>
        <v>-1532.81</v>
      </c>
      <c r="M15" s="2"/>
      <c r="N15" s="19">
        <f t="shared" si="1"/>
        <v>-0.35371586149603662</v>
      </c>
      <c r="O15" s="11"/>
      <c r="P15" s="2">
        <f>--15536.69</f>
        <v>15536.69</v>
      </c>
      <c r="Q15" s="2"/>
      <c r="R15" s="19"/>
      <c r="S15" s="2"/>
      <c r="T15" s="2">
        <f>--9859.25</f>
        <v>9859.25</v>
      </c>
      <c r="U15" s="2"/>
      <c r="V15" s="19"/>
      <c r="W15" s="2"/>
      <c r="X15" s="2">
        <f t="shared" si="2"/>
        <v>5677.4400000000005</v>
      </c>
      <c r="Y15" s="2"/>
      <c r="Z15" s="19">
        <f t="shared" si="3"/>
        <v>0.57584907574105537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--7290.37</f>
        <v>7290.37</v>
      </c>
      <c r="E16" s="2"/>
      <c r="F16" s="19"/>
      <c r="G16" s="2"/>
      <c r="H16" s="2">
        <f>--4736.66</f>
        <v>4736.66</v>
      </c>
      <c r="I16" s="2"/>
      <c r="J16" s="19"/>
      <c r="K16" s="2"/>
      <c r="L16" s="2">
        <f t="shared" si="0"/>
        <v>2553.71</v>
      </c>
      <c r="M16" s="2"/>
      <c r="N16" s="19">
        <f t="shared" si="1"/>
        <v>0.53913728238885628</v>
      </c>
      <c r="O16" s="11"/>
      <c r="P16" s="2">
        <f>--29700.44</f>
        <v>29700.44</v>
      </c>
      <c r="Q16" s="2"/>
      <c r="R16" s="19"/>
      <c r="S16" s="2"/>
      <c r="T16" s="2">
        <f>--42099.8</f>
        <v>42099.8</v>
      </c>
      <c r="U16" s="2"/>
      <c r="V16" s="19"/>
      <c r="W16" s="2"/>
      <c r="X16" s="2">
        <f t="shared" si="2"/>
        <v>-12399.360000000004</v>
      </c>
      <c r="Y16" s="2"/>
      <c r="Z16" s="19">
        <f t="shared" si="3"/>
        <v>-0.29452301436111344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--9.6</f>
        <v>9.6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9.6</v>
      </c>
      <c r="M17" s="2"/>
      <c r="N17" s="19">
        <f t="shared" si="1"/>
        <v>0</v>
      </c>
      <c r="O17" s="11"/>
      <c r="P17" s="2">
        <f>--9.6</f>
        <v>9.6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9.6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--29.95</f>
        <v>29.95</v>
      </c>
      <c r="E18" s="2"/>
      <c r="F18" s="19"/>
      <c r="G18" s="2"/>
      <c r="H18" s="2">
        <f>--187.31</f>
        <v>187.31</v>
      </c>
      <c r="I18" s="2"/>
      <c r="J18" s="19"/>
      <c r="K18" s="2"/>
      <c r="L18" s="2">
        <f t="shared" si="0"/>
        <v>-157.36000000000001</v>
      </c>
      <c r="M18" s="2"/>
      <c r="N18" s="19">
        <f t="shared" si="1"/>
        <v>-0.84010463936789281</v>
      </c>
      <c r="O18" s="11"/>
      <c r="P18" s="2">
        <f>--140.76</f>
        <v>140.76</v>
      </c>
      <c r="Q18" s="2"/>
      <c r="R18" s="19"/>
      <c r="S18" s="2"/>
      <c r="T18" s="2">
        <f>--1272.98</f>
        <v>1272.98</v>
      </c>
      <c r="U18" s="2"/>
      <c r="V18" s="19"/>
      <c r="W18" s="2"/>
      <c r="X18" s="2">
        <f t="shared" si="2"/>
        <v>-1132.22</v>
      </c>
      <c r="Y18" s="2"/>
      <c r="Z18" s="19">
        <f t="shared" si="3"/>
        <v>-0.88942481421546293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--97.44</f>
        <v>97.44</v>
      </c>
      <c r="E19" s="2"/>
      <c r="F19" s="19"/>
      <c r="G19" s="2"/>
      <c r="H19" s="2">
        <f>--240.36</f>
        <v>240.36</v>
      </c>
      <c r="I19" s="2"/>
      <c r="J19" s="19"/>
      <c r="K19" s="2"/>
      <c r="L19" s="2">
        <f t="shared" si="0"/>
        <v>-142.92000000000002</v>
      </c>
      <c r="M19" s="2"/>
      <c r="N19" s="19">
        <f t="shared" si="1"/>
        <v>-0.59460808786819774</v>
      </c>
      <c r="O19" s="11"/>
      <c r="P19" s="2">
        <f>--523.09</f>
        <v>523.09</v>
      </c>
      <c r="Q19" s="2"/>
      <c r="R19" s="19"/>
      <c r="S19" s="2"/>
      <c r="T19" s="2">
        <f>--587.87</f>
        <v>587.87</v>
      </c>
      <c r="U19" s="2"/>
      <c r="V19" s="19"/>
      <c r="W19" s="2"/>
      <c r="X19" s="2">
        <f t="shared" si="2"/>
        <v>-64.779999999999973</v>
      </c>
      <c r="Y19" s="2"/>
      <c r="Z19" s="19">
        <f t="shared" si="3"/>
        <v>-0.11019443074149042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--696.02</f>
        <v>696.02</v>
      </c>
      <c r="E20" s="2"/>
      <c r="F20" s="19"/>
      <c r="G20" s="2"/>
      <c r="H20" s="2">
        <f>--796.54</f>
        <v>796.54</v>
      </c>
      <c r="I20" s="2"/>
      <c r="J20" s="19"/>
      <c r="K20" s="2"/>
      <c r="L20" s="2">
        <f t="shared" si="0"/>
        <v>-100.51999999999998</v>
      </c>
      <c r="M20" s="2"/>
      <c r="N20" s="19">
        <f t="shared" si="1"/>
        <v>-0.1261957968212519</v>
      </c>
      <c r="O20" s="11"/>
      <c r="P20" s="2">
        <f>--2060.15</f>
        <v>2060.15</v>
      </c>
      <c r="Q20" s="2"/>
      <c r="R20" s="19"/>
      <c r="S20" s="2"/>
      <c r="T20" s="2">
        <f>--2826.61</f>
        <v>2826.61</v>
      </c>
      <c r="U20" s="2"/>
      <c r="V20" s="19"/>
      <c r="W20" s="2"/>
      <c r="X20" s="2">
        <f t="shared" si="2"/>
        <v>-766.46</v>
      </c>
      <c r="Y20" s="2"/>
      <c r="Z20" s="19">
        <f t="shared" si="3"/>
        <v>-0.27115873785205602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--66153.34</f>
        <v>66153.34</v>
      </c>
      <c r="E21" s="2"/>
      <c r="F21" s="19"/>
      <c r="G21" s="2"/>
      <c r="H21" s="2">
        <f>--74429.25</f>
        <v>74429.25</v>
      </c>
      <c r="I21" s="2"/>
      <c r="J21" s="19"/>
      <c r="K21" s="2"/>
      <c r="L21" s="2">
        <f t="shared" si="0"/>
        <v>-8275.9100000000035</v>
      </c>
      <c r="M21" s="2"/>
      <c r="N21" s="19">
        <f t="shared" si="1"/>
        <v>-0.11119163500908585</v>
      </c>
      <c r="O21" s="11"/>
      <c r="P21" s="2">
        <f>--331667.77</f>
        <v>331667.77</v>
      </c>
      <c r="Q21" s="2"/>
      <c r="R21" s="19"/>
      <c r="S21" s="2"/>
      <c r="T21" s="2">
        <f>--385488.41</f>
        <v>385488.41</v>
      </c>
      <c r="U21" s="2"/>
      <c r="V21" s="19"/>
      <c r="W21" s="2"/>
      <c r="X21" s="2">
        <f t="shared" si="2"/>
        <v>-53820.639999999956</v>
      </c>
      <c r="Y21" s="2"/>
      <c r="Z21" s="19">
        <f t="shared" si="3"/>
        <v>-0.13961675268006102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--27999.53</f>
        <v>27999.53</v>
      </c>
      <c r="E22" s="2"/>
      <c r="F22" s="19"/>
      <c r="G22" s="2"/>
      <c r="H22" s="2">
        <f>--51572.49</f>
        <v>51572.49</v>
      </c>
      <c r="I22" s="2"/>
      <c r="J22" s="19"/>
      <c r="K22" s="2"/>
      <c r="L22" s="2">
        <f t="shared" si="0"/>
        <v>-23572.959999999999</v>
      </c>
      <c r="M22" s="2"/>
      <c r="N22" s="19">
        <f t="shared" si="1"/>
        <v>-0.45708399962848412</v>
      </c>
      <c r="O22" s="11"/>
      <c r="P22" s="2">
        <f>--83892.55</f>
        <v>83892.55</v>
      </c>
      <c r="Q22" s="2"/>
      <c r="R22" s="19"/>
      <c r="S22" s="2"/>
      <c r="T22" s="2">
        <f>--141019.7</f>
        <v>141019.70000000001</v>
      </c>
      <c r="U22" s="2"/>
      <c r="V22" s="19"/>
      <c r="W22" s="2"/>
      <c r="X22" s="2">
        <f t="shared" si="2"/>
        <v>-57127.150000000009</v>
      </c>
      <c r="Y22" s="2"/>
      <c r="Z22" s="19">
        <f t="shared" si="3"/>
        <v>-0.40510049305168006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--3969.18</f>
        <v>3969.18</v>
      </c>
      <c r="E23" s="2"/>
      <c r="F23" s="19"/>
      <c r="G23" s="2"/>
      <c r="H23" s="2">
        <f>--7949.5</f>
        <v>7949.5</v>
      </c>
      <c r="I23" s="2"/>
      <c r="J23" s="19"/>
      <c r="K23" s="2"/>
      <c r="L23" s="2">
        <f t="shared" si="0"/>
        <v>-3980.32</v>
      </c>
      <c r="M23" s="2"/>
      <c r="N23" s="19">
        <f t="shared" si="1"/>
        <v>-0.50070067299830179</v>
      </c>
      <c r="O23" s="11"/>
      <c r="P23" s="2">
        <f>--36443.51</f>
        <v>36443.51</v>
      </c>
      <c r="Q23" s="2"/>
      <c r="R23" s="19"/>
      <c r="S23" s="2"/>
      <c r="T23" s="2">
        <f>--49251.93</f>
        <v>49251.93</v>
      </c>
      <c r="U23" s="2"/>
      <c r="V23" s="19"/>
      <c r="W23" s="2"/>
      <c r="X23" s="2">
        <f t="shared" si="2"/>
        <v>-12808.419999999998</v>
      </c>
      <c r="Y23" s="2"/>
      <c r="Z23" s="19">
        <f t="shared" si="3"/>
        <v>-0.26005925046998152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-144.99</f>
        <v>-144.99</v>
      </c>
      <c r="E24" s="2"/>
      <c r="F24" s="19"/>
      <c r="G24" s="2"/>
      <c r="H24" s="2">
        <f>--339.9</f>
        <v>339.9</v>
      </c>
      <c r="I24" s="2"/>
      <c r="J24" s="19"/>
      <c r="K24" s="2"/>
      <c r="L24" s="2">
        <f t="shared" si="0"/>
        <v>-484.89</v>
      </c>
      <c r="M24" s="2"/>
      <c r="N24" s="19">
        <f t="shared" si="1"/>
        <v>-1.4265666372462489</v>
      </c>
      <c r="O24" s="11"/>
      <c r="P24" s="2">
        <f>--329.98</f>
        <v>329.98</v>
      </c>
      <c r="Q24" s="2"/>
      <c r="R24" s="19"/>
      <c r="S24" s="2"/>
      <c r="T24" s="2">
        <f>--509.85</f>
        <v>509.85</v>
      </c>
      <c r="U24" s="2"/>
      <c r="V24" s="19"/>
      <c r="W24" s="2"/>
      <c r="X24" s="2">
        <f t="shared" si="2"/>
        <v>-179.87</v>
      </c>
      <c r="Y24" s="2"/>
      <c r="Z24" s="19">
        <f t="shared" si="3"/>
        <v>-0.35279003628518191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--59065.75</f>
        <v>59065.75</v>
      </c>
      <c r="E25" s="2"/>
      <c r="F25" s="19"/>
      <c r="G25" s="2"/>
      <c r="H25" s="2">
        <f>--69600.97</f>
        <v>69600.97</v>
      </c>
      <c r="I25" s="2"/>
      <c r="J25" s="19"/>
      <c r="K25" s="2"/>
      <c r="L25" s="2">
        <f t="shared" si="0"/>
        <v>-10535.220000000001</v>
      </c>
      <c r="M25" s="2"/>
      <c r="N25" s="19">
        <f t="shared" si="1"/>
        <v>-0.15136599389347594</v>
      </c>
      <c r="O25" s="11"/>
      <c r="P25" s="2">
        <f>--318933.82</f>
        <v>318933.82</v>
      </c>
      <c r="Q25" s="2"/>
      <c r="R25" s="19"/>
      <c r="S25" s="2"/>
      <c r="T25" s="2">
        <f>--334741.53</f>
        <v>334741.53000000003</v>
      </c>
      <c r="U25" s="2"/>
      <c r="V25" s="19"/>
      <c r="W25" s="2"/>
      <c r="X25" s="2">
        <f t="shared" si="2"/>
        <v>-15807.710000000021</v>
      </c>
      <c r="Y25" s="2"/>
      <c r="Z25" s="19">
        <f t="shared" si="3"/>
        <v>-4.7223629526936858E-2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--594.06</f>
        <v>594.05999999999995</v>
      </c>
      <c r="E26" s="2"/>
      <c r="F26" s="19"/>
      <c r="G26" s="2"/>
      <c r="H26" s="2">
        <f>--1921.77</f>
        <v>1921.77</v>
      </c>
      <c r="I26" s="2"/>
      <c r="J26" s="19"/>
      <c r="K26" s="2"/>
      <c r="L26" s="2">
        <f t="shared" si="0"/>
        <v>-1327.71</v>
      </c>
      <c r="M26" s="2"/>
      <c r="N26" s="19">
        <f t="shared" si="1"/>
        <v>-0.69087872117891325</v>
      </c>
      <c r="O26" s="11"/>
      <c r="P26" s="2">
        <f>--6342.17</f>
        <v>6342.17</v>
      </c>
      <c r="Q26" s="2"/>
      <c r="R26" s="19"/>
      <c r="S26" s="2"/>
      <c r="T26" s="2">
        <f>--8589.74</f>
        <v>8589.74</v>
      </c>
      <c r="U26" s="2"/>
      <c r="V26" s="19"/>
      <c r="W26" s="2"/>
      <c r="X26" s="2">
        <f t="shared" si="2"/>
        <v>-2247.5699999999997</v>
      </c>
      <c r="Y26" s="2"/>
      <c r="Z26" s="19">
        <f t="shared" si="3"/>
        <v>-0.26165751233448276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0</f>
        <v>0</v>
      </c>
      <c r="E27" s="2"/>
      <c r="F27" s="19"/>
      <c r="G27" s="2"/>
      <c r="H27" s="2">
        <f t="shared" ref="H27:H28" si="4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--1146.72</f>
        <v>1146.72</v>
      </c>
      <c r="Q27" s="2"/>
      <c r="R27" s="19"/>
      <c r="S27" s="2"/>
      <c r="T27" s="2">
        <f>--38.23</f>
        <v>38.229999999999997</v>
      </c>
      <c r="U27" s="2"/>
      <c r="V27" s="19"/>
      <c r="W27" s="2"/>
      <c r="X27" s="2">
        <f t="shared" si="2"/>
        <v>1108.49</v>
      </c>
      <c r="Y27" s="2"/>
      <c r="Z27" s="19">
        <f t="shared" si="3"/>
        <v>28.995291655767723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--6.95</f>
        <v>6.95</v>
      </c>
      <c r="E28" s="2"/>
      <c r="F28" s="19"/>
      <c r="G28" s="2"/>
      <c r="H28" s="2">
        <f t="shared" si="4"/>
        <v>0</v>
      </c>
      <c r="I28" s="2"/>
      <c r="J28" s="19"/>
      <c r="K28" s="2"/>
      <c r="L28" s="2">
        <f t="shared" si="0"/>
        <v>6.95</v>
      </c>
      <c r="M28" s="2"/>
      <c r="N28" s="19">
        <f t="shared" si="1"/>
        <v>0</v>
      </c>
      <c r="O28" s="11"/>
      <c r="P28" s="2">
        <f>--20.92</f>
        <v>20.92</v>
      </c>
      <c r="Q28" s="2"/>
      <c r="R28" s="19"/>
      <c r="S28" s="2"/>
      <c r="T28" s="2">
        <f>--111.41</f>
        <v>111.41</v>
      </c>
      <c r="U28" s="2"/>
      <c r="V28" s="19"/>
      <c r="W28" s="2"/>
      <c r="X28" s="2">
        <f t="shared" si="2"/>
        <v>-90.49</v>
      </c>
      <c r="Y28" s="2"/>
      <c r="Z28" s="19">
        <f t="shared" si="3"/>
        <v>-0.81222511444215062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-14069.34</f>
        <v>-14069.34</v>
      </c>
      <c r="E29" s="2"/>
      <c r="F29" s="19"/>
      <c r="G29" s="2"/>
      <c r="H29" s="2">
        <f>-24266.28</f>
        <v>-24266.28</v>
      </c>
      <c r="I29" s="2"/>
      <c r="J29" s="19"/>
      <c r="K29" s="2"/>
      <c r="L29" s="2">
        <f t="shared" si="0"/>
        <v>10196.939999999999</v>
      </c>
      <c r="M29" s="2"/>
      <c r="N29" s="19">
        <f t="shared" si="1"/>
        <v>-0.42021026708667331</v>
      </c>
      <c r="O29" s="11"/>
      <c r="P29" s="2">
        <f>-73239.75</f>
        <v>-73239.75</v>
      </c>
      <c r="Q29" s="2"/>
      <c r="R29" s="19"/>
      <c r="S29" s="2"/>
      <c r="T29" s="2">
        <f>-98792.22</f>
        <v>-98792.22</v>
      </c>
      <c r="U29" s="2"/>
      <c r="V29" s="19"/>
      <c r="W29" s="2"/>
      <c r="X29" s="2">
        <f t="shared" si="2"/>
        <v>25552.47</v>
      </c>
      <c r="Y29" s="2"/>
      <c r="Z29" s="19">
        <f t="shared" si="3"/>
        <v>-0.25864860613517948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-2096.65</f>
        <v>-2096.65</v>
      </c>
      <c r="E30" s="2"/>
      <c r="F30" s="19"/>
      <c r="G30" s="2"/>
      <c r="H30" s="2">
        <f>-3228.4</f>
        <v>-3228.4</v>
      </c>
      <c r="I30" s="2"/>
      <c r="J30" s="19"/>
      <c r="K30" s="2"/>
      <c r="L30" s="2">
        <f t="shared" si="0"/>
        <v>1131.75</v>
      </c>
      <c r="M30" s="2"/>
      <c r="N30" s="19">
        <f t="shared" si="1"/>
        <v>-0.35056064923801261</v>
      </c>
      <c r="O30" s="11"/>
      <c r="P30" s="2">
        <f>-23351.1</f>
        <v>-23351.1</v>
      </c>
      <c r="Q30" s="2"/>
      <c r="R30" s="19"/>
      <c r="S30" s="2"/>
      <c r="T30" s="2">
        <f>-26655.65</f>
        <v>-26655.65</v>
      </c>
      <c r="U30" s="2"/>
      <c r="V30" s="19"/>
      <c r="W30" s="2"/>
      <c r="X30" s="2">
        <f t="shared" si="2"/>
        <v>3304.5500000000029</v>
      </c>
      <c r="Y30" s="2"/>
      <c r="Z30" s="19">
        <f t="shared" si="3"/>
        <v>-0.12397184086675818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-144.99</f>
        <v>-144.99</v>
      </c>
      <c r="E31" s="2"/>
      <c r="F31" s="19"/>
      <c r="G31" s="2"/>
      <c r="H31" s="2">
        <f>-1529.55</f>
        <v>-1529.55</v>
      </c>
      <c r="I31" s="2"/>
      <c r="J31" s="19"/>
      <c r="K31" s="2"/>
      <c r="L31" s="2">
        <f t="shared" si="0"/>
        <v>1384.56</v>
      </c>
      <c r="M31" s="2"/>
      <c r="N31" s="19">
        <f t="shared" si="1"/>
        <v>-0.90520741394527804</v>
      </c>
      <c r="O31" s="11"/>
      <c r="P31" s="2">
        <f>-144.99</f>
        <v>-144.99</v>
      </c>
      <c r="Q31" s="2"/>
      <c r="R31" s="19"/>
      <c r="S31" s="2"/>
      <c r="T31" s="2">
        <f>-1529.55</f>
        <v>-1529.55</v>
      </c>
      <c r="U31" s="2"/>
      <c r="V31" s="19"/>
      <c r="W31" s="2"/>
      <c r="X31" s="2">
        <f t="shared" si="2"/>
        <v>1384.56</v>
      </c>
      <c r="Y31" s="2"/>
      <c r="Z31" s="19">
        <f t="shared" si="3"/>
        <v>-0.90520741394527804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-4208.35</f>
        <v>-4208.3500000000004</v>
      </c>
      <c r="E32" s="2"/>
      <c r="F32" s="19"/>
      <c r="G32" s="2"/>
      <c r="H32" s="2">
        <f>-2237.91</f>
        <v>-2237.91</v>
      </c>
      <c r="I32" s="2"/>
      <c r="J32" s="19"/>
      <c r="K32" s="2"/>
      <c r="L32" s="2">
        <f t="shared" si="0"/>
        <v>-1970.4400000000005</v>
      </c>
      <c r="M32" s="2"/>
      <c r="N32" s="19">
        <f t="shared" si="1"/>
        <v>0.88048223565737704</v>
      </c>
      <c r="O32" s="11"/>
      <c r="P32" s="2">
        <f>-11056.72</f>
        <v>-11056.72</v>
      </c>
      <c r="Q32" s="2"/>
      <c r="R32" s="19"/>
      <c r="S32" s="2"/>
      <c r="T32" s="2">
        <f>-15141.64</f>
        <v>-15141.64</v>
      </c>
      <c r="U32" s="2"/>
      <c r="V32" s="19"/>
      <c r="W32" s="2"/>
      <c r="X32" s="2">
        <f t="shared" si="2"/>
        <v>4084.92</v>
      </c>
      <c r="Y32" s="2"/>
      <c r="Z32" s="19">
        <f t="shared" si="3"/>
        <v>-0.2697805521726841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0</f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0</f>
        <v>0</v>
      </c>
      <c r="Q33" s="2"/>
      <c r="R33" s="19"/>
      <c r="S33" s="2"/>
      <c r="T33" s="2">
        <f>-15</f>
        <v>-15</v>
      </c>
      <c r="U33" s="2"/>
      <c r="V33" s="19"/>
      <c r="W33" s="2"/>
      <c r="X33" s="2">
        <f t="shared" si="2"/>
        <v>15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"4218", " - ", "SALES RETURN TAXABLE-STUDY GUI")</f>
        <v xml:space="preserve">          4218 - SALES RETURN TAXABLE-STUDY GUI</v>
      </c>
      <c r="C34" s="11"/>
      <c r="D34" s="2">
        <f>-5.95</f>
        <v>-5.95</v>
      </c>
      <c r="E34" s="2"/>
      <c r="F34" s="19"/>
      <c r="G34" s="2"/>
      <c r="H34" s="2">
        <f>-6.95</f>
        <v>-6.95</v>
      </c>
      <c r="I34" s="2"/>
      <c r="J34" s="19"/>
      <c r="K34" s="2"/>
      <c r="L34" s="2">
        <f t="shared" si="0"/>
        <v>1</v>
      </c>
      <c r="M34" s="2"/>
      <c r="N34" s="19">
        <f t="shared" si="1"/>
        <v>-0.14388489208633093</v>
      </c>
      <c r="O34" s="11"/>
      <c r="P34" s="2">
        <f>-32.75</f>
        <v>-32.75</v>
      </c>
      <c r="Q34" s="2"/>
      <c r="R34" s="19"/>
      <c r="S34" s="2"/>
      <c r="T34" s="2">
        <f>-22.9</f>
        <v>-22.9</v>
      </c>
      <c r="U34" s="2"/>
      <c r="V34" s="19"/>
      <c r="W34" s="2"/>
      <c r="X34" s="2">
        <f t="shared" si="2"/>
        <v>-9.8500000000000014</v>
      </c>
      <c r="Y34" s="2"/>
      <c r="Z34" s="19">
        <f t="shared" si="3"/>
        <v>0.43013100436681234</v>
      </c>
    </row>
    <row r="35" spans="1:26" s="24" customFormat="1" hidden="1" outlineLevel="1" x14ac:dyDescent="0.25">
      <c r="A35" s="44"/>
      <c r="B35" s="11" t="str">
        <f>CONCATENATE("          ", "4301", " - ", "SALES RETURN NON TAXABLE-NEW T")</f>
        <v xml:space="preserve">          4301 - SALES RETURN NON TAXABLE-NEW T</v>
      </c>
      <c r="C35" s="11"/>
      <c r="D35" s="2">
        <f>-3805.44</f>
        <v>-3805.44</v>
      </c>
      <c r="E35" s="2"/>
      <c r="F35" s="19"/>
      <c r="G35" s="2"/>
      <c r="H35" s="2">
        <f>-18193.09</f>
        <v>-18193.09</v>
      </c>
      <c r="I35" s="2"/>
      <c r="J35" s="19"/>
      <c r="K35" s="2"/>
      <c r="L35" s="2">
        <f t="shared" si="0"/>
        <v>14387.65</v>
      </c>
      <c r="M35" s="2"/>
      <c r="N35" s="19">
        <f t="shared" si="1"/>
        <v>-0.79083047464724243</v>
      </c>
      <c r="O35" s="11"/>
      <c r="P35" s="2">
        <f>-6725.22</f>
        <v>-6725.22</v>
      </c>
      <c r="Q35" s="2"/>
      <c r="R35" s="19"/>
      <c r="S35" s="2"/>
      <c r="T35" s="2">
        <f>-21042.19</f>
        <v>-21042.19</v>
      </c>
      <c r="U35" s="2"/>
      <c r="V35" s="19"/>
      <c r="W35" s="2"/>
      <c r="X35" s="2">
        <f t="shared" si="2"/>
        <v>14316.969999999998</v>
      </c>
      <c r="Y35" s="2"/>
      <c r="Z35" s="19">
        <f t="shared" si="3"/>
        <v>-0.68039353318262019</v>
      </c>
    </row>
    <row r="36" spans="1:26" s="24" customFormat="1" hidden="1" outlineLevel="1" x14ac:dyDescent="0.25">
      <c r="A36" s="44"/>
      <c r="B36" s="11" t="str">
        <f>CONCATENATE("          ", "4302", " - ", "SALES RETURN NON TAXABLE-TEXT")</f>
        <v xml:space="preserve">          4302 - SALES RETURN NON TAXABLE-TEXT</v>
      </c>
      <c r="C36" s="11"/>
      <c r="D36" s="2">
        <f>-398.45</f>
        <v>-398.45</v>
      </c>
      <c r="E36" s="2"/>
      <c r="F36" s="19"/>
      <c r="G36" s="2"/>
      <c r="H36" s="2">
        <f>-1424.51</f>
        <v>-1424.51</v>
      </c>
      <c r="I36" s="2"/>
      <c r="J36" s="19"/>
      <c r="K36" s="2"/>
      <c r="L36" s="2">
        <f t="shared" si="0"/>
        <v>1026.06</v>
      </c>
      <c r="M36" s="2"/>
      <c r="N36" s="19">
        <f t="shared" si="1"/>
        <v>-0.72028978385550113</v>
      </c>
      <c r="O36" s="11"/>
      <c r="P36" s="2">
        <f>-648.7</f>
        <v>-648.70000000000005</v>
      </c>
      <c r="Q36" s="2"/>
      <c r="R36" s="19"/>
      <c r="S36" s="2"/>
      <c r="T36" s="2">
        <f>-2092.04</f>
        <v>-2092.04</v>
      </c>
      <c r="U36" s="2"/>
      <c r="V36" s="19"/>
      <c r="W36" s="2"/>
      <c r="X36" s="2">
        <f t="shared" si="2"/>
        <v>1443.34</v>
      </c>
      <c r="Y36" s="2"/>
      <c r="Z36" s="19">
        <f t="shared" si="3"/>
        <v>-0.68991988680904759</v>
      </c>
    </row>
    <row r="37" spans="1:26" s="24" customFormat="1" hidden="1" outlineLevel="1" x14ac:dyDescent="0.25">
      <c r="A37" s="44"/>
      <c r="B37" s="11" t="str">
        <f>CONCATENATE("          ", "4303", " - ", "SALES RETURN NON-TAXABLE-RENTA")</f>
        <v xml:space="preserve">          4303 - SALES RETURN NON-TAXABLE-RENTA</v>
      </c>
      <c r="C37" s="11"/>
      <c r="D37" s="2">
        <f>-184.99</f>
        <v>-184.99</v>
      </c>
      <c r="E37" s="2"/>
      <c r="F37" s="19"/>
      <c r="G37" s="2"/>
      <c r="H37" s="2">
        <f>-509.85</f>
        <v>-509.85</v>
      </c>
      <c r="I37" s="2"/>
      <c r="J37" s="19"/>
      <c r="K37" s="2"/>
      <c r="L37" s="2">
        <f t="shared" si="0"/>
        <v>324.86</v>
      </c>
      <c r="M37" s="2"/>
      <c r="N37" s="19">
        <f t="shared" si="1"/>
        <v>-0.63716779444934779</v>
      </c>
      <c r="O37" s="11"/>
      <c r="P37" s="2">
        <f>-184.99</f>
        <v>-184.99</v>
      </c>
      <c r="Q37" s="2"/>
      <c r="R37" s="19"/>
      <c r="S37" s="2"/>
      <c r="T37" s="2">
        <f>-509.85</f>
        <v>-509.85</v>
      </c>
      <c r="U37" s="2"/>
      <c r="V37" s="19"/>
      <c r="W37" s="2"/>
      <c r="X37" s="2">
        <f t="shared" si="2"/>
        <v>324.86</v>
      </c>
      <c r="Y37" s="2"/>
      <c r="Z37" s="19">
        <f t="shared" si="3"/>
        <v>-0.63716779444934779</v>
      </c>
    </row>
    <row r="38" spans="1:26" s="24" customFormat="1" hidden="1" outlineLevel="1" x14ac:dyDescent="0.25">
      <c r="A38" s="44"/>
      <c r="B38" s="11" t="str">
        <f>CONCATENATE("          ", "4304", " - ", "SALES RETURN NON TAXABLE-DIGIT")</f>
        <v xml:space="preserve">          4304 - SALES RETURN NON TAXABLE-DIGIT</v>
      </c>
      <c r="C38" s="11"/>
      <c r="D38" s="2">
        <f>-4048.76</f>
        <v>-4048.76</v>
      </c>
      <c r="E38" s="2"/>
      <c r="F38" s="19"/>
      <c r="G38" s="2"/>
      <c r="H38" s="2">
        <f>-3459.28</f>
        <v>-3459.28</v>
      </c>
      <c r="I38" s="2"/>
      <c r="J38" s="19"/>
      <c r="K38" s="2"/>
      <c r="L38" s="2">
        <f t="shared" si="0"/>
        <v>-589.48</v>
      </c>
      <c r="M38" s="2"/>
      <c r="N38" s="19">
        <f t="shared" si="1"/>
        <v>0.17040540228024328</v>
      </c>
      <c r="O38" s="11"/>
      <c r="P38" s="2">
        <f>-12515.31</f>
        <v>-12515.31</v>
      </c>
      <c r="Q38" s="2"/>
      <c r="R38" s="19"/>
      <c r="S38" s="2"/>
      <c r="T38" s="2">
        <f>-3743.75</f>
        <v>-3743.75</v>
      </c>
      <c r="U38" s="2"/>
      <c r="V38" s="19"/>
      <c r="W38" s="2"/>
      <c r="X38" s="2">
        <f t="shared" si="2"/>
        <v>-8771.56</v>
      </c>
      <c r="Y38" s="2"/>
      <c r="Z38" s="19">
        <f t="shared" si="3"/>
        <v>2.3429876460767947</v>
      </c>
    </row>
    <row r="39" spans="1:26" s="24" customFormat="1" hidden="1" outlineLevel="1" x14ac:dyDescent="0.25">
      <c r="A39" s="44"/>
      <c r="B39" s="11" t="str">
        <f>CONCATENATE("          ", "4311", " - ", "SALES RETURN NON TAXABLE-NO VA")</f>
        <v xml:space="preserve">          4311 - SALES RETURN NON TAXABLE-NO VA</v>
      </c>
      <c r="C39" s="11"/>
      <c r="D39" s="2">
        <f>-276.9</f>
        <v>-276.89999999999998</v>
      </c>
      <c r="E39" s="2"/>
      <c r="F39" s="19"/>
      <c r="G39" s="2"/>
      <c r="H39" s="2">
        <f>-145.04</f>
        <v>-145.04</v>
      </c>
      <c r="I39" s="2"/>
      <c r="J39" s="19"/>
      <c r="K39" s="2"/>
      <c r="L39" s="2">
        <f t="shared" si="0"/>
        <v>-131.85999999999999</v>
      </c>
      <c r="M39" s="2"/>
      <c r="N39" s="19">
        <f t="shared" si="1"/>
        <v>0.90912851627137337</v>
      </c>
      <c r="O39" s="11"/>
      <c r="P39" s="2">
        <f>-387.94</f>
        <v>-387.94</v>
      </c>
      <c r="Q39" s="2"/>
      <c r="R39" s="19"/>
      <c r="S39" s="2"/>
      <c r="T39" s="2">
        <f>-357.92</f>
        <v>-357.92</v>
      </c>
      <c r="U39" s="2"/>
      <c r="V39" s="19"/>
      <c r="W39" s="2"/>
      <c r="X39" s="2">
        <f t="shared" si="2"/>
        <v>-30.019999999999982</v>
      </c>
      <c r="Y39" s="2"/>
      <c r="Z39" s="19">
        <f t="shared" si="3"/>
        <v>8.3873491282968213E-2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collapsed="1" x14ac:dyDescent="0.25">
      <c r="A41" s="10"/>
      <c r="B41" s="25" t="s">
        <v>8</v>
      </c>
      <c r="C41" s="10"/>
      <c r="D41" s="4">
        <f>SUM(OSRRefD16x_0)</f>
        <v>430599.13999999996</v>
      </c>
      <c r="E41" s="4"/>
      <c r="F41" s="12">
        <f t="shared" ref="F41:F56" si="5">IF(D$12=0,0,D41/D$12)</f>
        <v>0.74509577277046002</v>
      </c>
      <c r="G41" s="4"/>
      <c r="H41" s="4">
        <f>SUM(OSRRefH16x_0)</f>
        <v>502775.19999999995</v>
      </c>
      <c r="I41" s="4"/>
      <c r="J41" s="12">
        <f t="shared" ref="J41:J56" si="6">IF(H$12=0,0,H41/H$12)</f>
        <v>0.76130064061127534</v>
      </c>
      <c r="K41" s="4"/>
      <c r="L41" s="4">
        <f t="shared" ref="L41:L56" si="7">+D41-H41</f>
        <v>-72176.06</v>
      </c>
      <c r="M41" s="4"/>
      <c r="N41" s="12">
        <f t="shared" ref="N41:N56" si="8">IF(H41=0,0,L41/H41)</f>
        <v>-0.14355533049362817</v>
      </c>
      <c r="O41" s="10"/>
      <c r="P41" s="4">
        <f>SUM(OSRRefP16x_0)</f>
        <v>2068241.5300000005</v>
      </c>
      <c r="Q41" s="4"/>
      <c r="R41" s="12">
        <f t="shared" ref="R41:R56" si="9">IF(P$12=0,0,P41/P$12)</f>
        <v>0.73349006838145059</v>
      </c>
      <c r="S41" s="4"/>
      <c r="T41" s="4">
        <f>SUM(OSRRefT16x_0)</f>
        <v>2444785.2699999996</v>
      </c>
      <c r="U41" s="4"/>
      <c r="V41" s="12">
        <f t="shared" ref="V41:V56" si="10">IF(T$12=0,0,T41/T$12)</f>
        <v>0.73497198923041862</v>
      </c>
      <c r="W41" s="4"/>
      <c r="X41" s="4">
        <f t="shared" ref="X41:X56" si="11">+P41-T41</f>
        <v>-376543.73999999906</v>
      </c>
      <c r="Y41" s="4"/>
      <c r="Z41" s="12">
        <f t="shared" ref="Z41:Z56" si="12">IF(T41=0,0,X41/T41)</f>
        <v>-0.15401914622955787</v>
      </c>
    </row>
    <row r="42" spans="1:26" s="24" customFormat="1" hidden="1" outlineLevel="1" x14ac:dyDescent="0.25">
      <c r="A42" s="44"/>
      <c r="B42" s="11" t="str">
        <f>CONCATENATE("          ", "5001", " - ", "PURCHASES @ COST-NEW TEXT")</f>
        <v xml:space="preserve">          5001 - PURCHASES @ COST-NEW TEXT</v>
      </c>
      <c r="C42" s="11"/>
      <c r="D42" s="2">
        <v>104892.25</v>
      </c>
      <c r="E42" s="2"/>
      <c r="F42" s="19">
        <f t="shared" si="5"/>
        <v>0.18150238774601893</v>
      </c>
      <c r="G42" s="2"/>
      <c r="H42" s="2">
        <v>297306.68</v>
      </c>
      <c r="I42" s="2"/>
      <c r="J42" s="19">
        <f t="shared" si="6"/>
        <v>0.45018084810470255</v>
      </c>
      <c r="K42" s="2"/>
      <c r="L42" s="2">
        <f t="shared" si="7"/>
        <v>-192414.43</v>
      </c>
      <c r="M42" s="2"/>
      <c r="N42" s="19">
        <f t="shared" si="8"/>
        <v>-0.64719174826478842</v>
      </c>
      <c r="O42" s="11"/>
      <c r="P42" s="2">
        <v>1932650.95</v>
      </c>
      <c r="Q42" s="2"/>
      <c r="R42" s="19">
        <f t="shared" si="9"/>
        <v>0.68540364213311933</v>
      </c>
      <c r="S42" s="2"/>
      <c r="T42" s="2">
        <v>2052477.64</v>
      </c>
      <c r="U42" s="2"/>
      <c r="V42" s="19">
        <f t="shared" si="10"/>
        <v>0.61703315723992203</v>
      </c>
      <c r="W42" s="2"/>
      <c r="X42" s="2">
        <f t="shared" si="11"/>
        <v>-119826.68999999994</v>
      </c>
      <c r="Y42" s="2"/>
      <c r="Z42" s="19">
        <f t="shared" si="12"/>
        <v>-5.8381483756383308E-2</v>
      </c>
    </row>
    <row r="43" spans="1:26" s="24" customFormat="1" hidden="1" outlineLevel="1" x14ac:dyDescent="0.25">
      <c r="A43" s="44"/>
      <c r="B43" s="11" t="str">
        <f>CONCATENATE("          ", "5002", " - ", "PURCHASES @ COST-USED TEXT")</f>
        <v xml:space="preserve">          5002 - PURCHASES @ COST-USED TEXT</v>
      </c>
      <c r="C43" s="11"/>
      <c r="D43" s="2">
        <v>18830.57</v>
      </c>
      <c r="E43" s="2"/>
      <c r="F43" s="19">
        <f t="shared" si="5"/>
        <v>3.2583850738434457E-2</v>
      </c>
      <c r="G43" s="2"/>
      <c r="H43" s="2">
        <v>144475.76</v>
      </c>
      <c r="I43" s="2"/>
      <c r="J43" s="19">
        <f t="shared" si="6"/>
        <v>0.21876474543851981</v>
      </c>
      <c r="K43" s="2"/>
      <c r="L43" s="2">
        <f t="shared" si="7"/>
        <v>-125645.19</v>
      </c>
      <c r="M43" s="2"/>
      <c r="N43" s="19">
        <f t="shared" si="8"/>
        <v>-0.86966277249553836</v>
      </c>
      <c r="O43" s="11"/>
      <c r="P43" s="2">
        <v>353811.24</v>
      </c>
      <c r="Q43" s="2"/>
      <c r="R43" s="19">
        <f t="shared" si="9"/>
        <v>0.1254771393270136</v>
      </c>
      <c r="S43" s="2"/>
      <c r="T43" s="2">
        <v>315050.18</v>
      </c>
      <c r="U43" s="2"/>
      <c r="V43" s="19">
        <f t="shared" si="10"/>
        <v>9.4713045085551201E-2</v>
      </c>
      <c r="W43" s="2"/>
      <c r="X43" s="2">
        <f t="shared" si="11"/>
        <v>38761.06</v>
      </c>
      <c r="Y43" s="2"/>
      <c r="Z43" s="19">
        <f t="shared" si="12"/>
        <v>0.1230313850320606</v>
      </c>
    </row>
    <row r="44" spans="1:26" s="24" customFormat="1" hidden="1" outlineLevel="1" x14ac:dyDescent="0.25">
      <c r="A44" s="44"/>
      <c r="B44" s="11" t="str">
        <f>CONCATENATE("          ", "5003", " - ", "PURCHASES @ COST-RENTAL TEXT")</f>
        <v xml:space="preserve">          5003 - PURCHASES @ COST-RENTAL TEXT</v>
      </c>
      <c r="C44" s="11"/>
      <c r="D44" s="2"/>
      <c r="E44" s="2"/>
      <c r="F44" s="19">
        <f t="shared" si="5"/>
        <v>0</v>
      </c>
      <c r="G44" s="2"/>
      <c r="H44" s="2">
        <v>-2966.4</v>
      </c>
      <c r="I44" s="2"/>
      <c r="J44" s="19">
        <f t="shared" si="6"/>
        <v>-4.4917136332684815E-3</v>
      </c>
      <c r="K44" s="2"/>
      <c r="L44" s="2">
        <f t="shared" si="7"/>
        <v>2966.4</v>
      </c>
      <c r="M44" s="2"/>
      <c r="N44" s="19">
        <f t="shared" si="8"/>
        <v>-1</v>
      </c>
      <c r="O44" s="11"/>
      <c r="P44" s="2">
        <v>-78.400000000000006</v>
      </c>
      <c r="Q44" s="2"/>
      <c r="R44" s="19">
        <f t="shared" si="9"/>
        <v>-2.7804113072376861E-5</v>
      </c>
      <c r="S44" s="2"/>
      <c r="T44" s="2">
        <v>-522.1</v>
      </c>
      <c r="U44" s="2"/>
      <c r="V44" s="19">
        <f t="shared" si="10"/>
        <v>-1.5695811009905244E-4</v>
      </c>
      <c r="W44" s="2"/>
      <c r="X44" s="2">
        <f t="shared" si="11"/>
        <v>443.70000000000005</v>
      </c>
      <c r="Y44" s="2"/>
      <c r="Z44" s="19">
        <f t="shared" si="12"/>
        <v>-0.84983719593947527</v>
      </c>
    </row>
    <row r="45" spans="1:26" s="24" customFormat="1" hidden="1" outlineLevel="1" x14ac:dyDescent="0.25">
      <c r="A45" s="44"/>
      <c r="B45" s="11" t="str">
        <f>CONCATENATE("          ", "5004", " - ", "PURCHASES @ COST-DIGITAL TEXT")</f>
        <v xml:space="preserve">          5004 - PURCHASES @ COST-DIGITAL TEXT</v>
      </c>
      <c r="C45" s="11"/>
      <c r="D45" s="2">
        <v>50761.9</v>
      </c>
      <c r="E45" s="2"/>
      <c r="F45" s="19">
        <f t="shared" si="5"/>
        <v>8.7836861698787461E-2</v>
      </c>
      <c r="G45" s="2"/>
      <c r="H45" s="2">
        <v>37466.380000000005</v>
      </c>
      <c r="I45" s="2"/>
      <c r="J45" s="19">
        <f t="shared" si="6"/>
        <v>5.6731475807449291E-2</v>
      </c>
      <c r="K45" s="2"/>
      <c r="L45" s="2">
        <f t="shared" si="7"/>
        <v>13295.519999999997</v>
      </c>
      <c r="M45" s="2"/>
      <c r="N45" s="19">
        <f t="shared" si="8"/>
        <v>0.35486534861387714</v>
      </c>
      <c r="O45" s="11"/>
      <c r="P45" s="2">
        <v>353728.39</v>
      </c>
      <c r="Q45" s="2"/>
      <c r="R45" s="19">
        <f t="shared" si="9"/>
        <v>0.12544775704680894</v>
      </c>
      <c r="S45" s="2"/>
      <c r="T45" s="2">
        <v>239679.49000000002</v>
      </c>
      <c r="U45" s="2"/>
      <c r="V45" s="19">
        <f t="shared" si="10"/>
        <v>7.2054471901752043E-2</v>
      </c>
      <c r="W45" s="2"/>
      <c r="X45" s="2">
        <f t="shared" si="11"/>
        <v>114048.9</v>
      </c>
      <c r="Y45" s="2"/>
      <c r="Z45" s="19">
        <f t="shared" si="12"/>
        <v>0.47583921344291907</v>
      </c>
    </row>
    <row r="46" spans="1:26" s="24" customFormat="1" hidden="1" outlineLevel="1" x14ac:dyDescent="0.25">
      <c r="A46" s="44"/>
      <c r="B46" s="11" t="str">
        <f>CONCATENATE("          ", "5011", " - ", "PURCHASES @ COST-NO VALUE TEXT")</f>
        <v xml:space="preserve">          5011 - PURCHASES @ COST-NO VALUE TEXT</v>
      </c>
      <c r="C46" s="11"/>
      <c r="D46" s="2">
        <v>2928</v>
      </c>
      <c r="E46" s="2"/>
      <c r="F46" s="19">
        <f t="shared" si="5"/>
        <v>5.0665229444534126E-3</v>
      </c>
      <c r="G46" s="2"/>
      <c r="H46" s="2">
        <v>126</v>
      </c>
      <c r="I46" s="2"/>
      <c r="J46" s="19">
        <f t="shared" si="6"/>
        <v>1.9078880723834567E-4</v>
      </c>
      <c r="K46" s="2"/>
      <c r="L46" s="2">
        <f t="shared" si="7"/>
        <v>2802</v>
      </c>
      <c r="M46" s="2"/>
      <c r="N46" s="19">
        <f t="shared" si="8"/>
        <v>22.238095238095237</v>
      </c>
      <c r="O46" s="11"/>
      <c r="P46" s="2">
        <v>3585</v>
      </c>
      <c r="Q46" s="2"/>
      <c r="R46" s="19">
        <f t="shared" si="9"/>
        <v>1.2713998133223347E-3</v>
      </c>
      <c r="S46" s="2"/>
      <c r="T46" s="2">
        <v>1083</v>
      </c>
      <c r="U46" s="2"/>
      <c r="V46" s="19">
        <f t="shared" si="10"/>
        <v>3.2558060378715532E-4</v>
      </c>
      <c r="W46" s="2"/>
      <c r="X46" s="2">
        <f t="shared" si="11"/>
        <v>2502</v>
      </c>
      <c r="Y46" s="2"/>
      <c r="Z46" s="19">
        <f t="shared" si="12"/>
        <v>2.3102493074792245</v>
      </c>
    </row>
    <row r="47" spans="1:26" s="24" customFormat="1" hidden="1" outlineLevel="1" x14ac:dyDescent="0.25">
      <c r="A47" s="44"/>
      <c r="B47" s="11" t="str">
        <f>CONCATENATE("          ", "5013", " - ", "PURCHASES @ COST-TRADE BOOKS")</f>
        <v xml:space="preserve">          5013 - PURCHASES @ COST-TRADE BOOKS</v>
      </c>
      <c r="C47" s="11"/>
      <c r="D47" s="2">
        <v>269.89</v>
      </c>
      <c r="E47" s="2"/>
      <c r="F47" s="19">
        <f t="shared" si="5"/>
        <v>4.6700952099676618E-4</v>
      </c>
      <c r="G47" s="2"/>
      <c r="H47" s="2">
        <v>-1023.61</v>
      </c>
      <c r="I47" s="2"/>
      <c r="J47" s="19">
        <f t="shared" si="6"/>
        <v>-1.5499470712479605E-3</v>
      </c>
      <c r="K47" s="2"/>
      <c r="L47" s="2">
        <f t="shared" si="7"/>
        <v>1293.5</v>
      </c>
      <c r="M47" s="2"/>
      <c r="N47" s="19">
        <f t="shared" si="8"/>
        <v>-1.2636648723634978</v>
      </c>
      <c r="O47" s="11"/>
      <c r="P47" s="2">
        <v>474.79</v>
      </c>
      <c r="Q47" s="2"/>
      <c r="R47" s="19">
        <f t="shared" si="9"/>
        <v>1.683815669085945E-4</v>
      </c>
      <c r="S47" s="2"/>
      <c r="T47" s="2">
        <v>579.38</v>
      </c>
      <c r="U47" s="2"/>
      <c r="V47" s="19">
        <f t="shared" si="10"/>
        <v>1.7417810731505266E-4</v>
      </c>
      <c r="W47" s="2"/>
      <c r="X47" s="2">
        <f t="shared" si="11"/>
        <v>-104.58999999999997</v>
      </c>
      <c r="Y47" s="2"/>
      <c r="Z47" s="19">
        <f t="shared" si="12"/>
        <v>-0.18052055645690215</v>
      </c>
    </row>
    <row r="48" spans="1:26" s="24" customFormat="1" hidden="1" outlineLevel="1" x14ac:dyDescent="0.25">
      <c r="A48" s="44"/>
      <c r="B48" s="11" t="str">
        <f>CONCATENATE("          ", "5014", " - ", "PURCHASES @ COST-REMAINDERS")</f>
        <v xml:space="preserve">          5014 - PURCHASES @ COST-REMAINDERS</v>
      </c>
      <c r="C48" s="11"/>
      <c r="D48" s="2">
        <v>55.65</v>
      </c>
      <c r="E48" s="2"/>
      <c r="F48" s="19">
        <f t="shared" si="5"/>
        <v>9.6295082602060241E-5</v>
      </c>
      <c r="G48" s="2"/>
      <c r="H48" s="2">
        <v>197.26</v>
      </c>
      <c r="I48" s="2"/>
      <c r="J48" s="19">
        <f t="shared" si="6"/>
        <v>2.9869047710981005E-4</v>
      </c>
      <c r="K48" s="2"/>
      <c r="L48" s="2">
        <f t="shared" si="7"/>
        <v>-141.60999999999999</v>
      </c>
      <c r="M48" s="2"/>
      <c r="N48" s="19">
        <f t="shared" si="8"/>
        <v>-0.71788502484031225</v>
      </c>
      <c r="O48" s="11"/>
      <c r="P48" s="2">
        <v>289.97000000000003</v>
      </c>
      <c r="Q48" s="2"/>
      <c r="R48" s="19">
        <f t="shared" si="9"/>
        <v>1.0283620749486121E-4</v>
      </c>
      <c r="S48" s="2"/>
      <c r="T48" s="2">
        <v>401.26</v>
      </c>
      <c r="U48" s="2"/>
      <c r="V48" s="19">
        <f t="shared" si="10"/>
        <v>1.2063016904490668E-4</v>
      </c>
      <c r="W48" s="2"/>
      <c r="X48" s="2">
        <f t="shared" si="11"/>
        <v>-111.28999999999996</v>
      </c>
      <c r="Y48" s="2"/>
      <c r="Z48" s="19">
        <f t="shared" si="12"/>
        <v>-0.27735134326870348</v>
      </c>
    </row>
    <row r="49" spans="1:26" s="24" customFormat="1" hidden="1" outlineLevel="1" x14ac:dyDescent="0.25">
      <c r="A49" s="44"/>
      <c r="B49" s="11" t="str">
        <f>CONCATENATE("          ", "5018", " - ", "PURCHASES @ COST-STUDY GUIDES")</f>
        <v xml:space="preserve">          5018 - PURCHASES @ COST-STUDY GUIDES</v>
      </c>
      <c r="C49" s="11"/>
      <c r="D49" s="2"/>
      <c r="E49" s="2"/>
      <c r="F49" s="19">
        <f t="shared" si="5"/>
        <v>0</v>
      </c>
      <c r="G49" s="2"/>
      <c r="H49" s="2">
        <v>216.04</v>
      </c>
      <c r="I49" s="2"/>
      <c r="J49" s="19">
        <f t="shared" si="6"/>
        <v>3.2712709456962061E-4</v>
      </c>
      <c r="K49" s="2"/>
      <c r="L49" s="2">
        <f t="shared" si="7"/>
        <v>-216.04</v>
      </c>
      <c r="M49" s="2"/>
      <c r="N49" s="19">
        <f t="shared" si="8"/>
        <v>-1</v>
      </c>
      <c r="O49" s="11"/>
      <c r="P49" s="2">
        <v>503.93</v>
      </c>
      <c r="Q49" s="2"/>
      <c r="R49" s="19">
        <f t="shared" si="9"/>
        <v>1.7871590179289375E-4</v>
      </c>
      <c r="S49" s="2"/>
      <c r="T49" s="2">
        <v>1034.67</v>
      </c>
      <c r="U49" s="2"/>
      <c r="V49" s="19">
        <f t="shared" si="10"/>
        <v>3.110512311361551E-4</v>
      </c>
      <c r="W49" s="2"/>
      <c r="X49" s="2">
        <f t="shared" si="11"/>
        <v>-530.74</v>
      </c>
      <c r="Y49" s="2"/>
      <c r="Z49" s="19">
        <f t="shared" si="12"/>
        <v>-0.51295582166294562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>
        <v>-53957</v>
      </c>
      <c r="E50" s="2"/>
      <c r="F50" s="19">
        <f t="shared" si="5"/>
        <v>-9.3365566432333597E-2</v>
      </c>
      <c r="G50" s="2"/>
      <c r="H50" s="2">
        <v>-330040</v>
      </c>
      <c r="I50" s="2"/>
      <c r="J50" s="19">
        <f t="shared" si="6"/>
        <v>-0.49974553921383819</v>
      </c>
      <c r="K50" s="2"/>
      <c r="L50" s="2">
        <f t="shared" si="7"/>
        <v>276083</v>
      </c>
      <c r="M50" s="2"/>
      <c r="N50" s="19">
        <f t="shared" si="8"/>
        <v>-0.83651375590837473</v>
      </c>
      <c r="O50" s="11"/>
      <c r="P50" s="2">
        <v>-2003459</v>
      </c>
      <c r="Q50" s="2"/>
      <c r="R50" s="19">
        <f t="shared" si="9"/>
        <v>-0.7105153134167228</v>
      </c>
      <c r="S50" s="2"/>
      <c r="T50" s="2">
        <v>-1855977</v>
      </c>
      <c r="U50" s="2"/>
      <c r="V50" s="19">
        <f t="shared" si="10"/>
        <v>-0.55795947578492444</v>
      </c>
      <c r="W50" s="2"/>
      <c r="X50" s="2">
        <f t="shared" si="11"/>
        <v>-147482</v>
      </c>
      <c r="Y50" s="2"/>
      <c r="Z50" s="19">
        <f t="shared" si="12"/>
        <v>7.9463269210771473E-2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290960</v>
      </c>
      <c r="E51" s="2"/>
      <c r="F51" s="19">
        <f t="shared" si="5"/>
        <v>0.50346841390647712</v>
      </c>
      <c r="G51" s="2"/>
      <c r="H51" s="2">
        <v>335026</v>
      </c>
      <c r="I51" s="2"/>
      <c r="J51" s="19">
        <f t="shared" si="6"/>
        <v>0.50729532487169837</v>
      </c>
      <c r="K51" s="2"/>
      <c r="L51" s="2">
        <f t="shared" si="7"/>
        <v>-44066</v>
      </c>
      <c r="M51" s="2"/>
      <c r="N51" s="19">
        <f t="shared" si="8"/>
        <v>-0.13153009020195447</v>
      </c>
      <c r="O51" s="11"/>
      <c r="P51" s="2">
        <v>1393883</v>
      </c>
      <c r="Q51" s="2"/>
      <c r="R51" s="19">
        <f t="shared" si="9"/>
        <v>0.49433265997020243</v>
      </c>
      <c r="S51" s="2"/>
      <c r="T51" s="2">
        <v>1657970</v>
      </c>
      <c r="U51" s="2"/>
      <c r="V51" s="19">
        <f t="shared" si="10"/>
        <v>0.49843293966850405</v>
      </c>
      <c r="W51" s="2"/>
      <c r="X51" s="2">
        <f t="shared" si="11"/>
        <v>-264087</v>
      </c>
      <c r="Y51" s="2"/>
      <c r="Z51" s="19">
        <f t="shared" si="12"/>
        <v>-0.15928334047057546</v>
      </c>
    </row>
    <row r="52" spans="1:26" s="24" customFormat="1" hidden="1" outlineLevel="1" x14ac:dyDescent="0.25">
      <c r="A52" s="44"/>
      <c r="B52" s="11" t="str">
        <f>CONCATENATE("          ", "5500", " - ", "FREIGHT-IN")</f>
        <v xml:space="preserve">          5500 - FREIGHT-IN</v>
      </c>
      <c r="C52" s="11"/>
      <c r="D52" s="2"/>
      <c r="E52" s="2"/>
      <c r="F52" s="19">
        <f t="shared" si="5"/>
        <v>0</v>
      </c>
      <c r="G52" s="2"/>
      <c r="H52" s="2">
        <v>103.39</v>
      </c>
      <c r="I52" s="2"/>
      <c r="J52" s="19">
        <f t="shared" si="6"/>
        <v>1.5655281571724255E-4</v>
      </c>
      <c r="K52" s="2"/>
      <c r="L52" s="2">
        <f t="shared" si="7"/>
        <v>-103.39</v>
      </c>
      <c r="M52" s="2"/>
      <c r="N52" s="19">
        <f t="shared" si="8"/>
        <v>-1</v>
      </c>
      <c r="O52" s="11"/>
      <c r="P52" s="2"/>
      <c r="Q52" s="2"/>
      <c r="R52" s="19">
        <f t="shared" si="9"/>
        <v>0</v>
      </c>
      <c r="S52" s="2"/>
      <c r="T52" s="2">
        <v>317.36</v>
      </c>
      <c r="U52" s="2"/>
      <c r="V52" s="19">
        <f t="shared" si="10"/>
        <v>9.5407442675800194E-5</v>
      </c>
      <c r="W52" s="2"/>
      <c r="X52" s="2">
        <f t="shared" si="11"/>
        <v>-317.36</v>
      </c>
      <c r="Y52" s="2"/>
      <c r="Z52" s="19">
        <f t="shared" si="12"/>
        <v>-1</v>
      </c>
    </row>
    <row r="53" spans="1:26" s="24" customFormat="1" hidden="1" outlineLevel="1" x14ac:dyDescent="0.25">
      <c r="A53" s="44"/>
      <c r="B53" s="11" t="str">
        <f>CONCATENATE("          ", "5501", " - ", "FREIGHT-IN-NEW TEXT")</f>
        <v xml:space="preserve">          5501 - FREIGHT-IN-NEW TEXT</v>
      </c>
      <c r="C53" s="11"/>
      <c r="D53" s="2">
        <v>13859.22</v>
      </c>
      <c r="E53" s="2"/>
      <c r="F53" s="19">
        <f t="shared" si="5"/>
        <v>2.3981576544476645E-2</v>
      </c>
      <c r="G53" s="2"/>
      <c r="H53" s="2">
        <v>17256.72</v>
      </c>
      <c r="I53" s="2"/>
      <c r="J53" s="19">
        <f t="shared" si="6"/>
        <v>2.6130071632111944E-2</v>
      </c>
      <c r="K53" s="2"/>
      <c r="L53" s="2">
        <f t="shared" si="7"/>
        <v>-3397.5000000000018</v>
      </c>
      <c r="M53" s="2"/>
      <c r="N53" s="19">
        <f t="shared" si="8"/>
        <v>-0.19687982420761313</v>
      </c>
      <c r="O53" s="11"/>
      <c r="P53" s="2">
        <v>26583.46</v>
      </c>
      <c r="Q53" s="2"/>
      <c r="R53" s="19">
        <f t="shared" si="9"/>
        <v>9.4276725471301951E-3</v>
      </c>
      <c r="S53" s="2"/>
      <c r="T53" s="2">
        <v>26255.8</v>
      </c>
      <c r="U53" s="2"/>
      <c r="V53" s="19">
        <f t="shared" si="10"/>
        <v>7.8932402741595485E-3</v>
      </c>
      <c r="W53" s="2"/>
      <c r="X53" s="2">
        <f t="shared" si="11"/>
        <v>327.65999999999985</v>
      </c>
      <c r="Y53" s="2"/>
      <c r="Z53" s="19">
        <f t="shared" si="12"/>
        <v>1.2479528332787418E-2</v>
      </c>
    </row>
    <row r="54" spans="1:26" s="24" customFormat="1" hidden="1" outlineLevel="1" x14ac:dyDescent="0.25">
      <c r="A54" s="44"/>
      <c r="B54" s="11" t="str">
        <f>CONCATENATE("          ", "5502", " - ", "FREIGHT-IN-USED TEXT")</f>
        <v xml:space="preserve">          5502 - FREIGHT-IN-USED TEXT</v>
      </c>
      <c r="C54" s="11"/>
      <c r="D54" s="2">
        <v>1998.66</v>
      </c>
      <c r="E54" s="2"/>
      <c r="F54" s="19">
        <f t="shared" si="5"/>
        <v>3.4584210205468777E-3</v>
      </c>
      <c r="G54" s="2"/>
      <c r="H54" s="2">
        <v>4462.3100000000004</v>
      </c>
      <c r="I54" s="2"/>
      <c r="J54" s="19">
        <f t="shared" si="6"/>
        <v>6.7568158922836699E-3</v>
      </c>
      <c r="K54" s="2"/>
      <c r="L54" s="2">
        <f t="shared" si="7"/>
        <v>-2463.6500000000005</v>
      </c>
      <c r="M54" s="2"/>
      <c r="N54" s="19">
        <f t="shared" si="8"/>
        <v>-0.55210193823378484</v>
      </c>
      <c r="O54" s="11"/>
      <c r="P54" s="2">
        <v>6261.17</v>
      </c>
      <c r="Q54" s="2"/>
      <c r="R54" s="19">
        <f t="shared" si="9"/>
        <v>2.2204882480277273E-3</v>
      </c>
      <c r="S54" s="2"/>
      <c r="T54" s="2">
        <v>6257.15</v>
      </c>
      <c r="U54" s="2"/>
      <c r="V54" s="19">
        <f t="shared" si="10"/>
        <v>1.8810772622223442E-3</v>
      </c>
      <c r="W54" s="2"/>
      <c r="X54" s="2">
        <f t="shared" si="11"/>
        <v>4.0200000000004366</v>
      </c>
      <c r="Y54" s="2"/>
      <c r="Z54" s="19">
        <f t="shared" si="12"/>
        <v>6.4246502001717026E-4</v>
      </c>
    </row>
    <row r="55" spans="1:26" s="24" customFormat="1" hidden="1" outlineLevel="1" x14ac:dyDescent="0.25">
      <c r="A55" s="44"/>
      <c r="B55" s="11" t="str">
        <f>CONCATENATE("          ", "5504", " - ", "FREIGHT-IN-DIGITAL TEXT")</f>
        <v xml:space="preserve">          5504 - FREIGHT-IN-DIGITAL TEXT</v>
      </c>
      <c r="C55" s="11"/>
      <c r="D55" s="2"/>
      <c r="E55" s="2"/>
      <c r="F55" s="19">
        <f t="shared" si="5"/>
        <v>0</v>
      </c>
      <c r="G55" s="2"/>
      <c r="H55" s="2">
        <v>163.72</v>
      </c>
      <c r="I55" s="2"/>
      <c r="J55" s="19">
        <f t="shared" si="6"/>
        <v>2.4790431365922188E-4</v>
      </c>
      <c r="K55" s="2"/>
      <c r="L55" s="2">
        <f t="shared" si="7"/>
        <v>-163.72</v>
      </c>
      <c r="M55" s="2"/>
      <c r="N55" s="19">
        <f t="shared" si="8"/>
        <v>-1</v>
      </c>
      <c r="O55" s="11"/>
      <c r="P55" s="2">
        <v>7.03</v>
      </c>
      <c r="Q55" s="2"/>
      <c r="R55" s="19">
        <f t="shared" si="9"/>
        <v>2.4931494247297109E-6</v>
      </c>
      <c r="S55" s="2"/>
      <c r="T55" s="2">
        <v>166.22</v>
      </c>
      <c r="U55" s="2"/>
      <c r="V55" s="19">
        <f t="shared" si="10"/>
        <v>4.9970459798246492E-5</v>
      </c>
      <c r="W55" s="2"/>
      <c r="X55" s="2">
        <f t="shared" si="11"/>
        <v>-159.19</v>
      </c>
      <c r="Y55" s="2"/>
      <c r="Z55" s="19">
        <f t="shared" si="12"/>
        <v>-0.95770665383227049</v>
      </c>
    </row>
    <row r="56" spans="1:26" s="24" customFormat="1" hidden="1" outlineLevel="1" x14ac:dyDescent="0.25">
      <c r="A56" s="44"/>
      <c r="B56" s="11" t="str">
        <f>CONCATENATE("          ", "5513", " - ", "FREIGHT-IN-TRADE BOOKS")</f>
        <v xml:space="preserve">          5513 - FREIGHT-IN-TRADE BOOKS</v>
      </c>
      <c r="C56" s="11"/>
      <c r="D56" s="2"/>
      <c r="E56" s="2"/>
      <c r="F56" s="19">
        <f t="shared" si="5"/>
        <v>0</v>
      </c>
      <c r="G56" s="2"/>
      <c r="H56" s="2">
        <v>4.95</v>
      </c>
      <c r="I56" s="2"/>
      <c r="J56" s="19">
        <f t="shared" si="6"/>
        <v>7.4952745700778668E-6</v>
      </c>
      <c r="K56" s="2"/>
      <c r="L56" s="2">
        <f t="shared" si="7"/>
        <v>-4.95</v>
      </c>
      <c r="M56" s="2"/>
      <c r="N56" s="19">
        <f t="shared" si="8"/>
        <v>-1</v>
      </c>
      <c r="O56" s="11"/>
      <c r="P56" s="2"/>
      <c r="Q56" s="2"/>
      <c r="R56" s="19">
        <f t="shared" si="9"/>
        <v>0</v>
      </c>
      <c r="S56" s="2"/>
      <c r="T56" s="2">
        <v>12.22</v>
      </c>
      <c r="U56" s="2"/>
      <c r="V56" s="19">
        <f t="shared" si="10"/>
        <v>3.6736795736648548E-6</v>
      </c>
      <c r="W56" s="2"/>
      <c r="X56" s="2">
        <f t="shared" si="11"/>
        <v>-12.22</v>
      </c>
      <c r="Y56" s="2"/>
      <c r="Z56" s="19">
        <f t="shared" si="12"/>
        <v>-1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6" t="s">
        <v>6</v>
      </c>
      <c r="C58" s="26"/>
      <c r="D58" s="21">
        <f>D12-D41</f>
        <v>147311.99000000028</v>
      </c>
      <c r="E58" s="13"/>
      <c r="F58" s="20">
        <f>IF(D$12=0,0,D58/D$12)</f>
        <v>0.25490422722953998</v>
      </c>
      <c r="G58" s="13"/>
      <c r="H58" s="21">
        <f>H12-H41</f>
        <v>157640.89999999991</v>
      </c>
      <c r="I58" s="13"/>
      <c r="J58" s="20">
        <f>IF(H$12=0,0,H58/H$12)</f>
        <v>0.23869935938872469</v>
      </c>
      <c r="K58" s="15"/>
      <c r="L58" s="21">
        <f>+D58-H58</f>
        <v>-10328.909999999625</v>
      </c>
      <c r="M58" s="15"/>
      <c r="N58" s="20">
        <f>IF(H58=0,0,L58/H58)</f>
        <v>-6.5521764973427779E-2</v>
      </c>
      <c r="O58" s="25"/>
      <c r="P58" s="21">
        <f>P12-P41</f>
        <v>751485.16999999736</v>
      </c>
      <c r="Q58" s="13"/>
      <c r="R58" s="20">
        <f>IF(P$12=0,0,P58/P$12)</f>
        <v>0.26650993161854941</v>
      </c>
      <c r="S58" s="13"/>
      <c r="T58" s="21">
        <f>T12-T41</f>
        <v>881579.96000000136</v>
      </c>
      <c r="U58" s="13"/>
      <c r="V58" s="20">
        <f>IF(T$12=0,0,T58/T$12)</f>
        <v>0.26502801076958138</v>
      </c>
      <c r="W58" s="15"/>
      <c r="X58" s="21">
        <f>+P58-T58</f>
        <v>-130094.790000004</v>
      </c>
      <c r="Y58" s="15"/>
      <c r="Z58" s="20">
        <f>IF(T58=0,0,X58/T58)</f>
        <v>-0.14757004004492547</v>
      </c>
    </row>
    <row r="59" spans="1:26" x14ac:dyDescent="0.25">
      <c r="A59" s="9"/>
      <c r="B59" s="10"/>
      <c r="C59" s="9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5" t="s">
        <v>9</v>
      </c>
      <c r="C60" s="10"/>
      <c r="D60" s="22">
        <f>SUM(OSRRefD22x_0)</f>
        <v>23354.710000000003</v>
      </c>
      <c r="E60" s="22"/>
      <c r="F60" s="34">
        <f t="shared" ref="F60:F70" si="13">IF(D$12=0,0,D60/D$12)</f>
        <v>4.0412286228161058E-2</v>
      </c>
      <c r="G60" s="22"/>
      <c r="H60" s="22">
        <f>SUM(OSRRefH22x_0)</f>
        <v>55388.24</v>
      </c>
      <c r="I60" s="22"/>
      <c r="J60" s="34">
        <f t="shared" ref="J60:J70" si="14">IF(H$12=0,0,H60/H$12)</f>
        <v>8.3868700354216091E-2</v>
      </c>
      <c r="K60" s="4"/>
      <c r="L60" s="22">
        <f t="shared" ref="L60:L70" si="15">+D60-H60</f>
        <v>-32033.529999999995</v>
      </c>
      <c r="M60" s="4"/>
      <c r="N60" s="34">
        <f t="shared" ref="N60:N70" si="16">IF(H60=0,0,L60/H60)</f>
        <v>-0.57834533106666675</v>
      </c>
      <c r="O60" s="10"/>
      <c r="P60" s="22">
        <f>SUM(OSRRefP22x_0)</f>
        <v>116991.76999999999</v>
      </c>
      <c r="Q60" s="22"/>
      <c r="R60" s="34">
        <f t="shared" ref="R60:R70" si="17">IF(P$12=0,0,P60/P$12)</f>
        <v>4.1490464306345745E-2</v>
      </c>
      <c r="S60" s="22"/>
      <c r="T60" s="22">
        <f>SUM(OSRRefT22x_0)</f>
        <v>176264.42</v>
      </c>
      <c r="U60" s="22"/>
      <c r="V60" s="34">
        <f t="shared" ref="V60:V70" si="18">IF(T$12=0,0,T60/T$12)</f>
        <v>5.2990098143852943E-2</v>
      </c>
      <c r="W60" s="4"/>
      <c r="X60" s="22">
        <f t="shared" ref="X60:X70" si="19">+P60-T60</f>
        <v>-59272.650000000023</v>
      </c>
      <c r="Y60" s="4"/>
      <c r="Z60" s="34">
        <f t="shared" ref="Z60:Z70" si="20">IF(T60=0,0,X60/T60)</f>
        <v>-0.33627121117239667</v>
      </c>
    </row>
    <row r="61" spans="1:26" s="29" customFormat="1" outlineLevel="1" collapsed="1" x14ac:dyDescent="0.25">
      <c r="A61" s="27"/>
      <c r="B61" s="14" t="str">
        <f>CONCATENATE("     ","*Benefits                                         ")</f>
        <v xml:space="preserve">     *Benefits                                         </v>
      </c>
      <c r="C61" s="14"/>
      <c r="D61" s="1">
        <f>SUM(OSRRefD22_0x_0)</f>
        <v>9413.4500000000007</v>
      </c>
      <c r="E61" s="1"/>
      <c r="F61" s="5">
        <f t="shared" si="13"/>
        <v>1.6288750140527657E-2</v>
      </c>
      <c r="G61" s="1"/>
      <c r="H61" s="1">
        <f>SUM(OSRRefH22_0x_0)</f>
        <v>11799.99</v>
      </c>
      <c r="I61" s="1"/>
      <c r="J61" s="5">
        <f t="shared" si="14"/>
        <v>1.7867508075590528E-2</v>
      </c>
      <c r="K61" s="1"/>
      <c r="L61" s="1">
        <f t="shared" si="15"/>
        <v>-2386.5399999999991</v>
      </c>
      <c r="M61" s="1"/>
      <c r="N61" s="5">
        <f t="shared" si="16"/>
        <v>-0.20224932394010495</v>
      </c>
      <c r="O61" s="14"/>
      <c r="P61" s="1">
        <f>SUM(OSRRefP22_0x_0)</f>
        <v>30333.209999999992</v>
      </c>
      <c r="Q61" s="1"/>
      <c r="R61" s="5">
        <f t="shared" si="17"/>
        <v>1.0757500008777452E-2</v>
      </c>
      <c r="S61" s="1"/>
      <c r="T61" s="1">
        <f>SUM(OSRRefT22_0x_0)</f>
        <v>35065.74</v>
      </c>
      <c r="U61" s="1"/>
      <c r="V61" s="5">
        <f t="shared" si="18"/>
        <v>1.0541758819430657E-2</v>
      </c>
      <c r="W61" s="1"/>
      <c r="X61" s="1">
        <f t="shared" si="19"/>
        <v>-4732.5300000000061</v>
      </c>
      <c r="Y61" s="1"/>
      <c r="Z61" s="5">
        <f t="shared" si="20"/>
        <v>-0.13496164632487453</v>
      </c>
    </row>
    <row r="62" spans="1:26" s="24" customFormat="1" hidden="1" outlineLevel="2" x14ac:dyDescent="0.25">
      <c r="A62" s="28"/>
      <c r="B62" s="11" t="str">
        <f>CONCATENATE("          ", "6111", " - ", "F.I.C.A.")</f>
        <v xml:space="preserve">          6111 - F.I.C.A.</v>
      </c>
      <c r="C62" s="11"/>
      <c r="D62" s="6">
        <v>1409.9</v>
      </c>
      <c r="E62" s="2"/>
      <c r="F62" s="7">
        <f t="shared" si="13"/>
        <v>2.4396484629046677E-3</v>
      </c>
      <c r="G62" s="2"/>
      <c r="H62" s="6">
        <v>1735.17</v>
      </c>
      <c r="I62" s="2"/>
      <c r="J62" s="7">
        <f t="shared" si="14"/>
        <v>2.6273890052044466E-3</v>
      </c>
      <c r="K62" s="2"/>
      <c r="L62" s="6">
        <f t="shared" si="15"/>
        <v>-325.27</v>
      </c>
      <c r="M62" s="2"/>
      <c r="N62" s="7">
        <f t="shared" si="16"/>
        <v>-0.18745713676469739</v>
      </c>
      <c r="O62" s="11"/>
      <c r="P62" s="6">
        <v>4796.1499999999996</v>
      </c>
      <c r="Q62" s="2"/>
      <c r="R62" s="7">
        <f t="shared" si="17"/>
        <v>1.7009272565316359E-3</v>
      </c>
      <c r="S62" s="2"/>
      <c r="T62" s="6">
        <v>5636.33</v>
      </c>
      <c r="U62" s="2"/>
      <c r="V62" s="7">
        <f t="shared" si="18"/>
        <v>1.6944411122286767E-3</v>
      </c>
      <c r="W62" s="2"/>
      <c r="X62" s="6">
        <f t="shared" si="19"/>
        <v>-840.18000000000029</v>
      </c>
      <c r="Y62" s="2"/>
      <c r="Z62" s="7">
        <f t="shared" si="20"/>
        <v>-0.14906508313033487</v>
      </c>
    </row>
    <row r="63" spans="1:26" s="24" customFormat="1" hidden="1" outlineLevel="2" x14ac:dyDescent="0.25">
      <c r="A63" s="28"/>
      <c r="B63" s="11" t="str">
        <f>CONCATENATE("          ", "6112", " - ", "COMPENSATION INSURANCE")</f>
        <v xml:space="preserve">          6112 - COMPENSATION INSURANCE</v>
      </c>
      <c r="C63" s="11"/>
      <c r="D63" s="6">
        <v>74.67</v>
      </c>
      <c r="E63" s="2"/>
      <c r="F63" s="7">
        <f t="shared" si="13"/>
        <v>1.2920671730271048E-4</v>
      </c>
      <c r="G63" s="2"/>
      <c r="H63" s="6"/>
      <c r="I63" s="2"/>
      <c r="J63" s="7">
        <f t="shared" si="14"/>
        <v>0</v>
      </c>
      <c r="K63" s="2"/>
      <c r="L63" s="6">
        <f t="shared" si="15"/>
        <v>74.67</v>
      </c>
      <c r="M63" s="2"/>
      <c r="N63" s="7">
        <f t="shared" si="16"/>
        <v>0</v>
      </c>
      <c r="O63" s="11"/>
      <c r="P63" s="6">
        <v>256.11</v>
      </c>
      <c r="Q63" s="2"/>
      <c r="R63" s="7">
        <f t="shared" si="17"/>
        <v>9.0827951517429047E-5</v>
      </c>
      <c r="S63" s="2"/>
      <c r="T63" s="6">
        <v>209.75</v>
      </c>
      <c r="U63" s="2"/>
      <c r="V63" s="7">
        <f t="shared" si="18"/>
        <v>6.3056815922766228E-5</v>
      </c>
      <c r="W63" s="2"/>
      <c r="X63" s="6">
        <f t="shared" si="19"/>
        <v>46.360000000000014</v>
      </c>
      <c r="Y63" s="2"/>
      <c r="Z63" s="7">
        <f t="shared" si="20"/>
        <v>0.2210250297973779</v>
      </c>
    </row>
    <row r="64" spans="1:26" s="24" customFormat="1" hidden="1" outlineLevel="2" x14ac:dyDescent="0.25">
      <c r="A64" s="28"/>
      <c r="B64" s="11" t="str">
        <f>CONCATENATE("          ", "6113", " - ", "GROUP INSURANCE")</f>
        <v xml:space="preserve">          6113 - GROUP INSURANCE</v>
      </c>
      <c r="C64" s="11"/>
      <c r="D64" s="6">
        <v>4168.57</v>
      </c>
      <c r="E64" s="2"/>
      <c r="F64" s="7">
        <f t="shared" si="13"/>
        <v>7.2131678792896718E-3</v>
      </c>
      <c r="G64" s="2"/>
      <c r="H64" s="6">
        <v>5625.32</v>
      </c>
      <c r="I64" s="2"/>
      <c r="J64" s="7">
        <f t="shared" si="14"/>
        <v>8.5178420090000848E-3</v>
      </c>
      <c r="K64" s="2"/>
      <c r="L64" s="6">
        <f t="shared" si="15"/>
        <v>-1456.75</v>
      </c>
      <c r="M64" s="2"/>
      <c r="N64" s="7">
        <f t="shared" si="16"/>
        <v>-0.25896304565784706</v>
      </c>
      <c r="O64" s="11"/>
      <c r="P64" s="6">
        <v>12505.71</v>
      </c>
      <c r="Q64" s="2"/>
      <c r="R64" s="7">
        <f t="shared" si="17"/>
        <v>4.4350787613565562E-3</v>
      </c>
      <c r="S64" s="2"/>
      <c r="T64" s="6">
        <v>13359.65</v>
      </c>
      <c r="U64" s="2"/>
      <c r="V64" s="7">
        <f t="shared" si="18"/>
        <v>4.0162907787489096E-3</v>
      </c>
      <c r="W64" s="2"/>
      <c r="X64" s="6">
        <f t="shared" si="19"/>
        <v>-853.94000000000051</v>
      </c>
      <c r="Y64" s="2"/>
      <c r="Z64" s="7">
        <f t="shared" si="20"/>
        <v>-6.3919339204245654E-2</v>
      </c>
    </row>
    <row r="65" spans="1:26" s="24" customFormat="1" hidden="1" outlineLevel="2" x14ac:dyDescent="0.25">
      <c r="A65" s="28"/>
      <c r="B65" s="11" t="str">
        <f>CONCATENATE("          ", "6114", " - ", "STATE UNEMPLOYMENT INSURANCE")</f>
        <v xml:space="preserve">          6114 - STATE UNEMPLOYMENT INSURANCE</v>
      </c>
      <c r="C65" s="11"/>
      <c r="D65" s="6">
        <v>57.1</v>
      </c>
      <c r="E65" s="2"/>
      <c r="F65" s="7">
        <f t="shared" si="13"/>
        <v>9.880411889627386E-5</v>
      </c>
      <c r="G65" s="2"/>
      <c r="H65" s="6">
        <v>111.55</v>
      </c>
      <c r="I65" s="2"/>
      <c r="J65" s="7">
        <f t="shared" si="14"/>
        <v>1.6890866228124967E-4</v>
      </c>
      <c r="K65" s="2"/>
      <c r="L65" s="6">
        <f t="shared" si="15"/>
        <v>-54.449999999999996</v>
      </c>
      <c r="M65" s="2"/>
      <c r="N65" s="7">
        <f t="shared" si="16"/>
        <v>-0.48812191842223218</v>
      </c>
      <c r="O65" s="11"/>
      <c r="P65" s="6">
        <v>170.53</v>
      </c>
      <c r="Q65" s="2"/>
      <c r="R65" s="7">
        <f t="shared" si="17"/>
        <v>6.0477492375413591E-5</v>
      </c>
      <c r="S65" s="2"/>
      <c r="T65" s="6">
        <v>287.45999999999998</v>
      </c>
      <c r="U65" s="2"/>
      <c r="V65" s="7">
        <f t="shared" si="18"/>
        <v>8.6418652229598941E-5</v>
      </c>
      <c r="W65" s="2"/>
      <c r="X65" s="6">
        <f t="shared" si="19"/>
        <v>-116.92999999999998</v>
      </c>
      <c r="Y65" s="2"/>
      <c r="Z65" s="7">
        <f t="shared" si="20"/>
        <v>-0.40676963751478462</v>
      </c>
    </row>
    <row r="66" spans="1:26" s="24" customFormat="1" hidden="1" outlineLevel="2" x14ac:dyDescent="0.25">
      <c r="A66" s="28"/>
      <c r="B66" s="11" t="str">
        <f>CONCATENATE("          ", "6115", " - ", "P.E.R.S.")</f>
        <v xml:space="preserve">          6115 - P.E.R.S.</v>
      </c>
      <c r="C66" s="11"/>
      <c r="D66" s="6">
        <v>1325.86</v>
      </c>
      <c r="E66" s="2"/>
      <c r="F66" s="7">
        <f t="shared" si="13"/>
        <v>2.2942281800317627E-3</v>
      </c>
      <c r="G66" s="2"/>
      <c r="H66" s="6">
        <v>1183.45</v>
      </c>
      <c r="I66" s="2"/>
      <c r="J66" s="7">
        <f t="shared" si="14"/>
        <v>1.7919763010017476E-3</v>
      </c>
      <c r="K66" s="2"/>
      <c r="L66" s="6">
        <f t="shared" si="15"/>
        <v>142.40999999999985</v>
      </c>
      <c r="M66" s="2"/>
      <c r="N66" s="7">
        <f t="shared" si="16"/>
        <v>0.12033461489712269</v>
      </c>
      <c r="O66" s="11"/>
      <c r="P66" s="6">
        <v>3977.58</v>
      </c>
      <c r="Q66" s="2"/>
      <c r="R66" s="7">
        <f t="shared" si="17"/>
        <v>1.4106260723778666E-3</v>
      </c>
      <c r="S66" s="2"/>
      <c r="T66" s="6">
        <v>4124.8500000000004</v>
      </c>
      <c r="U66" s="2"/>
      <c r="V66" s="7">
        <f t="shared" si="18"/>
        <v>1.2400472331776987E-3</v>
      </c>
      <c r="W66" s="2"/>
      <c r="X66" s="6">
        <f t="shared" si="19"/>
        <v>-147.27000000000044</v>
      </c>
      <c r="Y66" s="2"/>
      <c r="Z66" s="7">
        <f t="shared" si="20"/>
        <v>-3.57031164769629E-2</v>
      </c>
    </row>
    <row r="67" spans="1:26" s="24" customFormat="1" hidden="1" outlineLevel="2" x14ac:dyDescent="0.25">
      <c r="A67" s="28"/>
      <c r="B67" s="11" t="str">
        <f>CONCATENATE("          ", "6117", " - ", "RETIREMENT STAFF HOURLY")</f>
        <v xml:space="preserve">          6117 - RETIREMENT STAFF HOURLY</v>
      </c>
      <c r="C67" s="11"/>
      <c r="D67" s="6">
        <v>145.97</v>
      </c>
      <c r="E67" s="2"/>
      <c r="F67" s="7">
        <f t="shared" si="13"/>
        <v>2.5258208818369695E-4</v>
      </c>
      <c r="G67" s="2"/>
      <c r="H67" s="6">
        <v>383.51</v>
      </c>
      <c r="I67" s="2"/>
      <c r="J67" s="7">
        <f t="shared" si="14"/>
        <v>5.8070964653950759E-4</v>
      </c>
      <c r="K67" s="2"/>
      <c r="L67" s="6">
        <f t="shared" si="15"/>
        <v>-237.54</v>
      </c>
      <c r="M67" s="2"/>
      <c r="N67" s="7">
        <f t="shared" si="16"/>
        <v>-0.61938410993194437</v>
      </c>
      <c r="O67" s="11"/>
      <c r="P67" s="6">
        <v>461.34</v>
      </c>
      <c r="Q67" s="2"/>
      <c r="R67" s="7">
        <f t="shared" si="17"/>
        <v>1.6361160108176452E-4</v>
      </c>
      <c r="S67" s="2"/>
      <c r="T67" s="6">
        <v>852.59</v>
      </c>
      <c r="U67" s="2"/>
      <c r="V67" s="7">
        <f t="shared" si="18"/>
        <v>2.5631280423166273E-4</v>
      </c>
      <c r="W67" s="2"/>
      <c r="X67" s="6">
        <f t="shared" si="19"/>
        <v>-391.25000000000006</v>
      </c>
      <c r="Y67" s="2"/>
      <c r="Z67" s="7">
        <f t="shared" si="20"/>
        <v>-0.45889583504380776</v>
      </c>
    </row>
    <row r="68" spans="1:26" s="24" customFormat="1" hidden="1" outlineLevel="2" x14ac:dyDescent="0.25">
      <c r="A68" s="28"/>
      <c r="B68" s="11" t="str">
        <f>CONCATENATE("          ", "6118", " - ", "VACATION")</f>
        <v xml:space="preserve">          6118 - VACATION</v>
      </c>
      <c r="C68" s="11"/>
      <c r="D68" s="6">
        <v>819.89</v>
      </c>
      <c r="E68" s="2"/>
      <c r="F68" s="7">
        <f t="shared" si="13"/>
        <v>1.4187129429398594E-3</v>
      </c>
      <c r="G68" s="2"/>
      <c r="H68" s="6">
        <v>1175.08</v>
      </c>
      <c r="I68" s="2"/>
      <c r="J68" s="7">
        <f t="shared" si="14"/>
        <v>1.779302473092343E-3</v>
      </c>
      <c r="K68" s="2"/>
      <c r="L68" s="6">
        <f t="shared" si="15"/>
        <v>-355.18999999999994</v>
      </c>
      <c r="M68" s="2"/>
      <c r="N68" s="7">
        <f t="shared" si="16"/>
        <v>-0.30226878169996935</v>
      </c>
      <c r="O68" s="11"/>
      <c r="P68" s="6">
        <v>3094.35</v>
      </c>
      <c r="Q68" s="2"/>
      <c r="R68" s="7">
        <f t="shared" si="17"/>
        <v>1.097393587825374E-3</v>
      </c>
      <c r="S68" s="2"/>
      <c r="T68" s="6">
        <v>4566.87</v>
      </c>
      <c r="U68" s="2"/>
      <c r="V68" s="7">
        <f t="shared" si="18"/>
        <v>1.3729310175599684E-3</v>
      </c>
      <c r="W68" s="2"/>
      <c r="X68" s="6">
        <f t="shared" si="19"/>
        <v>-1472.52</v>
      </c>
      <c r="Y68" s="2"/>
      <c r="Z68" s="7">
        <f t="shared" si="20"/>
        <v>-0.3224352784292086</v>
      </c>
    </row>
    <row r="69" spans="1:26" s="24" customFormat="1" hidden="1" outlineLevel="2" x14ac:dyDescent="0.25">
      <c r="A69" s="28"/>
      <c r="B69" s="11" t="str">
        <f>CONCATENATE("          ", "6119", " - ", "SICK LEAVE")</f>
        <v xml:space="preserve">          6119 - SICK LEAVE</v>
      </c>
      <c r="C69" s="11"/>
      <c r="D69" s="6">
        <v>801.74</v>
      </c>
      <c r="E69" s="2"/>
      <c r="F69" s="7">
        <f t="shared" si="13"/>
        <v>1.3873067300157374E-3</v>
      </c>
      <c r="G69" s="2"/>
      <c r="H69" s="6">
        <v>900.92</v>
      </c>
      <c r="I69" s="2"/>
      <c r="J69" s="7">
        <f t="shared" si="14"/>
        <v>1.3641702556918284E-3</v>
      </c>
      <c r="K69" s="2"/>
      <c r="L69" s="6">
        <f t="shared" si="15"/>
        <v>-99.17999999999995</v>
      </c>
      <c r="M69" s="2"/>
      <c r="N69" s="7">
        <f t="shared" si="16"/>
        <v>-0.11008746614571766</v>
      </c>
      <c r="O69" s="11"/>
      <c r="P69" s="6">
        <v>3314.02</v>
      </c>
      <c r="Q69" s="2"/>
      <c r="R69" s="7">
        <f t="shared" si="17"/>
        <v>1.1752983010729382E-3</v>
      </c>
      <c r="S69" s="2"/>
      <c r="T69" s="6">
        <v>3920.42</v>
      </c>
      <c r="U69" s="2"/>
      <c r="V69" s="7">
        <f t="shared" si="18"/>
        <v>1.1785897605717816E-3</v>
      </c>
      <c r="W69" s="2"/>
      <c r="X69" s="6">
        <f t="shared" si="19"/>
        <v>-606.40000000000009</v>
      </c>
      <c r="Y69" s="2"/>
      <c r="Z69" s="7">
        <f t="shared" si="20"/>
        <v>-0.15467730498262944</v>
      </c>
    </row>
    <row r="70" spans="1:26" s="24" customFormat="1" hidden="1" outlineLevel="2" x14ac:dyDescent="0.25">
      <c r="A70" s="28"/>
      <c r="B70" s="11" t="str">
        <f>CONCATENATE("          ", "6156", " - ", "EMPLOYEE MEALS")</f>
        <v xml:space="preserve">          6156 - EMPLOYEE MEALS</v>
      </c>
      <c r="C70" s="11"/>
      <c r="D70" s="6">
        <v>609.75</v>
      </c>
      <c r="E70" s="2"/>
      <c r="F70" s="7">
        <f t="shared" si="13"/>
        <v>1.0550930209632747E-3</v>
      </c>
      <c r="G70" s="2"/>
      <c r="H70" s="6">
        <v>684.99</v>
      </c>
      <c r="I70" s="2"/>
      <c r="J70" s="7">
        <f t="shared" si="14"/>
        <v>1.0372097227793206E-3</v>
      </c>
      <c r="K70" s="2"/>
      <c r="L70" s="6">
        <f t="shared" si="15"/>
        <v>-75.240000000000009</v>
      </c>
      <c r="M70" s="2"/>
      <c r="N70" s="7">
        <f t="shared" si="16"/>
        <v>-0.10984101957692814</v>
      </c>
      <c r="O70" s="11"/>
      <c r="P70" s="6">
        <v>1757.42</v>
      </c>
      <c r="Q70" s="2"/>
      <c r="R70" s="7">
        <f t="shared" si="17"/>
        <v>6.2325898463847624E-4</v>
      </c>
      <c r="S70" s="2"/>
      <c r="T70" s="6">
        <v>2107.8200000000002</v>
      </c>
      <c r="U70" s="2"/>
      <c r="V70" s="7">
        <f t="shared" si="18"/>
        <v>6.3367064475959535E-4</v>
      </c>
      <c r="W70" s="2"/>
      <c r="X70" s="6">
        <f t="shared" si="19"/>
        <v>-350.40000000000009</v>
      </c>
      <c r="Y70" s="2"/>
      <c r="Z70" s="7">
        <f t="shared" si="20"/>
        <v>-0.1662381038229071</v>
      </c>
    </row>
    <row r="71" spans="1:26" s="29" customFormat="1" outlineLevel="1" collapsed="1" x14ac:dyDescent="0.25">
      <c r="A71" s="27"/>
      <c r="B71" s="14" t="str">
        <f>CONCATENATE("     ","*Payroll                                          ")</f>
        <v xml:space="preserve">     *Payroll                                          </v>
      </c>
      <c r="C71" s="14"/>
      <c r="D71" s="1">
        <f>SUM(OSRRefD22_1x_0)</f>
        <v>19518.63</v>
      </c>
      <c r="E71" s="1"/>
      <c r="F71" s="5">
        <f t="shared" ref="F71:F76" si="21">IF(D$12=0,0,D71/D$12)</f>
        <v>3.3774449022983849E-2</v>
      </c>
      <c r="G71" s="1"/>
      <c r="H71" s="1">
        <f>SUM(OSRRefH22_1x_0)</f>
        <v>27488.55</v>
      </c>
      <c r="I71" s="1"/>
      <c r="J71" s="5">
        <f t="shared" ref="J71:J76" si="22">IF(H$12=0,0,H71/H$12)</f>
        <v>4.1623076723901802E-2</v>
      </c>
      <c r="K71" s="1"/>
      <c r="L71" s="1">
        <f t="shared" ref="L71:L76" si="23">+D71-H71</f>
        <v>-7969.9199999999983</v>
      </c>
      <c r="M71" s="1"/>
      <c r="N71" s="5">
        <f t="shared" ref="N71:N76" si="24">IF(H71=0,0,L71/H71)</f>
        <v>-0.28993599153101923</v>
      </c>
      <c r="O71" s="14"/>
      <c r="P71" s="1">
        <f>SUM(OSRRefP22_1x_0)</f>
        <v>70061.78</v>
      </c>
      <c r="Q71" s="1"/>
      <c r="R71" s="5">
        <f t="shared" ref="R71:R76" si="25">IF(P$12=0,0,P71/P$12)</f>
        <v>2.4847010882295809E-2</v>
      </c>
      <c r="S71" s="1"/>
      <c r="T71" s="1">
        <f>SUM(OSRRefT22_1x_0)</f>
        <v>88159.39</v>
      </c>
      <c r="U71" s="1"/>
      <c r="V71" s="5">
        <f t="shared" ref="V71:V76" si="26">IF(T$12=0,0,T71/T$12)</f>
        <v>2.6503220153007663E-2</v>
      </c>
      <c r="W71" s="1"/>
      <c r="X71" s="1">
        <f t="shared" ref="X71:X76" si="27">+P71-T71</f>
        <v>-18097.61</v>
      </c>
      <c r="Y71" s="1"/>
      <c r="Z71" s="5">
        <f t="shared" ref="Z71:Z76" si="28">IF(T71=0,0,X71/T71)</f>
        <v>-0.20528284054597021</v>
      </c>
    </row>
    <row r="72" spans="1:26" s="24" customFormat="1" hidden="1" outlineLevel="2" x14ac:dyDescent="0.25">
      <c r="A72" s="28"/>
      <c r="B72" s="11" t="str">
        <f>CONCATENATE("          ", "6002", " - ", "STAFF SALARIES")</f>
        <v xml:space="preserve">          6002 - STAFF SALARIES</v>
      </c>
      <c r="C72" s="11"/>
      <c r="D72" s="6">
        <v>12677.01</v>
      </c>
      <c r="E72" s="2"/>
      <c r="F72" s="7">
        <f t="shared" si="21"/>
        <v>2.1935915994557839E-2</v>
      </c>
      <c r="G72" s="2"/>
      <c r="H72" s="6">
        <v>12570.08</v>
      </c>
      <c r="I72" s="2"/>
      <c r="J72" s="7">
        <f t="shared" si="22"/>
        <v>1.9033575953099874E-2</v>
      </c>
      <c r="K72" s="2"/>
      <c r="L72" s="6">
        <f t="shared" si="23"/>
        <v>106.93000000000029</v>
      </c>
      <c r="M72" s="2"/>
      <c r="N72" s="7">
        <f t="shared" si="24"/>
        <v>8.5067079923119258E-3</v>
      </c>
      <c r="O72" s="11"/>
      <c r="P72" s="6">
        <v>44579.24</v>
      </c>
      <c r="Q72" s="2"/>
      <c r="R72" s="7">
        <f t="shared" si="25"/>
        <v>1.5809773337252874E-2</v>
      </c>
      <c r="S72" s="2"/>
      <c r="T72" s="6">
        <v>40091.78</v>
      </c>
      <c r="U72" s="2"/>
      <c r="V72" s="7">
        <f t="shared" si="26"/>
        <v>1.2052729399170634E-2</v>
      </c>
      <c r="W72" s="2"/>
      <c r="X72" s="6">
        <f t="shared" si="27"/>
        <v>4487.4599999999991</v>
      </c>
      <c r="Y72" s="2"/>
      <c r="Z72" s="7">
        <f t="shared" si="28"/>
        <v>0.11192967735530823</v>
      </c>
    </row>
    <row r="73" spans="1:26" s="24" customFormat="1" hidden="1" outlineLevel="2" x14ac:dyDescent="0.25">
      <c r="A73" s="28"/>
      <c r="B73" s="11" t="str">
        <f>CONCATENATE("          ", "6004", " - ", "STAFF HOURLY")</f>
        <v xml:space="preserve">          6004 - STAFF HOURLY</v>
      </c>
      <c r="C73" s="11"/>
      <c r="D73" s="6">
        <v>2912.97</v>
      </c>
      <c r="E73" s="2"/>
      <c r="F73" s="7">
        <f t="shared" si="21"/>
        <v>5.0405154854864945E-3</v>
      </c>
      <c r="G73" s="2"/>
      <c r="H73" s="6">
        <v>6196.2</v>
      </c>
      <c r="I73" s="2"/>
      <c r="J73" s="7">
        <f t="shared" si="22"/>
        <v>9.3822667254780754E-3</v>
      </c>
      <c r="K73" s="2"/>
      <c r="L73" s="6">
        <f t="shared" si="23"/>
        <v>-3283.23</v>
      </c>
      <c r="M73" s="2"/>
      <c r="N73" s="7">
        <f t="shared" si="24"/>
        <v>-0.52987798973564448</v>
      </c>
      <c r="O73" s="11"/>
      <c r="P73" s="6">
        <v>7749.22</v>
      </c>
      <c r="Q73" s="2"/>
      <c r="R73" s="7">
        <f t="shared" si="25"/>
        <v>2.7482166977388293E-3</v>
      </c>
      <c r="S73" s="2"/>
      <c r="T73" s="6">
        <v>17597.710000000003</v>
      </c>
      <c r="U73" s="2"/>
      <c r="V73" s="7">
        <f t="shared" si="26"/>
        <v>5.2903721579605368E-3</v>
      </c>
      <c r="W73" s="2"/>
      <c r="X73" s="6">
        <f t="shared" si="27"/>
        <v>-9848.4900000000016</v>
      </c>
      <c r="Y73" s="2"/>
      <c r="Z73" s="7">
        <f t="shared" si="28"/>
        <v>-0.55964611304539058</v>
      </c>
    </row>
    <row r="74" spans="1:26" s="24" customFormat="1" hidden="1" outlineLevel="2" x14ac:dyDescent="0.25">
      <c r="A74" s="28"/>
      <c r="B74" s="11" t="str">
        <f>CONCATENATE("          ", "6005", " - ", "TEMPORARY WAGES-HOURLY")</f>
        <v xml:space="preserve">          6005 - TEMPORARY WAGES-HOURLY</v>
      </c>
      <c r="C74" s="11"/>
      <c r="D74" s="6">
        <v>1592.13</v>
      </c>
      <c r="E74" s="2"/>
      <c r="F74" s="7">
        <f t="shared" si="21"/>
        <v>2.7549737621422855E-3</v>
      </c>
      <c r="G74" s="2"/>
      <c r="H74" s="6">
        <v>3399.19</v>
      </c>
      <c r="I74" s="2"/>
      <c r="J74" s="7">
        <f t="shared" si="22"/>
        <v>5.1470429021945423E-3</v>
      </c>
      <c r="K74" s="2"/>
      <c r="L74" s="6">
        <f t="shared" si="23"/>
        <v>-1807.06</v>
      </c>
      <c r="M74" s="2"/>
      <c r="N74" s="7">
        <f t="shared" si="24"/>
        <v>-0.53161488472253682</v>
      </c>
      <c r="O74" s="11"/>
      <c r="P74" s="6">
        <v>4261.4799999999996</v>
      </c>
      <c r="Q74" s="2"/>
      <c r="R74" s="7">
        <f t="shared" si="25"/>
        <v>1.5113095889754148E-3</v>
      </c>
      <c r="S74" s="2"/>
      <c r="T74" s="6">
        <v>9236.8700000000008</v>
      </c>
      <c r="U74" s="2"/>
      <c r="V74" s="7">
        <f t="shared" si="26"/>
        <v>2.776865846448256E-3</v>
      </c>
      <c r="W74" s="2"/>
      <c r="X74" s="6">
        <f t="shared" si="27"/>
        <v>-4975.3900000000012</v>
      </c>
      <c r="Y74" s="2"/>
      <c r="Z74" s="7">
        <f t="shared" si="28"/>
        <v>-0.53864458415025873</v>
      </c>
    </row>
    <row r="75" spans="1:26" s="24" customFormat="1" hidden="1" outlineLevel="2" x14ac:dyDescent="0.25">
      <c r="A75" s="28"/>
      <c r="B75" s="11" t="str">
        <f>CONCATENATE("          ", "6006", " - ", "TEMPORARY PART TIME")</f>
        <v xml:space="preserve">          6006 - TEMPORARY PART TIME</v>
      </c>
      <c r="C75" s="11"/>
      <c r="D75" s="6"/>
      <c r="E75" s="2"/>
      <c r="F75" s="7">
        <f t="shared" si="21"/>
        <v>0</v>
      </c>
      <c r="G75" s="2"/>
      <c r="H75" s="6">
        <v>784.31</v>
      </c>
      <c r="I75" s="2"/>
      <c r="J75" s="7">
        <f t="shared" si="22"/>
        <v>1.1875997571833879E-3</v>
      </c>
      <c r="K75" s="2"/>
      <c r="L75" s="6">
        <f t="shared" si="23"/>
        <v>-784.31</v>
      </c>
      <c r="M75" s="2"/>
      <c r="N75" s="7">
        <f t="shared" si="24"/>
        <v>-1</v>
      </c>
      <c r="O75" s="11"/>
      <c r="P75" s="6"/>
      <c r="Q75" s="2"/>
      <c r="R75" s="7">
        <f t="shared" si="25"/>
        <v>0</v>
      </c>
      <c r="S75" s="2"/>
      <c r="T75" s="6">
        <v>3028.56</v>
      </c>
      <c r="U75" s="2"/>
      <c r="V75" s="7">
        <f t="shared" si="26"/>
        <v>9.1047127738285046E-4</v>
      </c>
      <c r="W75" s="2"/>
      <c r="X75" s="6">
        <f t="shared" si="27"/>
        <v>-3028.56</v>
      </c>
      <c r="Y75" s="2"/>
      <c r="Z75" s="7">
        <f t="shared" si="28"/>
        <v>-1</v>
      </c>
    </row>
    <row r="76" spans="1:26" s="24" customFormat="1" hidden="1" outlineLevel="2" x14ac:dyDescent="0.25">
      <c r="A76" s="28"/>
      <c r="B76" s="11" t="str">
        <f>CONCATENATE("          ", "6007", " - ", "STUDENT HOURLY")</f>
        <v xml:space="preserve">          6007 - STUDENT HOURLY</v>
      </c>
      <c r="C76" s="11"/>
      <c r="D76" s="6">
        <v>2336.52</v>
      </c>
      <c r="E76" s="2"/>
      <c r="F76" s="7">
        <f t="shared" si="21"/>
        <v>4.0430437807972295E-3</v>
      </c>
      <c r="G76" s="2"/>
      <c r="H76" s="6">
        <v>4538.7700000000004</v>
      </c>
      <c r="I76" s="2"/>
      <c r="J76" s="7">
        <f t="shared" si="22"/>
        <v>6.8725913859459236E-3</v>
      </c>
      <c r="K76" s="2"/>
      <c r="L76" s="6">
        <f t="shared" si="23"/>
        <v>-2202.2500000000005</v>
      </c>
      <c r="M76" s="2"/>
      <c r="N76" s="7">
        <f t="shared" si="24"/>
        <v>-0.4852085476902333</v>
      </c>
      <c r="O76" s="11"/>
      <c r="P76" s="6">
        <v>13471.84</v>
      </c>
      <c r="Q76" s="2"/>
      <c r="R76" s="7">
        <f t="shared" si="25"/>
        <v>4.7777112583286922E-3</v>
      </c>
      <c r="S76" s="2"/>
      <c r="T76" s="6">
        <v>18204.47</v>
      </c>
      <c r="U76" s="2"/>
      <c r="V76" s="7">
        <f t="shared" si="26"/>
        <v>5.4727814720453884E-3</v>
      </c>
      <c r="W76" s="2"/>
      <c r="X76" s="6">
        <f t="shared" si="27"/>
        <v>-4732.630000000001</v>
      </c>
      <c r="Y76" s="2"/>
      <c r="Z76" s="7">
        <f t="shared" si="28"/>
        <v>-0.25997076542189917</v>
      </c>
    </row>
    <row r="77" spans="1:26" s="29" customFormat="1" outlineLevel="1" collapsed="1" x14ac:dyDescent="0.25">
      <c r="A77" s="27"/>
      <c r="B77" s="14" t="str">
        <f>CONCATENATE("     ","Advertising/Promo                                 ")</f>
        <v xml:space="preserve">     Advertising/Promo                                 </v>
      </c>
      <c r="C77" s="14"/>
      <c r="D77" s="1">
        <f>SUM(OSRRefD22_2x_0)</f>
        <v>58.83</v>
      </c>
      <c r="E77" s="1"/>
      <c r="F77" s="5">
        <f t="shared" ref="F77:F81" si="29">IF(D$12=0,0,D77/D$12)</f>
        <v>1.017976587507494E-4</v>
      </c>
      <c r="G77" s="1"/>
      <c r="H77" s="1">
        <f>SUM(OSRRefH22_2x_0)</f>
        <v>210.3</v>
      </c>
      <c r="I77" s="1"/>
      <c r="J77" s="5">
        <f t="shared" ref="J77:J81" si="30">IF(H$12=0,0,H77/H$12)</f>
        <v>3.1843560446209604E-4</v>
      </c>
      <c r="K77" s="1"/>
      <c r="L77" s="1">
        <f t="shared" ref="L77:L81" si="31">+D77-H77</f>
        <v>-151.47000000000003</v>
      </c>
      <c r="M77" s="1"/>
      <c r="N77" s="5">
        <f t="shared" ref="N77:N81" si="32">IF(H77=0,0,L77/H77)</f>
        <v>-0.72025677603423688</v>
      </c>
      <c r="O77" s="14"/>
      <c r="P77" s="1">
        <f>SUM(OSRRefP22_2x_0)</f>
        <v>3055.02</v>
      </c>
      <c r="Q77" s="1"/>
      <c r="R77" s="5">
        <f t="shared" ref="R77:R81" si="33">IF(P$12=0,0,P77/P$12)</f>
        <v>1.0834454275302646E-3</v>
      </c>
      <c r="S77" s="1"/>
      <c r="T77" s="1">
        <f>SUM(OSRRefT22_2x_0)</f>
        <v>1864.6</v>
      </c>
      <c r="U77" s="1"/>
      <c r="V77" s="5">
        <f t="shared" ref="V77:V81" si="34">IF(T$12=0,0,T77/T$12)</f>
        <v>5.6055179484905794E-4</v>
      </c>
      <c r="W77" s="1"/>
      <c r="X77" s="1">
        <f t="shared" ref="X77:X81" si="35">+P77-T77</f>
        <v>1190.42</v>
      </c>
      <c r="Y77" s="1"/>
      <c r="Z77" s="5">
        <f t="shared" ref="Z77:Z81" si="36">IF(T77=0,0,X77/T77)</f>
        <v>0.63843183524616542</v>
      </c>
    </row>
    <row r="78" spans="1:26" s="24" customFormat="1" hidden="1" outlineLevel="2" x14ac:dyDescent="0.25">
      <c r="A78" s="28"/>
      <c r="B78" s="11" t="str">
        <f>CONCATENATE("          ", "6362", " - ", "ADVERTISING EXPENSE")</f>
        <v xml:space="preserve">          6362 - ADVERTISING EXPENSE</v>
      </c>
      <c r="C78" s="11"/>
      <c r="D78" s="6">
        <v>58.83</v>
      </c>
      <c r="E78" s="2"/>
      <c r="F78" s="7">
        <f t="shared" si="29"/>
        <v>1.017976587507494E-4</v>
      </c>
      <c r="G78" s="2"/>
      <c r="H78" s="6">
        <v>210.3</v>
      </c>
      <c r="I78" s="2"/>
      <c r="J78" s="7">
        <f t="shared" si="30"/>
        <v>3.1843560446209604E-4</v>
      </c>
      <c r="K78" s="2"/>
      <c r="L78" s="6">
        <f t="shared" si="31"/>
        <v>-151.47000000000003</v>
      </c>
      <c r="M78" s="2"/>
      <c r="N78" s="7">
        <f t="shared" si="32"/>
        <v>-0.72025677603423688</v>
      </c>
      <c r="O78" s="11"/>
      <c r="P78" s="6">
        <v>3055.02</v>
      </c>
      <c r="Q78" s="2"/>
      <c r="R78" s="7">
        <f t="shared" si="33"/>
        <v>1.0834454275302646E-3</v>
      </c>
      <c r="S78" s="2"/>
      <c r="T78" s="6">
        <v>1864.6</v>
      </c>
      <c r="U78" s="2"/>
      <c r="V78" s="7">
        <f t="shared" si="34"/>
        <v>5.6055179484905794E-4</v>
      </c>
      <c r="W78" s="2"/>
      <c r="X78" s="6">
        <f t="shared" si="35"/>
        <v>1190.42</v>
      </c>
      <c r="Y78" s="2"/>
      <c r="Z78" s="7">
        <f t="shared" si="36"/>
        <v>0.63843183524616542</v>
      </c>
    </row>
    <row r="79" spans="1:26" s="29" customFormat="1" outlineLevel="1" collapsed="1" x14ac:dyDescent="0.25">
      <c r="A79" s="27"/>
      <c r="B79" s="14" t="str">
        <f>CONCATENATE("     ","Discounts and Markdowns                           ")</f>
        <v xml:space="preserve">     Discounts and Markdowns                           </v>
      </c>
      <c r="C79" s="14"/>
      <c r="D79" s="1">
        <f>SUM(OSRRefD22_3x_0)</f>
        <v>-9830.91</v>
      </c>
      <c r="E79" s="1"/>
      <c r="F79" s="5">
        <f t="shared" si="29"/>
        <v>-1.7011110341481044E-2</v>
      </c>
      <c r="G79" s="1"/>
      <c r="H79" s="1">
        <f>SUM(OSRRefH22_3x_0)</f>
        <v>1426.58</v>
      </c>
      <c r="I79" s="1"/>
      <c r="J79" s="5">
        <f t="shared" si="30"/>
        <v>2.1601229891276123E-3</v>
      </c>
      <c r="K79" s="1"/>
      <c r="L79" s="1">
        <f t="shared" si="31"/>
        <v>-11257.49</v>
      </c>
      <c r="M79" s="1"/>
      <c r="N79" s="5">
        <f t="shared" si="32"/>
        <v>-7.8912433932902468</v>
      </c>
      <c r="O79" s="14"/>
      <c r="P79" s="1">
        <f>SUM(OSRRefP22_3x_0)</f>
        <v>-3197.4300000000003</v>
      </c>
      <c r="Q79" s="1"/>
      <c r="R79" s="5">
        <f t="shared" si="33"/>
        <v>-1.1339503222067594E-3</v>
      </c>
      <c r="S79" s="1"/>
      <c r="T79" s="1">
        <f>SUM(OSRRefT22_3x_0)</f>
        <v>17096.920000000002</v>
      </c>
      <c r="U79" s="1"/>
      <c r="V79" s="5">
        <f t="shared" si="34"/>
        <v>5.1398204399821712E-3</v>
      </c>
      <c r="W79" s="1"/>
      <c r="X79" s="1">
        <f t="shared" si="35"/>
        <v>-20294.350000000002</v>
      </c>
      <c r="Y79" s="1"/>
      <c r="Z79" s="5">
        <f t="shared" si="36"/>
        <v>-1.1870178956209656</v>
      </c>
    </row>
    <row r="80" spans="1:26" s="24" customFormat="1" hidden="1" outlineLevel="2" x14ac:dyDescent="0.25">
      <c r="A80" s="28"/>
      <c r="B80" s="11" t="str">
        <f>CONCATENATE("          ", "6382", " - ", "DISCOUNTS/MARK DOWNS")</f>
        <v xml:space="preserve">          6382 - DISCOUNTS/MARK DOWNS</v>
      </c>
      <c r="C80" s="11"/>
      <c r="D80" s="6">
        <v>-9813.15</v>
      </c>
      <c r="E80" s="2"/>
      <c r="F80" s="7">
        <f t="shared" si="29"/>
        <v>-1.6980378972801573E-2</v>
      </c>
      <c r="G80" s="2"/>
      <c r="H80" s="6">
        <v>1376.34</v>
      </c>
      <c r="I80" s="2"/>
      <c r="J80" s="7">
        <f t="shared" si="30"/>
        <v>2.0840497377335294E-3</v>
      </c>
      <c r="K80" s="2"/>
      <c r="L80" s="6">
        <f t="shared" si="31"/>
        <v>-11189.49</v>
      </c>
      <c r="M80" s="2"/>
      <c r="N80" s="7">
        <f t="shared" si="32"/>
        <v>-8.1298879637298924</v>
      </c>
      <c r="O80" s="11"/>
      <c r="P80" s="6">
        <v>-2756.94</v>
      </c>
      <c r="Q80" s="2"/>
      <c r="R80" s="7">
        <f t="shared" si="33"/>
        <v>-9.7773305476732972E-4</v>
      </c>
      <c r="S80" s="2"/>
      <c r="T80" s="6">
        <v>17203.72</v>
      </c>
      <c r="U80" s="2"/>
      <c r="V80" s="7">
        <f t="shared" si="34"/>
        <v>5.171927557696362E-3</v>
      </c>
      <c r="W80" s="2"/>
      <c r="X80" s="6">
        <f t="shared" si="35"/>
        <v>-19960.66</v>
      </c>
      <c r="Y80" s="2"/>
      <c r="Z80" s="7">
        <f t="shared" si="36"/>
        <v>-1.1602525500298773</v>
      </c>
    </row>
    <row r="81" spans="1:26" s="24" customFormat="1" hidden="1" outlineLevel="2" x14ac:dyDescent="0.25">
      <c r="A81" s="28"/>
      <c r="B81" s="11" t="str">
        <f>CONCATENATE("          ", "9175", " - ", "EARNED DISCOUNTS")</f>
        <v xml:space="preserve">          9175 - EARNED DISCOUNTS</v>
      </c>
      <c r="C81" s="11"/>
      <c r="D81" s="6">
        <v>-17.760000000000002</v>
      </c>
      <c r="E81" s="2"/>
      <c r="F81" s="7">
        <f t="shared" si="29"/>
        <v>-3.0731368679471522E-5</v>
      </c>
      <c r="G81" s="2"/>
      <c r="H81" s="6">
        <v>50.24</v>
      </c>
      <c r="I81" s="2"/>
      <c r="J81" s="7">
        <f t="shared" si="30"/>
        <v>7.6073251394083232E-5</v>
      </c>
      <c r="K81" s="2"/>
      <c r="L81" s="6">
        <f t="shared" si="31"/>
        <v>-68</v>
      </c>
      <c r="M81" s="2"/>
      <c r="N81" s="7">
        <f t="shared" si="32"/>
        <v>-1.3535031847133758</v>
      </c>
      <c r="O81" s="11"/>
      <c r="P81" s="6">
        <v>-440.49</v>
      </c>
      <c r="Q81" s="2"/>
      <c r="R81" s="7">
        <f t="shared" si="33"/>
        <v>-1.5621726743942962E-4</v>
      </c>
      <c r="S81" s="2"/>
      <c r="T81" s="6">
        <v>-106.8</v>
      </c>
      <c r="U81" s="2"/>
      <c r="V81" s="7">
        <f t="shared" si="34"/>
        <v>-3.2107117714190381E-5</v>
      </c>
      <c r="W81" s="2"/>
      <c r="X81" s="6">
        <f t="shared" si="35"/>
        <v>-333.69</v>
      </c>
      <c r="Y81" s="2"/>
      <c r="Z81" s="7">
        <f t="shared" si="36"/>
        <v>3.124438202247191</v>
      </c>
    </row>
    <row r="82" spans="1:26" s="29" customFormat="1" outlineLevel="1" collapsed="1" x14ac:dyDescent="0.25">
      <c r="A82" s="27"/>
      <c r="B82" s="14" t="str">
        <f>CONCATENATE("     ","Employees' Appreciation                           ")</f>
        <v xml:space="preserve">     Employees' Appreciation                           </v>
      </c>
      <c r="C82" s="14"/>
      <c r="D82" s="1">
        <f>SUM(OSRRefD22_4x_0)</f>
        <v>0</v>
      </c>
      <c r="E82" s="1"/>
      <c r="F82" s="5">
        <f t="shared" ref="F82:F88" si="37">IF(D$12=0,0,D82/D$12)</f>
        <v>0</v>
      </c>
      <c r="G82" s="1"/>
      <c r="H82" s="1">
        <f>SUM(OSRRefH22_4x_0)</f>
        <v>0</v>
      </c>
      <c r="I82" s="1"/>
      <c r="J82" s="5">
        <f t="shared" ref="J82:J88" si="38">IF(H$12=0,0,H82/H$12)</f>
        <v>0</v>
      </c>
      <c r="K82" s="1"/>
      <c r="L82" s="1">
        <f t="shared" ref="L82:L88" si="39">+D82-H82</f>
        <v>0</v>
      </c>
      <c r="M82" s="1"/>
      <c r="N82" s="5">
        <f t="shared" ref="N82:N88" si="40">IF(H82=0,0,L82/H82)</f>
        <v>0</v>
      </c>
      <c r="O82" s="14"/>
      <c r="P82" s="1">
        <f>SUM(OSRRefP22_4x_0)</f>
        <v>0</v>
      </c>
      <c r="Q82" s="1"/>
      <c r="R82" s="5">
        <f t="shared" ref="R82:R88" si="41">IF(P$12=0,0,P82/P$12)</f>
        <v>0</v>
      </c>
      <c r="S82" s="1"/>
      <c r="T82" s="1">
        <f>SUM(OSRRefT22_4x_0)</f>
        <v>20.57</v>
      </c>
      <c r="U82" s="1"/>
      <c r="V82" s="5">
        <f t="shared" ref="V82:V88" si="42">IF(T$12=0,0,T82/T$12)</f>
        <v>6.1839270728548334E-6</v>
      </c>
      <c r="W82" s="1"/>
      <c r="X82" s="1">
        <f t="shared" ref="X82:X88" si="43">+P82-T82</f>
        <v>-20.57</v>
      </c>
      <c r="Y82" s="1"/>
      <c r="Z82" s="5">
        <f t="shared" ref="Z82:Z88" si="44">IF(T82=0,0,X82/T82)</f>
        <v>-1</v>
      </c>
    </row>
    <row r="83" spans="1:26" s="24" customFormat="1" hidden="1" outlineLevel="2" x14ac:dyDescent="0.25">
      <c r="A83" s="28"/>
      <c r="B83" s="11" t="str">
        <f>CONCATENATE("          ", "6277", " - ", "EMPLOYEE APPRECIATION")</f>
        <v xml:space="preserve">          6277 - EMPLOYEE APPRECIATION</v>
      </c>
      <c r="C83" s="11"/>
      <c r="D83" s="6"/>
      <c r="E83" s="2"/>
      <c r="F83" s="7">
        <f t="shared" si="37"/>
        <v>0</v>
      </c>
      <c r="G83" s="2"/>
      <c r="H83" s="6"/>
      <c r="I83" s="2"/>
      <c r="J83" s="7">
        <f t="shared" si="38"/>
        <v>0</v>
      </c>
      <c r="K83" s="2"/>
      <c r="L83" s="6">
        <f t="shared" si="39"/>
        <v>0</v>
      </c>
      <c r="M83" s="2"/>
      <c r="N83" s="7">
        <f t="shared" si="40"/>
        <v>0</v>
      </c>
      <c r="O83" s="11"/>
      <c r="P83" s="6"/>
      <c r="Q83" s="2"/>
      <c r="R83" s="7">
        <f t="shared" si="41"/>
        <v>0</v>
      </c>
      <c r="S83" s="2"/>
      <c r="T83" s="6">
        <v>20.57</v>
      </c>
      <c r="U83" s="2"/>
      <c r="V83" s="7">
        <f t="shared" si="42"/>
        <v>6.1839270728548334E-6</v>
      </c>
      <c r="W83" s="2"/>
      <c r="X83" s="6">
        <f t="shared" si="43"/>
        <v>-20.57</v>
      </c>
      <c r="Y83" s="2"/>
      <c r="Z83" s="7">
        <f t="shared" si="44"/>
        <v>-1</v>
      </c>
    </row>
    <row r="84" spans="1:26" s="29" customFormat="1" outlineLevel="1" collapsed="1" x14ac:dyDescent="0.25">
      <c r="A84" s="27"/>
      <c r="B84" s="14" t="str">
        <f>CONCATENATE("     ","Equipment Rental                                  ")</f>
        <v xml:space="preserve">     Equipment Rental                                  </v>
      </c>
      <c r="C84" s="14"/>
      <c r="D84" s="1">
        <f>SUM(OSRRefD22_5x_0)</f>
        <v>91.26</v>
      </c>
      <c r="E84" s="1"/>
      <c r="F84" s="5">
        <f t="shared" si="37"/>
        <v>1.5791355324823035E-4</v>
      </c>
      <c r="G84" s="1"/>
      <c r="H84" s="1">
        <f>SUM(OSRRefH22_5x_0)</f>
        <v>91.26</v>
      </c>
      <c r="I84" s="1"/>
      <c r="J84" s="5">
        <f t="shared" si="38"/>
        <v>1.3818560752834467E-4</v>
      </c>
      <c r="K84" s="1"/>
      <c r="L84" s="1">
        <f t="shared" si="39"/>
        <v>0</v>
      </c>
      <c r="M84" s="1"/>
      <c r="N84" s="5">
        <f t="shared" si="40"/>
        <v>0</v>
      </c>
      <c r="O84" s="14"/>
      <c r="P84" s="1">
        <f>SUM(OSRRefP22_5x_0)</f>
        <v>273.77999999999997</v>
      </c>
      <c r="Q84" s="1"/>
      <c r="R84" s="5">
        <f t="shared" si="41"/>
        <v>9.7094516287695609E-5</v>
      </c>
      <c r="S84" s="1"/>
      <c r="T84" s="1">
        <f>SUM(OSRRefT22_5x_0)</f>
        <v>273.77999999999997</v>
      </c>
      <c r="U84" s="1"/>
      <c r="V84" s="5">
        <f t="shared" si="42"/>
        <v>8.2306055129129609E-5</v>
      </c>
      <c r="W84" s="1"/>
      <c r="X84" s="1">
        <f t="shared" si="43"/>
        <v>0</v>
      </c>
      <c r="Y84" s="1"/>
      <c r="Z84" s="5">
        <f t="shared" si="44"/>
        <v>0</v>
      </c>
    </row>
    <row r="85" spans="1:26" s="24" customFormat="1" hidden="1" outlineLevel="2" x14ac:dyDescent="0.25">
      <c r="A85" s="28"/>
      <c r="B85" s="11" t="str">
        <f>CONCATENATE("          ", "6351", " - ", "EQUIPMENT RENTAL")</f>
        <v xml:space="preserve">          6351 - EQUIPMENT RENTAL</v>
      </c>
      <c r="C85" s="11"/>
      <c r="D85" s="6">
        <v>91.26</v>
      </c>
      <c r="E85" s="2"/>
      <c r="F85" s="7">
        <f t="shared" si="37"/>
        <v>1.5791355324823035E-4</v>
      </c>
      <c r="G85" s="2"/>
      <c r="H85" s="6">
        <v>91.26</v>
      </c>
      <c r="I85" s="2"/>
      <c r="J85" s="7">
        <f t="shared" si="38"/>
        <v>1.3818560752834467E-4</v>
      </c>
      <c r="K85" s="2"/>
      <c r="L85" s="6">
        <f t="shared" si="39"/>
        <v>0</v>
      </c>
      <c r="M85" s="2"/>
      <c r="N85" s="7">
        <f t="shared" si="40"/>
        <v>0</v>
      </c>
      <c r="O85" s="11"/>
      <c r="P85" s="6">
        <v>273.77999999999997</v>
      </c>
      <c r="Q85" s="2"/>
      <c r="R85" s="7">
        <f t="shared" si="41"/>
        <v>9.7094516287695609E-5</v>
      </c>
      <c r="S85" s="2"/>
      <c r="T85" s="6">
        <v>273.77999999999997</v>
      </c>
      <c r="U85" s="2"/>
      <c r="V85" s="7">
        <f t="shared" si="42"/>
        <v>8.2306055129129609E-5</v>
      </c>
      <c r="W85" s="2"/>
      <c r="X85" s="6">
        <f t="shared" si="43"/>
        <v>0</v>
      </c>
      <c r="Y85" s="2"/>
      <c r="Z85" s="7">
        <f t="shared" si="44"/>
        <v>0</v>
      </c>
    </row>
    <row r="86" spans="1:26" s="29" customFormat="1" outlineLevel="1" collapsed="1" x14ac:dyDescent="0.25">
      <c r="A86" s="27"/>
      <c r="B86" s="14" t="str">
        <f>CONCATENATE("     ","Freight out/Postage                               ")</f>
        <v xml:space="preserve">     Freight out/Postage                               </v>
      </c>
      <c r="C86" s="14"/>
      <c r="D86" s="1">
        <f>SUM(OSRRefD22_6x_0)</f>
        <v>2138.08</v>
      </c>
      <c r="E86" s="1"/>
      <c r="F86" s="5">
        <f t="shared" si="37"/>
        <v>3.6996691861601611E-3</v>
      </c>
      <c r="G86" s="1"/>
      <c r="H86" s="1">
        <f>SUM(OSRRefH22_6x_0)</f>
        <v>3590.37</v>
      </c>
      <c r="I86" s="1"/>
      <c r="J86" s="5">
        <f t="shared" si="38"/>
        <v>5.4365270622566599E-3</v>
      </c>
      <c r="K86" s="1"/>
      <c r="L86" s="1">
        <f t="shared" si="39"/>
        <v>-1452.29</v>
      </c>
      <c r="M86" s="1"/>
      <c r="N86" s="5">
        <f t="shared" si="40"/>
        <v>-0.40449591546275177</v>
      </c>
      <c r="O86" s="14"/>
      <c r="P86" s="1">
        <f>SUM(OSRRefP22_6x_0)</f>
        <v>2802.41</v>
      </c>
      <c r="Q86" s="1"/>
      <c r="R86" s="5">
        <f t="shared" si="41"/>
        <v>9.9385873106070961E-4</v>
      </c>
      <c r="S86" s="1"/>
      <c r="T86" s="1">
        <f>SUM(OSRRefT22_6x_0)</f>
        <v>4813.91</v>
      </c>
      <c r="U86" s="1"/>
      <c r="V86" s="5">
        <f t="shared" si="42"/>
        <v>1.4471982681228297E-3</v>
      </c>
      <c r="W86" s="1"/>
      <c r="X86" s="1">
        <f t="shared" si="43"/>
        <v>-2011.5</v>
      </c>
      <c r="Y86" s="1"/>
      <c r="Z86" s="5">
        <f t="shared" si="44"/>
        <v>-0.41785160088161183</v>
      </c>
    </row>
    <row r="87" spans="1:26" s="24" customFormat="1" hidden="1" outlineLevel="2" x14ac:dyDescent="0.25">
      <c r="A87" s="28"/>
      <c r="B87" s="11" t="str">
        <f>CONCATENATE("          ", "6305", " - ", "FREIGHT OUT")</f>
        <v xml:space="preserve">          6305 - FREIGHT OUT</v>
      </c>
      <c r="C87" s="11"/>
      <c r="D87" s="6">
        <v>2137.58</v>
      </c>
      <c r="E87" s="2"/>
      <c r="F87" s="7">
        <f t="shared" si="37"/>
        <v>3.698804001231122E-3</v>
      </c>
      <c r="G87" s="2"/>
      <c r="H87" s="6">
        <v>3590.37</v>
      </c>
      <c r="I87" s="2"/>
      <c r="J87" s="7">
        <f t="shared" si="38"/>
        <v>5.4365270622566599E-3</v>
      </c>
      <c r="K87" s="2"/>
      <c r="L87" s="6">
        <f t="shared" si="39"/>
        <v>-1452.79</v>
      </c>
      <c r="M87" s="2"/>
      <c r="N87" s="7">
        <f t="shared" si="40"/>
        <v>-0.40463517687592088</v>
      </c>
      <c r="O87" s="11"/>
      <c r="P87" s="6">
        <v>2801.91</v>
      </c>
      <c r="Q87" s="2"/>
      <c r="R87" s="7">
        <f t="shared" si="41"/>
        <v>9.9368140891101329E-4</v>
      </c>
      <c r="S87" s="2"/>
      <c r="T87" s="6">
        <v>4813.4399999999996</v>
      </c>
      <c r="U87" s="2"/>
      <c r="V87" s="7">
        <f t="shared" si="42"/>
        <v>1.4470569727546118E-3</v>
      </c>
      <c r="W87" s="2"/>
      <c r="X87" s="6">
        <f t="shared" si="43"/>
        <v>-2011.5299999999997</v>
      </c>
      <c r="Y87" s="2"/>
      <c r="Z87" s="7">
        <f t="shared" si="44"/>
        <v>-0.41789863382528919</v>
      </c>
    </row>
    <row r="88" spans="1:26" s="24" customFormat="1" hidden="1" outlineLevel="2" x14ac:dyDescent="0.25">
      <c r="A88" s="28"/>
      <c r="B88" s="11" t="str">
        <f>CONCATENATE("          ", "6307", " - ", "POSTAGE")</f>
        <v xml:space="preserve">          6307 - POSTAGE</v>
      </c>
      <c r="C88" s="11"/>
      <c r="D88" s="6">
        <v>0.5</v>
      </c>
      <c r="E88" s="2"/>
      <c r="F88" s="7">
        <f t="shared" si="37"/>
        <v>8.6518492903917565E-7</v>
      </c>
      <c r="G88" s="2"/>
      <c r="H88" s="6"/>
      <c r="I88" s="2"/>
      <c r="J88" s="7">
        <f t="shared" si="38"/>
        <v>0</v>
      </c>
      <c r="K88" s="2"/>
      <c r="L88" s="6">
        <f t="shared" si="39"/>
        <v>0.5</v>
      </c>
      <c r="M88" s="2"/>
      <c r="N88" s="7">
        <f t="shared" si="40"/>
        <v>0</v>
      </c>
      <c r="O88" s="11"/>
      <c r="P88" s="6">
        <v>0.5</v>
      </c>
      <c r="Q88" s="2"/>
      <c r="R88" s="7">
        <f t="shared" si="41"/>
        <v>1.7732214969628098E-7</v>
      </c>
      <c r="S88" s="2"/>
      <c r="T88" s="6">
        <v>0.47</v>
      </c>
      <c r="U88" s="2"/>
      <c r="V88" s="7">
        <f t="shared" si="42"/>
        <v>1.4129536821787901E-7</v>
      </c>
      <c r="W88" s="2"/>
      <c r="X88" s="6">
        <f t="shared" si="43"/>
        <v>3.0000000000000027E-2</v>
      </c>
      <c r="Y88" s="2"/>
      <c r="Z88" s="7">
        <f t="shared" si="44"/>
        <v>6.3829787234042618E-2</v>
      </c>
    </row>
    <row r="89" spans="1:26" s="29" customFormat="1" outlineLevel="1" collapsed="1" x14ac:dyDescent="0.25">
      <c r="A89" s="27"/>
      <c r="B89" s="14" t="str">
        <f>CONCATENATE("     ","General                                           ")</f>
        <v xml:space="preserve">     General                                           </v>
      </c>
      <c r="C89" s="14"/>
      <c r="D89" s="1">
        <f>SUM(OSRRefD22_7x_0)</f>
        <v>-1500</v>
      </c>
      <c r="E89" s="1"/>
      <c r="F89" s="5">
        <f t="shared" ref="F89:F95" si="45">IF(D$12=0,0,D89/D$12)</f>
        <v>-2.5955547871175269E-3</v>
      </c>
      <c r="G89" s="1"/>
      <c r="H89" s="1">
        <f>SUM(OSRRefH22_7x_0)</f>
        <v>-71.84</v>
      </c>
      <c r="I89" s="1"/>
      <c r="J89" s="5">
        <f t="shared" ref="J89:J95" si="46">IF(H$12=0,0,H89/H$12)</f>
        <v>-1.0877990406351392E-4</v>
      </c>
      <c r="K89" s="1"/>
      <c r="L89" s="1">
        <f t="shared" ref="L89:L95" si="47">+D89-H89</f>
        <v>-1428.16</v>
      </c>
      <c r="M89" s="1"/>
      <c r="N89" s="5">
        <f t="shared" ref="N89:N95" si="48">IF(H89=0,0,L89/H89)</f>
        <v>19.879732739420934</v>
      </c>
      <c r="O89" s="14"/>
      <c r="P89" s="1">
        <f>SUM(OSRRefP22_7x_0)</f>
        <v>-1492.16</v>
      </c>
      <c r="Q89" s="1"/>
      <c r="R89" s="5">
        <f t="shared" ref="R89:R95" si="49">IF(P$12=0,0,P89/P$12)</f>
        <v>-5.2918603778160528E-4</v>
      </c>
      <c r="S89" s="1"/>
      <c r="T89" s="1">
        <f>SUM(OSRRefT22_7x_0)</f>
        <v>-648.41999999999996</v>
      </c>
      <c r="U89" s="1"/>
      <c r="V89" s="5">
        <f t="shared" ref="V89:V95" si="50">IF(T$12=0,0,T89/T$12)</f>
        <v>-1.9493349502093003E-4</v>
      </c>
      <c r="W89" s="1"/>
      <c r="X89" s="1">
        <f t="shared" ref="X89:X95" si="51">+P89-T89</f>
        <v>-843.74000000000012</v>
      </c>
      <c r="Y89" s="1"/>
      <c r="Z89" s="5">
        <f t="shared" ref="Z89:Z95" si="52">IF(T89=0,0,X89/T89)</f>
        <v>1.3012245149748622</v>
      </c>
    </row>
    <row r="90" spans="1:26" s="24" customFormat="1" hidden="1" outlineLevel="2" x14ac:dyDescent="0.25">
      <c r="A90" s="28"/>
      <c r="B90" s="11" t="str">
        <f>CONCATENATE("          ", "6279", " - ", "GENERAL EXPENSE")</f>
        <v xml:space="preserve">          6279 - GENERAL EXPENSE</v>
      </c>
      <c r="C90" s="11"/>
      <c r="D90" s="6">
        <v>-1500</v>
      </c>
      <c r="E90" s="2"/>
      <c r="F90" s="7">
        <f t="shared" si="45"/>
        <v>-2.5955547871175269E-3</v>
      </c>
      <c r="G90" s="2"/>
      <c r="H90" s="6">
        <v>-71.84</v>
      </c>
      <c r="I90" s="2"/>
      <c r="J90" s="7">
        <f t="shared" si="46"/>
        <v>-1.0877990406351392E-4</v>
      </c>
      <c r="K90" s="2"/>
      <c r="L90" s="6">
        <f t="shared" si="47"/>
        <v>-1428.16</v>
      </c>
      <c r="M90" s="2"/>
      <c r="N90" s="7">
        <f t="shared" si="48"/>
        <v>19.879732739420934</v>
      </c>
      <c r="O90" s="11"/>
      <c r="P90" s="6">
        <v>-1492.16</v>
      </c>
      <c r="Q90" s="2"/>
      <c r="R90" s="7">
        <f t="shared" si="49"/>
        <v>-5.2918603778160528E-4</v>
      </c>
      <c r="S90" s="2"/>
      <c r="T90" s="6">
        <v>-648.41999999999996</v>
      </c>
      <c r="U90" s="2"/>
      <c r="V90" s="7">
        <f t="shared" si="50"/>
        <v>-1.9493349502093003E-4</v>
      </c>
      <c r="W90" s="2"/>
      <c r="X90" s="6">
        <f t="shared" si="51"/>
        <v>-843.74000000000012</v>
      </c>
      <c r="Y90" s="2"/>
      <c r="Z90" s="7">
        <f t="shared" si="52"/>
        <v>1.3012245149748622</v>
      </c>
    </row>
    <row r="91" spans="1:26" s="29" customFormat="1" outlineLevel="1" collapsed="1" x14ac:dyDescent="0.25">
      <c r="A91" s="27"/>
      <c r="B91" s="14" t="str">
        <f>CONCATENATE("     ","Inventory Adjustment                              ")</f>
        <v xml:space="preserve">     Inventory Adjustment                              </v>
      </c>
      <c r="C91" s="14"/>
      <c r="D91" s="1">
        <f>SUM(OSRRefD22_8x_0)</f>
        <v>1000</v>
      </c>
      <c r="E91" s="1"/>
      <c r="F91" s="5">
        <f t="shared" si="45"/>
        <v>1.7303698580783513E-3</v>
      </c>
      <c r="G91" s="1"/>
      <c r="H91" s="1">
        <f>SUM(OSRRefH22_8x_0)</f>
        <v>6950</v>
      </c>
      <c r="I91" s="1"/>
      <c r="J91" s="5">
        <f t="shared" si="46"/>
        <v>1.0523668335765892E-2</v>
      </c>
      <c r="K91" s="1"/>
      <c r="L91" s="1">
        <f t="shared" si="47"/>
        <v>-5950</v>
      </c>
      <c r="M91" s="1"/>
      <c r="N91" s="5">
        <f t="shared" si="48"/>
        <v>-0.85611510791366907</v>
      </c>
      <c r="O91" s="14"/>
      <c r="P91" s="1">
        <f>SUM(OSRRefP22_8x_0)</f>
        <v>3000</v>
      </c>
      <c r="Q91" s="1"/>
      <c r="R91" s="5">
        <f t="shared" si="49"/>
        <v>1.0639328981776859E-3</v>
      </c>
      <c r="S91" s="1"/>
      <c r="T91" s="1">
        <f>SUM(OSRRefT22_8x_0)</f>
        <v>20850</v>
      </c>
      <c r="U91" s="1"/>
      <c r="V91" s="5">
        <f t="shared" si="50"/>
        <v>6.2681030368995274E-3</v>
      </c>
      <c r="W91" s="1"/>
      <c r="X91" s="1">
        <f t="shared" si="51"/>
        <v>-17850</v>
      </c>
      <c r="Y91" s="1"/>
      <c r="Z91" s="5">
        <f t="shared" si="52"/>
        <v>-0.85611510791366907</v>
      </c>
    </row>
    <row r="92" spans="1:26" s="24" customFormat="1" hidden="1" outlineLevel="2" x14ac:dyDescent="0.25">
      <c r="A92" s="28"/>
      <c r="B92" s="11" t="str">
        <f>CONCATENATE("          ", "6408", " - ", "INVENTORY ADJUSTMENT")</f>
        <v xml:space="preserve">          6408 - INVENTORY ADJUSTMENT</v>
      </c>
      <c r="C92" s="11"/>
      <c r="D92" s="6">
        <v>1000</v>
      </c>
      <c r="E92" s="2"/>
      <c r="F92" s="7">
        <f t="shared" si="45"/>
        <v>1.7303698580783513E-3</v>
      </c>
      <c r="G92" s="2"/>
      <c r="H92" s="6">
        <v>6950</v>
      </c>
      <c r="I92" s="2"/>
      <c r="J92" s="7">
        <f t="shared" si="46"/>
        <v>1.0523668335765892E-2</v>
      </c>
      <c r="K92" s="2"/>
      <c r="L92" s="6">
        <f t="shared" si="47"/>
        <v>-5950</v>
      </c>
      <c r="M92" s="2"/>
      <c r="N92" s="7">
        <f t="shared" si="48"/>
        <v>-0.85611510791366907</v>
      </c>
      <c r="O92" s="11"/>
      <c r="P92" s="6">
        <v>3000</v>
      </c>
      <c r="Q92" s="2"/>
      <c r="R92" s="7">
        <f t="shared" si="49"/>
        <v>1.0639328981776859E-3</v>
      </c>
      <c r="S92" s="2"/>
      <c r="T92" s="6">
        <v>20850</v>
      </c>
      <c r="U92" s="2"/>
      <c r="V92" s="7">
        <f t="shared" si="50"/>
        <v>6.2681030368995274E-3</v>
      </c>
      <c r="W92" s="2"/>
      <c r="X92" s="6">
        <f t="shared" si="51"/>
        <v>-17850</v>
      </c>
      <c r="Y92" s="2"/>
      <c r="Z92" s="7">
        <f t="shared" si="52"/>
        <v>-0.85611510791366907</v>
      </c>
    </row>
    <row r="93" spans="1:26" s="29" customFormat="1" outlineLevel="1" collapsed="1" x14ac:dyDescent="0.25">
      <c r="A93" s="27"/>
      <c r="B93" s="14" t="str">
        <f>CONCATENATE("     ","Repair and Maintenance                            ")</f>
        <v xml:space="preserve">     Repair and Maintenance                            </v>
      </c>
      <c r="C93" s="14"/>
      <c r="D93" s="1">
        <f>SUM(OSRRefD22_9x_0)</f>
        <v>20.78</v>
      </c>
      <c r="E93" s="1"/>
      <c r="F93" s="5">
        <f t="shared" si="45"/>
        <v>3.595708565086814E-5</v>
      </c>
      <c r="G93" s="1"/>
      <c r="H93" s="1">
        <f>SUM(OSRRefH22_9x_0)</f>
        <v>103.45</v>
      </c>
      <c r="I93" s="1"/>
      <c r="J93" s="5">
        <f t="shared" si="46"/>
        <v>1.5664366753021319E-4</v>
      </c>
      <c r="K93" s="1"/>
      <c r="L93" s="1">
        <f t="shared" si="47"/>
        <v>-82.67</v>
      </c>
      <c r="M93" s="1"/>
      <c r="N93" s="5">
        <f t="shared" si="48"/>
        <v>-0.79913001449975829</v>
      </c>
      <c r="O93" s="14"/>
      <c r="P93" s="1">
        <f>SUM(OSRRefP22_9x_0)</f>
        <v>70.2</v>
      </c>
      <c r="Q93" s="1"/>
      <c r="R93" s="5">
        <f t="shared" si="49"/>
        <v>2.4896029817357852E-5</v>
      </c>
      <c r="S93" s="1"/>
      <c r="T93" s="1">
        <f>SUM(OSRRefT22_9x_0)</f>
        <v>327.90999999999997</v>
      </c>
      <c r="U93" s="1"/>
      <c r="V93" s="5">
        <f t="shared" si="50"/>
        <v>9.8579072749627034E-5</v>
      </c>
      <c r="W93" s="1"/>
      <c r="X93" s="1">
        <f t="shared" si="51"/>
        <v>-257.70999999999998</v>
      </c>
      <c r="Y93" s="1"/>
      <c r="Z93" s="5">
        <f t="shared" si="52"/>
        <v>-0.78591686743313716</v>
      </c>
    </row>
    <row r="94" spans="1:26" s="24" customFormat="1" hidden="1" outlineLevel="2" x14ac:dyDescent="0.25">
      <c r="A94" s="28"/>
      <c r="B94" s="11" t="str">
        <f>CONCATENATE("          ", "6373", " - ", "MAINTENANCE CONTRACTS")</f>
        <v xml:space="preserve">          6373 - MAINTENANCE CONTRACTS</v>
      </c>
      <c r="C94" s="11"/>
      <c r="D94" s="6">
        <v>20.78</v>
      </c>
      <c r="E94" s="2"/>
      <c r="F94" s="7">
        <f t="shared" si="45"/>
        <v>3.595708565086814E-5</v>
      </c>
      <c r="G94" s="2"/>
      <c r="H94" s="6">
        <v>25.45</v>
      </c>
      <c r="I94" s="2"/>
      <c r="J94" s="7">
        <f t="shared" si="46"/>
        <v>3.8536310668380139E-5</v>
      </c>
      <c r="K94" s="2"/>
      <c r="L94" s="6">
        <f t="shared" si="47"/>
        <v>-4.6699999999999982</v>
      </c>
      <c r="M94" s="2"/>
      <c r="N94" s="7">
        <f t="shared" si="48"/>
        <v>-0.18349705304518657</v>
      </c>
      <c r="O94" s="11"/>
      <c r="P94" s="6">
        <v>70.2</v>
      </c>
      <c r="Q94" s="2"/>
      <c r="R94" s="7">
        <f t="shared" si="49"/>
        <v>2.4896029817357852E-5</v>
      </c>
      <c r="S94" s="2"/>
      <c r="T94" s="6">
        <v>93.91</v>
      </c>
      <c r="U94" s="2"/>
      <c r="V94" s="7">
        <f t="shared" si="50"/>
        <v>2.8232017083704297E-5</v>
      </c>
      <c r="W94" s="2"/>
      <c r="X94" s="6">
        <f t="shared" si="51"/>
        <v>-23.709999999999994</v>
      </c>
      <c r="Y94" s="2"/>
      <c r="Z94" s="7">
        <f t="shared" si="52"/>
        <v>-0.25247577467788301</v>
      </c>
    </row>
    <row r="95" spans="1:26" s="24" customFormat="1" hidden="1" outlineLevel="2" x14ac:dyDescent="0.25">
      <c r="A95" s="28"/>
      <c r="B95" s="11" t="str">
        <f>CONCATENATE("          ", "6375", " - ", "OUTSIDE REPAIRS &amp; MAINTENANCE")</f>
        <v xml:space="preserve">          6375 - OUTSIDE REPAIRS &amp; MAINTENANCE</v>
      </c>
      <c r="C95" s="11"/>
      <c r="D95" s="6"/>
      <c r="E95" s="2"/>
      <c r="F95" s="7">
        <f t="shared" si="45"/>
        <v>0</v>
      </c>
      <c r="G95" s="2"/>
      <c r="H95" s="6">
        <v>78</v>
      </c>
      <c r="I95" s="2"/>
      <c r="J95" s="7">
        <f t="shared" si="46"/>
        <v>1.1810735686183304E-4</v>
      </c>
      <c r="K95" s="2"/>
      <c r="L95" s="6">
        <f t="shared" si="47"/>
        <v>-78</v>
      </c>
      <c r="M95" s="2"/>
      <c r="N95" s="7">
        <f t="shared" si="48"/>
        <v>-1</v>
      </c>
      <c r="O95" s="11"/>
      <c r="P95" s="6"/>
      <c r="Q95" s="2"/>
      <c r="R95" s="7">
        <f t="shared" si="49"/>
        <v>0</v>
      </c>
      <c r="S95" s="2"/>
      <c r="T95" s="6">
        <v>234</v>
      </c>
      <c r="U95" s="2"/>
      <c r="V95" s="7">
        <f t="shared" si="50"/>
        <v>7.0347055665922754E-5</v>
      </c>
      <c r="W95" s="2"/>
      <c r="X95" s="6">
        <f t="shared" si="51"/>
        <v>-234</v>
      </c>
      <c r="Y95" s="2"/>
      <c r="Z95" s="7">
        <f t="shared" si="52"/>
        <v>-1</v>
      </c>
    </row>
    <row r="96" spans="1:26" s="29" customFormat="1" outlineLevel="1" collapsed="1" x14ac:dyDescent="0.25">
      <c r="A96" s="27"/>
      <c r="B96" s="14" t="str">
        <f>CONCATENATE("     ","Subscriptions &amp; Dues                              ")</f>
        <v xml:space="preserve">     Subscriptions &amp; Dues                              </v>
      </c>
      <c r="C96" s="14"/>
      <c r="D96" s="1">
        <f>SUM(OSRRefD22_10x_0)</f>
        <v>250</v>
      </c>
      <c r="E96" s="1"/>
      <c r="F96" s="5">
        <f t="shared" ref="F96:F101" si="53">IF(D$12=0,0,D96/D$12)</f>
        <v>4.3259246451958781E-4</v>
      </c>
      <c r="G96" s="1"/>
      <c r="H96" s="1">
        <f>SUM(OSRRefH22_10x_0)</f>
        <v>250</v>
      </c>
      <c r="I96" s="1"/>
      <c r="J96" s="5">
        <f t="shared" ref="J96:J101" si="54">IF(H$12=0,0,H96/H$12)</f>
        <v>3.7854922071100334E-4</v>
      </c>
      <c r="K96" s="1"/>
      <c r="L96" s="1">
        <f t="shared" ref="L96:L101" si="55">+D96-H96</f>
        <v>0</v>
      </c>
      <c r="M96" s="1"/>
      <c r="N96" s="5">
        <f t="shared" ref="N96:N101" si="56">IF(H96=0,0,L96/H96)</f>
        <v>0</v>
      </c>
      <c r="O96" s="14"/>
      <c r="P96" s="1">
        <f>SUM(OSRRefP22_10x_0)</f>
        <v>788.85</v>
      </c>
      <c r="Q96" s="1"/>
      <c r="R96" s="5">
        <f t="shared" ref="R96:R101" si="57">IF(P$12=0,0,P96/P$12)</f>
        <v>2.7976115557582252E-4</v>
      </c>
      <c r="S96" s="1"/>
      <c r="T96" s="1">
        <f>SUM(OSRRefT22_10x_0)</f>
        <v>772.1</v>
      </c>
      <c r="U96" s="1"/>
      <c r="V96" s="5">
        <f t="shared" ref="V96:V101" si="58">IF(T$12=0,0,T96/T$12)</f>
        <v>2.321152208532434E-4</v>
      </c>
      <c r="W96" s="1"/>
      <c r="X96" s="1">
        <f t="shared" ref="X96:X101" si="59">+P96-T96</f>
        <v>16.75</v>
      </c>
      <c r="Y96" s="1"/>
      <c r="Z96" s="5">
        <f t="shared" ref="Z96:Z101" si="60">IF(T96=0,0,X96/T96)</f>
        <v>2.1694081077580623E-2</v>
      </c>
    </row>
    <row r="97" spans="1:26" s="24" customFormat="1" hidden="1" outlineLevel="2" x14ac:dyDescent="0.25">
      <c r="A97" s="28"/>
      <c r="B97" s="11" t="str">
        <f>CONCATENATE("          ", "6258", " - ", "MEMBERSHIP DUES")</f>
        <v xml:space="preserve">          6258 - MEMBERSHIP DUES</v>
      </c>
      <c r="C97" s="11"/>
      <c r="D97" s="6">
        <v>250</v>
      </c>
      <c r="E97" s="2"/>
      <c r="F97" s="7">
        <f t="shared" si="53"/>
        <v>4.3259246451958781E-4</v>
      </c>
      <c r="G97" s="2"/>
      <c r="H97" s="6">
        <v>250</v>
      </c>
      <c r="I97" s="2"/>
      <c r="J97" s="7">
        <f t="shared" si="54"/>
        <v>3.7854922071100334E-4</v>
      </c>
      <c r="K97" s="2"/>
      <c r="L97" s="6">
        <f t="shared" si="55"/>
        <v>0</v>
      </c>
      <c r="M97" s="2"/>
      <c r="N97" s="7">
        <f t="shared" si="56"/>
        <v>0</v>
      </c>
      <c r="O97" s="11"/>
      <c r="P97" s="6">
        <v>788.85</v>
      </c>
      <c r="Q97" s="2"/>
      <c r="R97" s="7">
        <f t="shared" si="57"/>
        <v>2.7976115557582252E-4</v>
      </c>
      <c r="S97" s="2"/>
      <c r="T97" s="6">
        <v>772.1</v>
      </c>
      <c r="U97" s="2"/>
      <c r="V97" s="7">
        <f t="shared" si="58"/>
        <v>2.321152208532434E-4</v>
      </c>
      <c r="W97" s="2"/>
      <c r="X97" s="6">
        <f t="shared" si="59"/>
        <v>16.75</v>
      </c>
      <c r="Y97" s="2"/>
      <c r="Z97" s="7">
        <f t="shared" si="60"/>
        <v>2.1694081077580623E-2</v>
      </c>
    </row>
    <row r="98" spans="1:26" s="29" customFormat="1" outlineLevel="1" collapsed="1" x14ac:dyDescent="0.25">
      <c r="A98" s="27"/>
      <c r="B98" s="14" t="str">
        <f>CONCATENATE("     ","Supplies                                          ")</f>
        <v xml:space="preserve">     Supplies                                          </v>
      </c>
      <c r="C98" s="14"/>
      <c r="D98" s="1">
        <f>SUM(OSRRefD22_11x_0)</f>
        <v>149.59</v>
      </c>
      <c r="E98" s="1"/>
      <c r="F98" s="5">
        <f t="shared" si="53"/>
        <v>2.5884602706994055E-4</v>
      </c>
      <c r="G98" s="1"/>
      <c r="H98" s="1">
        <f>SUM(OSRRefH22_11x_0)</f>
        <v>2334.79</v>
      </c>
      <c r="I98" s="1"/>
      <c r="J98" s="5">
        <f t="shared" si="54"/>
        <v>3.5353317400953739E-3</v>
      </c>
      <c r="K98" s="1"/>
      <c r="L98" s="1">
        <f t="shared" si="55"/>
        <v>-2185.1999999999998</v>
      </c>
      <c r="M98" s="1"/>
      <c r="N98" s="5">
        <f t="shared" si="56"/>
        <v>-0.93592999798697096</v>
      </c>
      <c r="O98" s="14"/>
      <c r="P98" s="1">
        <f>SUM(OSRRefP22_11x_0)</f>
        <v>7349.1399999999994</v>
      </c>
      <c r="Q98" s="1"/>
      <c r="R98" s="5">
        <f t="shared" si="57"/>
        <v>2.6063306064378526E-3</v>
      </c>
      <c r="S98" s="1"/>
      <c r="T98" s="1">
        <f>SUM(OSRRefT22_11x_0)</f>
        <v>6255.1100000000006</v>
      </c>
      <c r="U98" s="1"/>
      <c r="V98" s="5">
        <f t="shared" si="58"/>
        <v>1.8804639801985902E-3</v>
      </c>
      <c r="W98" s="1"/>
      <c r="X98" s="1">
        <f t="shared" si="59"/>
        <v>1094.0299999999988</v>
      </c>
      <c r="Y98" s="1"/>
      <c r="Z98" s="5">
        <f t="shared" si="60"/>
        <v>0.17490180028808425</v>
      </c>
    </row>
    <row r="99" spans="1:26" s="24" customFormat="1" hidden="1" outlineLevel="2" x14ac:dyDescent="0.25">
      <c r="A99" s="28"/>
      <c r="B99" s="11" t="str">
        <f>CONCATENATE("          ", "6241", " - ", "OFFICE EXPENSE")</f>
        <v xml:space="preserve">          6241 - OFFICE EXPENSE</v>
      </c>
      <c r="C99" s="11"/>
      <c r="D99" s="6">
        <v>132.74</v>
      </c>
      <c r="E99" s="2"/>
      <c r="F99" s="7">
        <f t="shared" si="53"/>
        <v>2.2968929496132036E-4</v>
      </c>
      <c r="G99" s="2"/>
      <c r="H99" s="6">
        <v>81.349999999999994</v>
      </c>
      <c r="I99" s="2"/>
      <c r="J99" s="7">
        <f t="shared" si="54"/>
        <v>1.2317991641936049E-4</v>
      </c>
      <c r="K99" s="2"/>
      <c r="L99" s="6">
        <f t="shared" si="55"/>
        <v>51.390000000000015</v>
      </c>
      <c r="M99" s="2"/>
      <c r="N99" s="7">
        <f t="shared" si="56"/>
        <v>0.63171481253841444</v>
      </c>
      <c r="O99" s="11"/>
      <c r="P99" s="6">
        <v>2337.8200000000002</v>
      </c>
      <c r="Q99" s="2"/>
      <c r="R99" s="7">
        <f t="shared" si="57"/>
        <v>8.2909453600591928E-4</v>
      </c>
      <c r="S99" s="2"/>
      <c r="T99" s="6">
        <v>437.13</v>
      </c>
      <c r="U99" s="2"/>
      <c r="V99" s="7">
        <f t="shared" si="58"/>
        <v>1.3141371129591801E-4</v>
      </c>
      <c r="W99" s="2"/>
      <c r="X99" s="6">
        <f t="shared" si="59"/>
        <v>1900.69</v>
      </c>
      <c r="Y99" s="2"/>
      <c r="Z99" s="7">
        <f t="shared" si="60"/>
        <v>4.3481115457644179</v>
      </c>
    </row>
    <row r="100" spans="1:26" s="24" customFormat="1" hidden="1" outlineLevel="2" x14ac:dyDescent="0.25">
      <c r="A100" s="28"/>
      <c r="B100" s="11" t="str">
        <f>CONCATENATE("          ", "6245", " - ", "PRINTING")</f>
        <v xml:space="preserve">          6245 - PRINTING</v>
      </c>
      <c r="C100" s="11"/>
      <c r="D100" s="6"/>
      <c r="E100" s="2"/>
      <c r="F100" s="7">
        <f t="shared" si="53"/>
        <v>0</v>
      </c>
      <c r="G100" s="2"/>
      <c r="H100" s="6"/>
      <c r="I100" s="2"/>
      <c r="J100" s="7">
        <f t="shared" si="54"/>
        <v>0</v>
      </c>
      <c r="K100" s="2"/>
      <c r="L100" s="6">
        <f t="shared" si="55"/>
        <v>0</v>
      </c>
      <c r="M100" s="2"/>
      <c r="N100" s="7">
        <f t="shared" si="56"/>
        <v>0</v>
      </c>
      <c r="O100" s="11"/>
      <c r="P100" s="6">
        <v>4978.08</v>
      </c>
      <c r="Q100" s="2"/>
      <c r="R100" s="7">
        <f t="shared" si="57"/>
        <v>1.7654476939201248E-3</v>
      </c>
      <c r="S100" s="2"/>
      <c r="T100" s="6">
        <v>509.8</v>
      </c>
      <c r="U100" s="2"/>
      <c r="V100" s="7">
        <f t="shared" si="58"/>
        <v>1.5326038024994623E-4</v>
      </c>
      <c r="W100" s="2"/>
      <c r="X100" s="6">
        <f t="shared" si="59"/>
        <v>4468.28</v>
      </c>
      <c r="Y100" s="2"/>
      <c r="Z100" s="7">
        <f t="shared" si="60"/>
        <v>8.7647704982346006</v>
      </c>
    </row>
    <row r="101" spans="1:26" s="24" customFormat="1" hidden="1" outlineLevel="2" x14ac:dyDescent="0.25">
      <c r="A101" s="28"/>
      <c r="B101" s="11" t="str">
        <f>CONCATENATE("          ", "6247", " - ", "STORE SUPPLIES")</f>
        <v xml:space="preserve">          6247 - STORE SUPPLIES</v>
      </c>
      <c r="C101" s="11"/>
      <c r="D101" s="6">
        <v>16.850000000000001</v>
      </c>
      <c r="E101" s="2"/>
      <c r="F101" s="7">
        <f t="shared" si="53"/>
        <v>2.9156732108620221E-5</v>
      </c>
      <c r="G101" s="2"/>
      <c r="H101" s="6">
        <v>2253.44</v>
      </c>
      <c r="I101" s="2"/>
      <c r="J101" s="7">
        <f t="shared" si="54"/>
        <v>3.4121518236760137E-3</v>
      </c>
      <c r="K101" s="2"/>
      <c r="L101" s="6">
        <f t="shared" si="55"/>
        <v>-2236.59</v>
      </c>
      <c r="M101" s="2"/>
      <c r="N101" s="7">
        <f t="shared" si="56"/>
        <v>-0.9925225433115592</v>
      </c>
      <c r="O101" s="11"/>
      <c r="P101" s="6">
        <v>33.24</v>
      </c>
      <c r="Q101" s="2"/>
      <c r="R101" s="7">
        <f t="shared" si="57"/>
        <v>1.178837651180876E-5</v>
      </c>
      <c r="S101" s="2"/>
      <c r="T101" s="6">
        <v>5308.18</v>
      </c>
      <c r="U101" s="2"/>
      <c r="V101" s="7">
        <f t="shared" si="58"/>
        <v>1.5957898886527259E-3</v>
      </c>
      <c r="W101" s="2"/>
      <c r="X101" s="6">
        <f t="shared" si="59"/>
        <v>-5274.9400000000005</v>
      </c>
      <c r="Y101" s="2"/>
      <c r="Z101" s="7">
        <f t="shared" si="60"/>
        <v>-0.99373796668537995</v>
      </c>
    </row>
    <row r="102" spans="1:26" s="29" customFormat="1" outlineLevel="1" collapsed="1" x14ac:dyDescent="0.25">
      <c r="A102" s="27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SUM(OSRRefD22_12x_0)</f>
        <v>2045</v>
      </c>
      <c r="E102" s="1"/>
      <c r="F102" s="5">
        <f t="shared" ref="F102:F104" si="61">IF(D$12=0,0,D102/D$12)</f>
        <v>3.5386063597702281E-3</v>
      </c>
      <c r="G102" s="1"/>
      <c r="H102" s="1">
        <f>SUM(OSRRefH22_12x_0)</f>
        <v>1250</v>
      </c>
      <c r="I102" s="1"/>
      <c r="J102" s="5">
        <f t="shared" ref="J102:J104" si="62">IF(H$12=0,0,H102/H$12)</f>
        <v>1.8927461035550166E-3</v>
      </c>
      <c r="K102" s="1"/>
      <c r="L102" s="1">
        <f t="shared" ref="L102:L104" si="63">+D102-H102</f>
        <v>795</v>
      </c>
      <c r="M102" s="1"/>
      <c r="N102" s="5">
        <f t="shared" ref="N102:N104" si="64">IF(H102=0,0,L102/H102)</f>
        <v>0.63600000000000001</v>
      </c>
      <c r="O102" s="14"/>
      <c r="P102" s="1">
        <f>SUM(OSRRefP22_12x_0)</f>
        <v>3399.5</v>
      </c>
      <c r="Q102" s="1"/>
      <c r="R102" s="5">
        <f t="shared" ref="R102:R104" si="65">IF(P$12=0,0,P102/P$12)</f>
        <v>1.2056132957850144E-3</v>
      </c>
      <c r="S102" s="1"/>
      <c r="T102" s="1">
        <f>SUM(OSRRefT22_12x_0)</f>
        <v>2610.1999999999998</v>
      </c>
      <c r="U102" s="1"/>
      <c r="V102" s="5">
        <f t="shared" ref="V102:V104" si="66">IF(T$12=0,0,T102/T$12)</f>
        <v>7.8470036196235705E-4</v>
      </c>
      <c r="W102" s="1"/>
      <c r="X102" s="1">
        <f t="shared" ref="X102:X104" si="67">+P102-T102</f>
        <v>789.30000000000018</v>
      </c>
      <c r="Y102" s="1"/>
      <c r="Z102" s="5">
        <f t="shared" ref="Z102:Z104" si="68">IF(T102=0,0,X102/T102)</f>
        <v>0.30239062140832129</v>
      </c>
    </row>
    <row r="103" spans="1:26" s="24" customFormat="1" hidden="1" outlineLevel="2" x14ac:dyDescent="0.25">
      <c r="A103" s="28"/>
      <c r="B103" s="11" t="str">
        <f>CONCATENATE("          ", "6303", " - ", "DATA PHONE LINES")</f>
        <v xml:space="preserve">          6303 - DATA PHONE LINES</v>
      </c>
      <c r="C103" s="11"/>
      <c r="D103" s="6">
        <v>295</v>
      </c>
      <c r="E103" s="2"/>
      <c r="F103" s="7">
        <f t="shared" si="61"/>
        <v>5.1045910813311357E-4</v>
      </c>
      <c r="G103" s="2"/>
      <c r="H103" s="6"/>
      <c r="I103" s="2"/>
      <c r="J103" s="7">
        <f t="shared" si="62"/>
        <v>0</v>
      </c>
      <c r="K103" s="2"/>
      <c r="L103" s="6">
        <f t="shared" si="63"/>
        <v>295</v>
      </c>
      <c r="M103" s="2"/>
      <c r="N103" s="7">
        <f t="shared" si="64"/>
        <v>0</v>
      </c>
      <c r="O103" s="11"/>
      <c r="P103" s="6">
        <v>885</v>
      </c>
      <c r="Q103" s="2"/>
      <c r="R103" s="7">
        <f t="shared" si="65"/>
        <v>3.1386020496241733E-4</v>
      </c>
      <c r="S103" s="2"/>
      <c r="T103" s="6">
        <v>590</v>
      </c>
      <c r="U103" s="2"/>
      <c r="V103" s="7">
        <f t="shared" si="66"/>
        <v>1.7737078137989069E-4</v>
      </c>
      <c r="W103" s="2"/>
      <c r="X103" s="6">
        <f t="shared" si="67"/>
        <v>295</v>
      </c>
      <c r="Y103" s="2"/>
      <c r="Z103" s="7">
        <f t="shared" si="68"/>
        <v>0.5</v>
      </c>
    </row>
    <row r="104" spans="1:26" s="24" customFormat="1" hidden="1" outlineLevel="2" x14ac:dyDescent="0.25">
      <c r="A104" s="28"/>
      <c r="B104" s="11" t="str">
        <f>CONCATENATE("          ", "6309", " - ", "TELEPHONE")</f>
        <v xml:space="preserve">          6309 - TELEPHONE</v>
      </c>
      <c r="C104" s="11"/>
      <c r="D104" s="6">
        <v>1750</v>
      </c>
      <c r="E104" s="2"/>
      <c r="F104" s="7">
        <f t="shared" si="61"/>
        <v>3.0281472516371145E-3</v>
      </c>
      <c r="G104" s="2"/>
      <c r="H104" s="6">
        <v>1250</v>
      </c>
      <c r="I104" s="2"/>
      <c r="J104" s="7">
        <f t="shared" si="62"/>
        <v>1.8927461035550166E-3</v>
      </c>
      <c r="K104" s="2"/>
      <c r="L104" s="6">
        <f t="shared" si="63"/>
        <v>500</v>
      </c>
      <c r="M104" s="2"/>
      <c r="N104" s="7">
        <f t="shared" si="64"/>
        <v>0.4</v>
      </c>
      <c r="O104" s="11"/>
      <c r="P104" s="6">
        <v>2514.5</v>
      </c>
      <c r="Q104" s="2"/>
      <c r="R104" s="7">
        <f t="shared" si="65"/>
        <v>8.9175309082259707E-4</v>
      </c>
      <c r="S104" s="2"/>
      <c r="T104" s="6">
        <v>2020.2</v>
      </c>
      <c r="U104" s="2"/>
      <c r="V104" s="7">
        <f t="shared" si="66"/>
        <v>6.0732958058246642E-4</v>
      </c>
      <c r="W104" s="2"/>
      <c r="X104" s="6">
        <f t="shared" si="67"/>
        <v>494.29999999999995</v>
      </c>
      <c r="Y104" s="2"/>
      <c r="Z104" s="7">
        <f t="shared" si="68"/>
        <v>0.24467874467874465</v>
      </c>
    </row>
    <row r="105" spans="1:26" s="29" customFormat="1" outlineLevel="1" collapsed="1" x14ac:dyDescent="0.25">
      <c r="A105" s="27"/>
      <c r="B105" s="14" t="str">
        <f>CONCATENATE("     ","Training                                          ")</f>
        <v xml:space="preserve">     Training                                          </v>
      </c>
      <c r="C105" s="14"/>
      <c r="D105" s="1">
        <f>SUM(OSRRefD22_13x_0)</f>
        <v>0</v>
      </c>
      <c r="E105" s="1"/>
      <c r="F105" s="5">
        <f t="shared" ref="F105:F108" si="69">IF(D$12=0,0,D105/D$12)</f>
        <v>0</v>
      </c>
      <c r="G105" s="1"/>
      <c r="H105" s="1">
        <f>SUM(OSRRefH22_13x_0)</f>
        <v>0</v>
      </c>
      <c r="I105" s="1"/>
      <c r="J105" s="5">
        <f t="shared" ref="J105:J108" si="70">IF(H$12=0,0,H105/H$12)</f>
        <v>0</v>
      </c>
      <c r="K105" s="1"/>
      <c r="L105" s="1">
        <f t="shared" ref="L105:L108" si="71">+D105-H105</f>
        <v>0</v>
      </c>
      <c r="M105" s="1"/>
      <c r="N105" s="5">
        <f t="shared" ref="N105:N108" si="72">IF(H105=0,0,L105/H105)</f>
        <v>0</v>
      </c>
      <c r="O105" s="14"/>
      <c r="P105" s="1">
        <f>SUM(OSRRefP22_13x_0)</f>
        <v>547.47</v>
      </c>
      <c r="Q105" s="1"/>
      <c r="R105" s="5">
        <f t="shared" ref="R105:R108" si="73">IF(P$12=0,0,P105/P$12)</f>
        <v>1.9415711458844591E-4</v>
      </c>
      <c r="S105" s="1"/>
      <c r="T105" s="1">
        <f>SUM(OSRRefT22_13x_0)</f>
        <v>-1265.6600000000001</v>
      </c>
      <c r="U105" s="1"/>
      <c r="V105" s="5">
        <f t="shared" ref="V105:V108" si="74">IF(T$12=0,0,T105/T$12)</f>
        <v>-3.8049339518859743E-4</v>
      </c>
      <c r="W105" s="1"/>
      <c r="X105" s="1">
        <f t="shared" ref="X105:X108" si="75">+P105-T105</f>
        <v>1813.13</v>
      </c>
      <c r="Y105" s="1"/>
      <c r="Z105" s="5">
        <f t="shared" ref="Z105:Z108" si="76">IF(T105=0,0,X105/T105)</f>
        <v>-1.4325569268207892</v>
      </c>
    </row>
    <row r="106" spans="1:26" s="24" customFormat="1" hidden="1" outlineLevel="2" x14ac:dyDescent="0.25">
      <c r="A106" s="28"/>
      <c r="B106" s="11" t="str">
        <f>CONCATENATE("          ", "6376", " - ", "TRAINING")</f>
        <v xml:space="preserve">          6376 - TRAINING</v>
      </c>
      <c r="C106" s="11"/>
      <c r="D106" s="6"/>
      <c r="E106" s="2"/>
      <c r="F106" s="7">
        <f t="shared" si="69"/>
        <v>0</v>
      </c>
      <c r="G106" s="2"/>
      <c r="H106" s="6"/>
      <c r="I106" s="2"/>
      <c r="J106" s="7">
        <f t="shared" si="70"/>
        <v>0</v>
      </c>
      <c r="K106" s="2"/>
      <c r="L106" s="6">
        <f t="shared" si="71"/>
        <v>0</v>
      </c>
      <c r="M106" s="2"/>
      <c r="N106" s="7">
        <f t="shared" si="72"/>
        <v>0</v>
      </c>
      <c r="O106" s="11"/>
      <c r="P106" s="6">
        <v>547.47</v>
      </c>
      <c r="Q106" s="2"/>
      <c r="R106" s="7">
        <f t="shared" si="73"/>
        <v>1.9415711458844591E-4</v>
      </c>
      <c r="S106" s="2"/>
      <c r="T106" s="6">
        <v>-1265.6600000000001</v>
      </c>
      <c r="U106" s="2"/>
      <c r="V106" s="7">
        <f t="shared" si="74"/>
        <v>-3.8049339518859743E-4</v>
      </c>
      <c r="W106" s="2"/>
      <c r="X106" s="6">
        <f t="shared" si="75"/>
        <v>1813.13</v>
      </c>
      <c r="Y106" s="2"/>
      <c r="Z106" s="7">
        <f t="shared" si="76"/>
        <v>-1.4325569268207892</v>
      </c>
    </row>
    <row r="107" spans="1:26" s="29" customFormat="1" outlineLevel="1" collapsed="1" x14ac:dyDescent="0.25">
      <c r="A107" s="27"/>
      <c r="B107" s="14" t="str">
        <f>CONCATENATE("     ","Travel                                            ")</f>
        <v xml:space="preserve">     Travel                                            </v>
      </c>
      <c r="C107" s="14"/>
      <c r="D107" s="1">
        <f>SUM(OSRRefD22_14x_0)</f>
        <v>0</v>
      </c>
      <c r="E107" s="1"/>
      <c r="F107" s="5">
        <f t="shared" si="69"/>
        <v>0</v>
      </c>
      <c r="G107" s="1"/>
      <c r="H107" s="1">
        <f>SUM(OSRRefH22_14x_0)</f>
        <v>-35.21</v>
      </c>
      <c r="I107" s="1"/>
      <c r="J107" s="5">
        <f t="shared" si="70"/>
        <v>-5.3314872244937714E-5</v>
      </c>
      <c r="K107" s="1"/>
      <c r="L107" s="1">
        <f t="shared" si="71"/>
        <v>35.21</v>
      </c>
      <c r="M107" s="1"/>
      <c r="N107" s="5">
        <f t="shared" si="72"/>
        <v>-1</v>
      </c>
      <c r="O107" s="14"/>
      <c r="P107" s="1">
        <f>SUM(OSRRefP22_14x_0)</f>
        <v>0</v>
      </c>
      <c r="Q107" s="1"/>
      <c r="R107" s="5">
        <f t="shared" si="73"/>
        <v>0</v>
      </c>
      <c r="S107" s="1"/>
      <c r="T107" s="1">
        <f>SUM(OSRRefT22_14x_0)</f>
        <v>68.27</v>
      </c>
      <c r="U107" s="1"/>
      <c r="V107" s="5">
        <f t="shared" si="74"/>
        <v>2.052390380475447E-5</v>
      </c>
      <c r="W107" s="1"/>
      <c r="X107" s="1">
        <f t="shared" si="75"/>
        <v>-68.27</v>
      </c>
      <c r="Y107" s="1"/>
      <c r="Z107" s="5">
        <f t="shared" si="76"/>
        <v>-1</v>
      </c>
    </row>
    <row r="108" spans="1:26" s="24" customFormat="1" hidden="1" outlineLevel="2" x14ac:dyDescent="0.25">
      <c r="A108" s="28"/>
      <c r="B108" s="11" t="str">
        <f>CONCATENATE("          ", "6292", " - ", "TRAVEL/CONFERENCE")</f>
        <v xml:space="preserve">          6292 - TRAVEL/CONFERENCE</v>
      </c>
      <c r="C108" s="11"/>
      <c r="D108" s="6"/>
      <c r="E108" s="2"/>
      <c r="F108" s="7">
        <f t="shared" si="69"/>
        <v>0</v>
      </c>
      <c r="G108" s="2"/>
      <c r="H108" s="6">
        <v>-35.21</v>
      </c>
      <c r="I108" s="2"/>
      <c r="J108" s="7">
        <f t="shared" si="70"/>
        <v>-5.3314872244937714E-5</v>
      </c>
      <c r="K108" s="2"/>
      <c r="L108" s="6">
        <f t="shared" si="71"/>
        <v>35.21</v>
      </c>
      <c r="M108" s="2"/>
      <c r="N108" s="7">
        <f t="shared" si="72"/>
        <v>-1</v>
      </c>
      <c r="O108" s="11"/>
      <c r="P108" s="6"/>
      <c r="Q108" s="2"/>
      <c r="R108" s="7">
        <f t="shared" si="73"/>
        <v>0</v>
      </c>
      <c r="S108" s="2"/>
      <c r="T108" s="6">
        <v>68.27</v>
      </c>
      <c r="U108" s="2"/>
      <c r="V108" s="7">
        <f t="shared" si="74"/>
        <v>2.052390380475447E-5</v>
      </c>
      <c r="W108" s="2"/>
      <c r="X108" s="6">
        <f t="shared" si="75"/>
        <v>-68.27</v>
      </c>
      <c r="Y108" s="2"/>
      <c r="Z108" s="7">
        <f t="shared" si="76"/>
        <v>-1</v>
      </c>
    </row>
    <row r="109" spans="1:26" s="53" customFormat="1" x14ac:dyDescent="0.25">
      <c r="A109" s="37"/>
      <c r="B109" s="37"/>
      <c r="C109" s="37"/>
      <c r="D109" s="1"/>
      <c r="E109" s="1"/>
      <c r="F109" s="5"/>
      <c r="G109" s="1"/>
      <c r="H109" s="1"/>
      <c r="I109" s="1"/>
      <c r="J109" s="5"/>
      <c r="K109" s="1"/>
      <c r="L109" s="1"/>
      <c r="M109" s="1"/>
      <c r="N109" s="5"/>
      <c r="O109" s="37"/>
      <c r="P109" s="1"/>
      <c r="Q109" s="1"/>
      <c r="R109" s="5"/>
      <c r="S109" s="1"/>
      <c r="T109" s="1"/>
      <c r="U109" s="1"/>
      <c r="V109" s="5"/>
      <c r="W109" s="1"/>
      <c r="X109" s="1"/>
      <c r="Y109" s="1"/>
      <c r="Z109" s="5"/>
    </row>
    <row r="110" spans="1:26" s="23" customFormat="1" collapsed="1" x14ac:dyDescent="0.25">
      <c r="A110" s="10"/>
      <c r="B110" s="25" t="s">
        <v>0</v>
      </c>
      <c r="C110" s="10"/>
      <c r="D110" s="4">
        <f>SUM(OSRRefD25x_0)</f>
        <v>95057.069999999992</v>
      </c>
      <c r="E110" s="4"/>
      <c r="F110" s="12">
        <f t="shared" ref="F110:F113" si="77">IF(D$12=0,0,D110/D$12)</f>
        <v>0.16448388872524389</v>
      </c>
      <c r="G110" s="4"/>
      <c r="H110" s="4">
        <f>SUM(OSRRefH25x_0)</f>
        <v>34844.32</v>
      </c>
      <c r="I110" s="4"/>
      <c r="J110" s="12">
        <f t="shared" ref="J110:J113" si="78">IF(H$12=0,0,H110/H$12)</f>
        <v>5.2761160728819312E-2</v>
      </c>
      <c r="K110" s="4"/>
      <c r="L110" s="4">
        <f t="shared" ref="L110:L113" si="79">+D110-H110</f>
        <v>60212.749999999993</v>
      </c>
      <c r="M110" s="4"/>
      <c r="N110" s="12">
        <f t="shared" ref="N110:N113" si="80">IF(H110=0,0,L110/H110)</f>
        <v>1.7280506550278494</v>
      </c>
      <c r="O110" s="10"/>
      <c r="P110" s="4">
        <f>SUM(OSRRefP25x_0)</f>
        <v>97383.17</v>
      </c>
      <c r="Q110" s="4"/>
      <c r="R110" s="12">
        <f t="shared" ref="R110:R113" si="81">IF(P$12=0,0,P110/P$12)</f>
        <v>3.4536386097276758E-2</v>
      </c>
      <c r="S110" s="4"/>
      <c r="T110" s="4">
        <f>SUM(OSRRefT25x_0)</f>
        <v>42069.83</v>
      </c>
      <c r="U110" s="4"/>
      <c r="V110" s="12">
        <f t="shared" ref="V110:V113" si="82">IF(T$12=0,0,T110/T$12)</f>
        <v>1.2647387490879944E-2</v>
      </c>
      <c r="W110" s="4"/>
      <c r="X110" s="4">
        <f t="shared" ref="X110:X113" si="83">+P110-T110</f>
        <v>55313.34</v>
      </c>
      <c r="Y110" s="4"/>
      <c r="Z110" s="12">
        <f t="shared" ref="Z110:Z113" si="84">IF(T110=0,0,X110/T110)</f>
        <v>1.314798277055077</v>
      </c>
    </row>
    <row r="111" spans="1:26" s="24" customFormat="1" hidden="1" outlineLevel="1" x14ac:dyDescent="0.25">
      <c r="A111" s="44"/>
      <c r="B111" s="11" t="str">
        <f>CONCATENATE("          ", "9150", " - ", "MISC. INCOME")</f>
        <v xml:space="preserve">          9150 - MISC. INCOME</v>
      </c>
      <c r="C111" s="11"/>
      <c r="D111" s="2">
        <f>--6747.28</f>
        <v>6747.28</v>
      </c>
      <c r="E111" s="2"/>
      <c r="F111" s="19">
        <f t="shared" si="77"/>
        <v>1.1675289936014898E-2</v>
      </c>
      <c r="G111" s="2"/>
      <c r="H111" s="2">
        <f>--34299.77</f>
        <v>34299.769999999997</v>
      </c>
      <c r="I111" s="2"/>
      <c r="J111" s="19">
        <f t="shared" si="78"/>
        <v>5.19366048162666E-2</v>
      </c>
      <c r="K111" s="2"/>
      <c r="L111" s="2">
        <f t="shared" si="79"/>
        <v>-27552.489999999998</v>
      </c>
      <c r="M111" s="2"/>
      <c r="N111" s="19">
        <f t="shared" si="80"/>
        <v>-0.80328497829577283</v>
      </c>
      <c r="O111" s="11"/>
      <c r="P111" s="2">
        <f>--9065.95</f>
        <v>9065.9500000000007</v>
      </c>
      <c r="Q111" s="2"/>
      <c r="R111" s="19">
        <f t="shared" si="81"/>
        <v>3.2151874860779973E-3</v>
      </c>
      <c r="S111" s="2"/>
      <c r="T111" s="2">
        <f>--40560.5</f>
        <v>40560.5</v>
      </c>
      <c r="U111" s="2"/>
      <c r="V111" s="19">
        <f t="shared" si="82"/>
        <v>1.2193639962981452E-2</v>
      </c>
      <c r="W111" s="2"/>
      <c r="X111" s="2">
        <f t="shared" si="83"/>
        <v>-31494.55</v>
      </c>
      <c r="Y111" s="2"/>
      <c r="Z111" s="19">
        <f t="shared" si="84"/>
        <v>-0.77648327806609874</v>
      </c>
    </row>
    <row r="112" spans="1:26" s="24" customFormat="1" hidden="1" outlineLevel="1" x14ac:dyDescent="0.25">
      <c r="A112" s="44"/>
      <c r="B112" s="11" t="str">
        <f>CONCATENATE("          ", "9151", " - ", "MISC. INCOME")</f>
        <v xml:space="preserve">          9151 - MISC. INCOME</v>
      </c>
      <c r="C112" s="11"/>
      <c r="D112" s="2">
        <f>--87676.2</f>
        <v>87676.2</v>
      </c>
      <c r="E112" s="2"/>
      <c r="F112" s="19">
        <f t="shared" si="77"/>
        <v>0.15171225375084912</v>
      </c>
      <c r="G112" s="2"/>
      <c r="H112" s="2">
        <f>0</f>
        <v>0</v>
      </c>
      <c r="I112" s="2"/>
      <c r="J112" s="19">
        <f t="shared" si="78"/>
        <v>0</v>
      </c>
      <c r="K112" s="2"/>
      <c r="L112" s="2">
        <f t="shared" si="79"/>
        <v>87676.2</v>
      </c>
      <c r="M112" s="2"/>
      <c r="N112" s="19">
        <f t="shared" si="80"/>
        <v>0</v>
      </c>
      <c r="O112" s="11"/>
      <c r="P112" s="2">
        <f>--87676.2</f>
        <v>87676.2</v>
      </c>
      <c r="Q112" s="2"/>
      <c r="R112" s="19">
        <f t="shared" si="81"/>
        <v>3.1093864522402141E-2</v>
      </c>
      <c r="S112" s="2"/>
      <c r="T112" s="2">
        <f>0</f>
        <v>0</v>
      </c>
      <c r="U112" s="2"/>
      <c r="V112" s="19">
        <f t="shared" si="82"/>
        <v>0</v>
      </c>
      <c r="W112" s="2"/>
      <c r="X112" s="2">
        <f t="shared" si="83"/>
        <v>87676.2</v>
      </c>
      <c r="Y112" s="2"/>
      <c r="Z112" s="19">
        <f t="shared" si="84"/>
        <v>0</v>
      </c>
    </row>
    <row r="113" spans="1:26" s="24" customFormat="1" hidden="1" outlineLevel="1" x14ac:dyDescent="0.25">
      <c r="A113" s="44"/>
      <c r="B113" s="11" t="str">
        <f>CONCATENATE("          ", "9152", " - ", "MISC. INCOME")</f>
        <v xml:space="preserve">          9152 - MISC. INCOME</v>
      </c>
      <c r="C113" s="11"/>
      <c r="D113" s="2">
        <f>--633.59</f>
        <v>633.59</v>
      </c>
      <c r="E113" s="2"/>
      <c r="F113" s="19">
        <f t="shared" si="77"/>
        <v>1.0963450383798625E-3</v>
      </c>
      <c r="G113" s="2"/>
      <c r="H113" s="2">
        <f>--544.55</f>
        <v>544.54999999999995</v>
      </c>
      <c r="I113" s="2"/>
      <c r="J113" s="19">
        <f t="shared" si="78"/>
        <v>8.2455591255270737E-4</v>
      </c>
      <c r="K113" s="2"/>
      <c r="L113" s="2">
        <f t="shared" si="79"/>
        <v>89.040000000000077</v>
      </c>
      <c r="M113" s="2"/>
      <c r="N113" s="19">
        <f t="shared" si="80"/>
        <v>0.16351115600036742</v>
      </c>
      <c r="O113" s="11"/>
      <c r="P113" s="2">
        <f>--641.02</f>
        <v>641.02</v>
      </c>
      <c r="Q113" s="2"/>
      <c r="R113" s="19">
        <f t="shared" si="81"/>
        <v>2.2733408879662006E-4</v>
      </c>
      <c r="S113" s="2"/>
      <c r="T113" s="2">
        <f>--1509.33</f>
        <v>1509.33</v>
      </c>
      <c r="U113" s="2"/>
      <c r="V113" s="19">
        <f t="shared" si="82"/>
        <v>4.5374752789849223E-4</v>
      </c>
      <c r="W113" s="2"/>
      <c r="X113" s="2">
        <f t="shared" si="83"/>
        <v>-868.31</v>
      </c>
      <c r="Y113" s="2"/>
      <c r="Z113" s="19">
        <f t="shared" si="84"/>
        <v>-0.57529499844301779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10"/>
      <c r="B115" s="26" t="s">
        <v>3</v>
      </c>
      <c r="C115" s="26"/>
      <c r="D115" s="21">
        <f>+D58-D60+D110</f>
        <v>219014.35000000027</v>
      </c>
      <c r="E115" s="13"/>
      <c r="F115" s="20">
        <f>IF(D$12=0,0,D115/D$12)</f>
        <v>0.3789758297266228</v>
      </c>
      <c r="G115" s="13"/>
      <c r="H115" s="21">
        <f>+H58-H60+H110</f>
        <v>137096.97999999992</v>
      </c>
      <c r="I115" s="13"/>
      <c r="J115" s="20">
        <f>IF(H$12=0,0,H115/H$12)</f>
        <v>0.20759181976332794</v>
      </c>
      <c r="K115" s="15"/>
      <c r="L115" s="21">
        <f>+D115-H115</f>
        <v>81917.370000000345</v>
      </c>
      <c r="M115" s="15"/>
      <c r="N115" s="20">
        <f>IF(H115=0,0,L115/H115)</f>
        <v>0.59751403714363649</v>
      </c>
      <c r="O115" s="25"/>
      <c r="P115" s="21">
        <f>+P58-P60+P110</f>
        <v>731876.56999999739</v>
      </c>
      <c r="Q115" s="13"/>
      <c r="R115" s="20">
        <f>IF(P$12=0,0,P115/P$12)</f>
        <v>0.2595558534094804</v>
      </c>
      <c r="S115" s="13"/>
      <c r="T115" s="21">
        <f>+T58-T60+T110</f>
        <v>747385.37000000128</v>
      </c>
      <c r="U115" s="13"/>
      <c r="V115" s="20">
        <f>IF(T$12=0,0,T115/T$12)</f>
        <v>0.22468530011660839</v>
      </c>
      <c r="W115" s="15"/>
      <c r="X115" s="21">
        <f>+P115-T115</f>
        <v>-15508.800000003888</v>
      </c>
      <c r="Y115" s="15"/>
      <c r="Z115" s="20">
        <f>IF(T115=0,0,X115/T115)</f>
        <v>-2.0750740678806518E-2</v>
      </c>
    </row>
    <row r="116" spans="1:26" x14ac:dyDescent="0.2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51"/>
      <c r="B117" s="10" t="s">
        <v>13</v>
      </c>
      <c r="C117" s="10"/>
      <c r="D117" s="4">
        <v>23362.5</v>
      </c>
      <c r="E117" s="4"/>
      <c r="F117" s="12">
        <f>IF(D$12=0,0,D117/D$12)</f>
        <v>4.0425765809355481E-2</v>
      </c>
      <c r="G117" s="4"/>
      <c r="H117" s="4">
        <v>23357.11</v>
      </c>
      <c r="I117" s="4"/>
      <c r="J117" s="12">
        <f>IF(H$12=0,0,H117/H$12)</f>
        <v>3.5367263154244731E-2</v>
      </c>
      <c r="K117" s="4"/>
      <c r="L117" s="4">
        <f>+D117-H117</f>
        <v>5.3899999999994179</v>
      </c>
      <c r="M117" s="4"/>
      <c r="N117" s="12">
        <f>IF(H117=0,0,L117/H117)</f>
        <v>2.3076485061719612E-4</v>
      </c>
      <c r="O117" s="10"/>
      <c r="P117" s="4">
        <v>302876.01</v>
      </c>
      <c r="Q117" s="4"/>
      <c r="R117" s="12">
        <f>IF(P$12=0,0,P117/P$12)</f>
        <v>0.10741325036926459</v>
      </c>
      <c r="S117" s="4"/>
      <c r="T117" s="4">
        <v>295537.93</v>
      </c>
      <c r="U117" s="4"/>
      <c r="V117" s="12">
        <f>IF(T$12=0,0,T117/T$12)</f>
        <v>8.8847107748297349E-2</v>
      </c>
      <c r="W117" s="4"/>
      <c r="X117" s="4">
        <f>+P117-T117</f>
        <v>7338.0800000000163</v>
      </c>
      <c r="Y117" s="4"/>
      <c r="Z117" s="12">
        <f>IF(T117=0,0,X117/T117)</f>
        <v>2.482957094542828E-2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6" t="s">
        <v>4</v>
      </c>
      <c r="C119" s="26"/>
      <c r="D119" s="35">
        <f>+D115-D117</f>
        <v>195651.85000000027</v>
      </c>
      <c r="E119" s="13"/>
      <c r="F119" s="30">
        <f>IF(D$12=0,0,D119/D$12)</f>
        <v>0.33855006391726733</v>
      </c>
      <c r="G119" s="13"/>
      <c r="H119" s="35">
        <f>+H115-H117</f>
        <v>113739.86999999992</v>
      </c>
      <c r="I119" s="13"/>
      <c r="J119" s="30">
        <f>IF(H$12=0,0,H119/H$12)</f>
        <v>0.1722245566090832</v>
      </c>
      <c r="K119" s="15"/>
      <c r="L119" s="35">
        <f>D119-H119</f>
        <v>81911.980000000345</v>
      </c>
      <c r="M119" s="15"/>
      <c r="N119" s="30">
        <f>IF(H119=0,0,L119/H119)</f>
        <v>0.720169453332419</v>
      </c>
      <c r="O119" s="25"/>
      <c r="P119" s="35">
        <f>+P115-P117</f>
        <v>429000.55999999738</v>
      </c>
      <c r="Q119" s="13"/>
      <c r="R119" s="30">
        <f>IF(P$12=0,0,P119/P$12)</f>
        <v>0.15214260304021582</v>
      </c>
      <c r="S119" s="13"/>
      <c r="T119" s="35">
        <f>+T115-T117</f>
        <v>451847.44000000128</v>
      </c>
      <c r="U119" s="13"/>
      <c r="V119" s="30">
        <f>IF(T$12=0,0,T119/T$12)</f>
        <v>0.13583819236831102</v>
      </c>
      <c r="W119" s="15"/>
      <c r="X119" s="35">
        <f>P119-T119</f>
        <v>-22846.880000003905</v>
      </c>
      <c r="Y119" s="15"/>
      <c r="Z119" s="30">
        <f>IF(T119=0,0,X119/T119)</f>
        <v>-5.0563260909487151E-2</v>
      </c>
    </row>
    <row r="120" spans="1:26" ht="15.75" thickTop="1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6" t="s">
        <v>5</v>
      </c>
      <c r="C122" s="26"/>
      <c r="D122" s="36">
        <f>SUM(D119:D121)</f>
        <v>195651.85000000027</v>
      </c>
      <c r="E122" s="13"/>
      <c r="F122" s="31">
        <f>IF(D$12=0,0,D122/D$12)</f>
        <v>0.33855006391726733</v>
      </c>
      <c r="G122" s="13"/>
      <c r="H122" s="36">
        <f>SUM(H119:H121)</f>
        <v>113739.86999999992</v>
      </c>
      <c r="I122" s="13"/>
      <c r="J122" s="31">
        <f>IF(H$12=0,0,H122/H$12)</f>
        <v>0.1722245566090832</v>
      </c>
      <c r="K122" s="15"/>
      <c r="L122" s="36">
        <f>+D122-H122</f>
        <v>81911.980000000345</v>
      </c>
      <c r="M122" s="15"/>
      <c r="N122" s="31">
        <f>IF(H122=0,0,L122/H122)</f>
        <v>0.720169453332419</v>
      </c>
      <c r="O122" s="25"/>
      <c r="P122" s="36">
        <f>SUM(P119:P121)</f>
        <v>429000.55999999738</v>
      </c>
      <c r="Q122" s="13"/>
      <c r="R122" s="31">
        <f>IF(P$12=0,0,P122/P$12)</f>
        <v>0.15214260304021582</v>
      </c>
      <c r="S122" s="13"/>
      <c r="T122" s="36">
        <f>SUM(T119:T121)</f>
        <v>451847.44000000128</v>
      </c>
      <c r="U122" s="13"/>
      <c r="V122" s="31">
        <f>IF(T$12=0,0,T122/T$12)</f>
        <v>0.13583819236831102</v>
      </c>
      <c r="W122" s="15"/>
      <c r="X122" s="36">
        <f>+P122-T122</f>
        <v>-22846.880000003905</v>
      </c>
      <c r="Y122" s="15"/>
      <c r="Z122" s="31">
        <f>IF(T122=0,0,X122/T122)</f>
        <v>-5.0563260909487151E-2</v>
      </c>
    </row>
    <row r="123" spans="1:26" ht="15.75" thickTop="1" x14ac:dyDescent="0.25">
      <c r="A123" s="9"/>
      <c r="C123" s="9"/>
      <c r="D123" s="18"/>
      <c r="E123" s="18"/>
      <c r="G123" s="18"/>
      <c r="H123" s="18"/>
      <c r="I123" s="18"/>
      <c r="J123" s="42"/>
      <c r="K123" s="18"/>
      <c r="L123" s="18"/>
      <c r="M123" s="18"/>
      <c r="P123" s="18"/>
      <c r="Q123" s="18"/>
      <c r="R123" s="42"/>
      <c r="S123" s="18"/>
      <c r="T123" s="18"/>
      <c r="U123" s="18"/>
      <c r="V123" s="42"/>
      <c r="W123" s="18"/>
      <c r="X123" s="18"/>
    </row>
    <row r="124" spans="1:26" x14ac:dyDescent="0.25">
      <c r="A124" s="9"/>
      <c r="B124" s="55">
        <v>43756.462525150462</v>
      </c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A125" s="9"/>
      <c r="B125" s="56" t="s">
        <v>313</v>
      </c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A126" s="9"/>
      <c r="B126" s="57"/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","311", " - ", "Textbooks")</f>
        <v>Department 311 - Textbooks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394529.24999999994</v>
      </c>
      <c r="E12" s="4"/>
      <c r="F12" s="12"/>
      <c r="G12" s="4"/>
      <c r="H12" s="4">
        <f>SUM(OSRRefH13x_0)</f>
        <v>445302.96999999991</v>
      </c>
      <c r="I12" s="4"/>
      <c r="J12" s="12"/>
      <c r="K12" s="4"/>
      <c r="L12" s="4">
        <f t="shared" ref="L12:L38" si="0">+D12-H12</f>
        <v>-50773.719999999972</v>
      </c>
      <c r="M12" s="4"/>
      <c r="N12" s="12">
        <f t="shared" ref="N12:N38" si="1">IF(H12=0,0,L12/H12)</f>
        <v>-0.11402061836686152</v>
      </c>
      <c r="O12" s="10"/>
      <c r="P12" s="4">
        <f>SUM(OSRRefP13x_0)</f>
        <v>1929680.19</v>
      </c>
      <c r="Q12" s="4"/>
      <c r="R12" s="12"/>
      <c r="S12" s="4"/>
      <c r="T12" s="4">
        <f>SUM(OSRRefT13x_0)</f>
        <v>2264218.0100000002</v>
      </c>
      <c r="U12" s="4"/>
      <c r="V12" s="12"/>
      <c r="W12" s="4"/>
      <c r="X12" s="4">
        <f t="shared" ref="X12:X38" si="2">+P12-T12</f>
        <v>-334537.8200000003</v>
      </c>
      <c r="Y12" s="4"/>
      <c r="Z12" s="12">
        <f t="shared" ref="Z12:Z38" si="3">IF(T12=0,0,X12/T12)</f>
        <v>-0.14774982732338582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--267141.57</f>
        <v>267141.57</v>
      </c>
      <c r="E13" s="2"/>
      <c r="F13" s="19"/>
      <c r="G13" s="2"/>
      <c r="H13" s="2">
        <f>--306266.43</f>
        <v>306266.43</v>
      </c>
      <c r="I13" s="2"/>
      <c r="J13" s="19"/>
      <c r="K13" s="2"/>
      <c r="L13" s="2">
        <f t="shared" si="0"/>
        <v>-39124.859999999986</v>
      </c>
      <c r="M13" s="2"/>
      <c r="N13" s="19">
        <f t="shared" si="1"/>
        <v>-0.12774779135930761</v>
      </c>
      <c r="O13" s="11"/>
      <c r="P13" s="2">
        <f>--1212249.81</f>
        <v>1212249.81</v>
      </c>
      <c r="Q13" s="2"/>
      <c r="R13" s="19"/>
      <c r="S13" s="2"/>
      <c r="T13" s="2">
        <f>--1489473.97</f>
        <v>1489473.97</v>
      </c>
      <c r="U13" s="2"/>
      <c r="V13" s="19"/>
      <c r="W13" s="2"/>
      <c r="X13" s="2">
        <f t="shared" si="2"/>
        <v>-277224.15999999992</v>
      </c>
      <c r="Y13" s="2"/>
      <c r="Z13" s="19">
        <f t="shared" si="3"/>
        <v>-0.18612219185005288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--54213</f>
        <v>54213</v>
      </c>
      <c r="E14" s="2"/>
      <c r="F14" s="19"/>
      <c r="G14" s="2"/>
      <c r="H14" s="2">
        <f>--52358.45</f>
        <v>52358.45</v>
      </c>
      <c r="I14" s="2"/>
      <c r="J14" s="19"/>
      <c r="K14" s="2"/>
      <c r="L14" s="2">
        <f t="shared" si="0"/>
        <v>1854.5500000000029</v>
      </c>
      <c r="M14" s="2"/>
      <c r="N14" s="19">
        <f t="shared" si="1"/>
        <v>3.5420261676959552E-2</v>
      </c>
      <c r="O14" s="11"/>
      <c r="P14" s="2">
        <f>--350637.45</f>
        <v>350637.45</v>
      </c>
      <c r="Q14" s="2"/>
      <c r="R14" s="19"/>
      <c r="S14" s="2"/>
      <c r="T14" s="2">
        <f>--353737.85</f>
        <v>353737.85</v>
      </c>
      <c r="U14" s="2"/>
      <c r="V14" s="19"/>
      <c r="W14" s="2"/>
      <c r="X14" s="2">
        <f t="shared" si="2"/>
        <v>-3100.3999999999651</v>
      </c>
      <c r="Y14" s="2"/>
      <c r="Z14" s="19">
        <f t="shared" si="3"/>
        <v>-8.7646826597718198E-3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--2800.64</f>
        <v>2800.64</v>
      </c>
      <c r="E15" s="2"/>
      <c r="F15" s="19"/>
      <c r="G15" s="2"/>
      <c r="H15" s="2">
        <f>--4333.45</f>
        <v>4333.45</v>
      </c>
      <c r="I15" s="2"/>
      <c r="J15" s="19"/>
      <c r="K15" s="2"/>
      <c r="L15" s="2">
        <f t="shared" si="0"/>
        <v>-1532.81</v>
      </c>
      <c r="M15" s="2"/>
      <c r="N15" s="19">
        <f t="shared" si="1"/>
        <v>-0.35371586149603662</v>
      </c>
      <c r="O15" s="11"/>
      <c r="P15" s="2">
        <f>--15536.69</f>
        <v>15536.69</v>
      </c>
      <c r="Q15" s="2"/>
      <c r="R15" s="19"/>
      <c r="S15" s="2"/>
      <c r="T15" s="2">
        <f>--9859.25</f>
        <v>9859.25</v>
      </c>
      <c r="U15" s="2"/>
      <c r="V15" s="19"/>
      <c r="W15" s="2"/>
      <c r="X15" s="2">
        <f t="shared" si="2"/>
        <v>5677.4400000000005</v>
      </c>
      <c r="Y15" s="2"/>
      <c r="Z15" s="19">
        <f t="shared" si="3"/>
        <v>0.57584907574105537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--7290.37</f>
        <v>7290.37</v>
      </c>
      <c r="E16" s="2"/>
      <c r="F16" s="19"/>
      <c r="G16" s="2"/>
      <c r="H16" s="2">
        <f>--4736.66</f>
        <v>4736.66</v>
      </c>
      <c r="I16" s="2"/>
      <c r="J16" s="19"/>
      <c r="K16" s="2"/>
      <c r="L16" s="2">
        <f t="shared" si="0"/>
        <v>2553.71</v>
      </c>
      <c r="M16" s="2"/>
      <c r="N16" s="19">
        <f t="shared" si="1"/>
        <v>0.53913728238885628</v>
      </c>
      <c r="O16" s="11"/>
      <c r="P16" s="2">
        <f>--29700.44</f>
        <v>29700.44</v>
      </c>
      <c r="Q16" s="2"/>
      <c r="R16" s="19"/>
      <c r="S16" s="2"/>
      <c r="T16" s="2">
        <f>--42099.8</f>
        <v>42099.8</v>
      </c>
      <c r="U16" s="2"/>
      <c r="V16" s="19"/>
      <c r="W16" s="2"/>
      <c r="X16" s="2">
        <f t="shared" si="2"/>
        <v>-12399.360000000004</v>
      </c>
      <c r="Y16" s="2"/>
      <c r="Z16" s="19">
        <f t="shared" si="3"/>
        <v>-0.29452301436111344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--9.6</f>
        <v>9.6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9.6</v>
      </c>
      <c r="M17" s="2"/>
      <c r="N17" s="19">
        <f t="shared" si="1"/>
        <v>0</v>
      </c>
      <c r="O17" s="11"/>
      <c r="P17" s="2">
        <f>--9.6</f>
        <v>9.6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9.6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--29.95</f>
        <v>29.95</v>
      </c>
      <c r="E18" s="2"/>
      <c r="F18" s="19"/>
      <c r="G18" s="2"/>
      <c r="H18" s="2">
        <f>--187.31</f>
        <v>187.31</v>
      </c>
      <c r="I18" s="2"/>
      <c r="J18" s="19"/>
      <c r="K18" s="2"/>
      <c r="L18" s="2">
        <f t="shared" si="0"/>
        <v>-157.36000000000001</v>
      </c>
      <c r="M18" s="2"/>
      <c r="N18" s="19">
        <f t="shared" si="1"/>
        <v>-0.84010463936789281</v>
      </c>
      <c r="O18" s="11"/>
      <c r="P18" s="2">
        <f>--140.76</f>
        <v>140.76</v>
      </c>
      <c r="Q18" s="2"/>
      <c r="R18" s="19"/>
      <c r="S18" s="2"/>
      <c r="T18" s="2">
        <f>--1272.98</f>
        <v>1272.98</v>
      </c>
      <c r="U18" s="2"/>
      <c r="V18" s="19"/>
      <c r="W18" s="2"/>
      <c r="X18" s="2">
        <f t="shared" si="2"/>
        <v>-1132.22</v>
      </c>
      <c r="Y18" s="2"/>
      <c r="Z18" s="19">
        <f t="shared" si="3"/>
        <v>-0.88942481421546293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--97.44</f>
        <v>97.44</v>
      </c>
      <c r="E19" s="2"/>
      <c r="F19" s="19"/>
      <c r="G19" s="2"/>
      <c r="H19" s="2">
        <f>--240.36</f>
        <v>240.36</v>
      </c>
      <c r="I19" s="2"/>
      <c r="J19" s="19"/>
      <c r="K19" s="2"/>
      <c r="L19" s="2">
        <f t="shared" si="0"/>
        <v>-142.92000000000002</v>
      </c>
      <c r="M19" s="2"/>
      <c r="N19" s="19">
        <f t="shared" si="1"/>
        <v>-0.59460808786819774</v>
      </c>
      <c r="O19" s="11"/>
      <c r="P19" s="2">
        <f>--523.09</f>
        <v>523.09</v>
      </c>
      <c r="Q19" s="2"/>
      <c r="R19" s="19"/>
      <c r="S19" s="2"/>
      <c r="T19" s="2">
        <f>--587.87</f>
        <v>587.87</v>
      </c>
      <c r="U19" s="2"/>
      <c r="V19" s="19"/>
      <c r="W19" s="2"/>
      <c r="X19" s="2">
        <f t="shared" si="2"/>
        <v>-64.779999999999973</v>
      </c>
      <c r="Y19" s="2"/>
      <c r="Z19" s="19">
        <f t="shared" si="3"/>
        <v>-0.11019443074149042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--696.02</f>
        <v>696.02</v>
      </c>
      <c r="E20" s="2"/>
      <c r="F20" s="19"/>
      <c r="G20" s="2"/>
      <c r="H20" s="2">
        <f>--796.54</f>
        <v>796.54</v>
      </c>
      <c r="I20" s="2"/>
      <c r="J20" s="19"/>
      <c r="K20" s="2"/>
      <c r="L20" s="2">
        <f t="shared" si="0"/>
        <v>-100.51999999999998</v>
      </c>
      <c r="M20" s="2"/>
      <c r="N20" s="19">
        <f t="shared" si="1"/>
        <v>-0.1261957968212519</v>
      </c>
      <c r="O20" s="11"/>
      <c r="P20" s="2">
        <f>--2060.15</f>
        <v>2060.15</v>
      </c>
      <c r="Q20" s="2"/>
      <c r="R20" s="19"/>
      <c r="S20" s="2"/>
      <c r="T20" s="2">
        <f>--2826.61</f>
        <v>2826.61</v>
      </c>
      <c r="U20" s="2"/>
      <c r="V20" s="19"/>
      <c r="W20" s="2"/>
      <c r="X20" s="2">
        <f t="shared" si="2"/>
        <v>-766.46</v>
      </c>
      <c r="Y20" s="2"/>
      <c r="Z20" s="19">
        <f t="shared" si="3"/>
        <v>-0.27115873785205602</v>
      </c>
    </row>
    <row r="21" spans="1:26" s="24" customFormat="1" hidden="1" outlineLevel="1" x14ac:dyDescent="0.25">
      <c r="A21" s="44"/>
      <c r="B21" s="11" t="str">
        <f>CONCATENATE("          ", "4101", " - ", "NON-TAXABLE SALES-NEW TEXT")</f>
        <v xml:space="preserve">          4101 - NON-TAXABLE SALES-NEW TEXT</v>
      </c>
      <c r="C21" s="11"/>
      <c r="D21" s="2">
        <f>--27999.53</f>
        <v>27999.53</v>
      </c>
      <c r="E21" s="2"/>
      <c r="F21" s="19"/>
      <c r="G21" s="2"/>
      <c r="H21" s="2">
        <f>--51572.49</f>
        <v>51572.49</v>
      </c>
      <c r="I21" s="2"/>
      <c r="J21" s="19"/>
      <c r="K21" s="2"/>
      <c r="L21" s="2">
        <f t="shared" si="0"/>
        <v>-23572.959999999999</v>
      </c>
      <c r="M21" s="2"/>
      <c r="N21" s="19">
        <f t="shared" si="1"/>
        <v>-0.45708399962848412</v>
      </c>
      <c r="O21" s="11"/>
      <c r="P21" s="2">
        <f>--83892.55</f>
        <v>83892.55</v>
      </c>
      <c r="Q21" s="2"/>
      <c r="R21" s="19"/>
      <c r="S21" s="2"/>
      <c r="T21" s="2">
        <f>--141019.7</f>
        <v>141019.70000000001</v>
      </c>
      <c r="U21" s="2"/>
      <c r="V21" s="19"/>
      <c r="W21" s="2"/>
      <c r="X21" s="2">
        <f t="shared" si="2"/>
        <v>-57127.150000000009</v>
      </c>
      <c r="Y21" s="2"/>
      <c r="Z21" s="19">
        <f t="shared" si="3"/>
        <v>-0.40510049305168006</v>
      </c>
    </row>
    <row r="22" spans="1:26" s="24" customFormat="1" hidden="1" outlineLevel="1" x14ac:dyDescent="0.25">
      <c r="A22" s="44"/>
      <c r="B22" s="11" t="str">
        <f>CONCATENATE("          ", "4102", " - ", "NON-TAXABLE SALES-USED TEXT")</f>
        <v xml:space="preserve">          4102 - NON-TAXABLE SALES-USED TEXT</v>
      </c>
      <c r="C22" s="11"/>
      <c r="D22" s="2">
        <f>--3969.18</f>
        <v>3969.18</v>
      </c>
      <c r="E22" s="2"/>
      <c r="F22" s="19"/>
      <c r="G22" s="2"/>
      <c r="H22" s="2">
        <f>--7949.5</f>
        <v>7949.5</v>
      </c>
      <c r="I22" s="2"/>
      <c r="J22" s="19"/>
      <c r="K22" s="2"/>
      <c r="L22" s="2">
        <f t="shared" si="0"/>
        <v>-3980.32</v>
      </c>
      <c r="M22" s="2"/>
      <c r="N22" s="19">
        <f t="shared" si="1"/>
        <v>-0.50070067299830179</v>
      </c>
      <c r="O22" s="11"/>
      <c r="P22" s="2">
        <f>--36443.51</f>
        <v>36443.51</v>
      </c>
      <c r="Q22" s="2"/>
      <c r="R22" s="19"/>
      <c r="S22" s="2"/>
      <c r="T22" s="2">
        <f>--49251.93</f>
        <v>49251.93</v>
      </c>
      <c r="U22" s="2"/>
      <c r="V22" s="19"/>
      <c r="W22" s="2"/>
      <c r="X22" s="2">
        <f t="shared" si="2"/>
        <v>-12808.419999999998</v>
      </c>
      <c r="Y22" s="2"/>
      <c r="Z22" s="19">
        <f t="shared" si="3"/>
        <v>-0.26005925046998152</v>
      </c>
    </row>
    <row r="23" spans="1:26" s="24" customFormat="1" hidden="1" outlineLevel="1" x14ac:dyDescent="0.25">
      <c r="A23" s="44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-144.99</f>
        <v>-144.99</v>
      </c>
      <c r="E23" s="2"/>
      <c r="F23" s="19"/>
      <c r="G23" s="2"/>
      <c r="H23" s="2">
        <f>--339.9</f>
        <v>339.9</v>
      </c>
      <c r="I23" s="2"/>
      <c r="J23" s="19"/>
      <c r="K23" s="2"/>
      <c r="L23" s="2">
        <f t="shared" si="0"/>
        <v>-484.89</v>
      </c>
      <c r="M23" s="2"/>
      <c r="N23" s="19">
        <f t="shared" si="1"/>
        <v>-1.4265666372462489</v>
      </c>
      <c r="O23" s="11"/>
      <c r="P23" s="2">
        <f>--329.98</f>
        <v>329.98</v>
      </c>
      <c r="Q23" s="2"/>
      <c r="R23" s="19"/>
      <c r="S23" s="2"/>
      <c r="T23" s="2">
        <f>--509.85</f>
        <v>509.85</v>
      </c>
      <c r="U23" s="2"/>
      <c r="V23" s="19"/>
      <c r="W23" s="2"/>
      <c r="X23" s="2">
        <f t="shared" si="2"/>
        <v>-179.87</v>
      </c>
      <c r="Y23" s="2"/>
      <c r="Z23" s="19">
        <f t="shared" si="3"/>
        <v>-0.35279003628518191</v>
      </c>
    </row>
    <row r="24" spans="1:26" s="24" customFormat="1" hidden="1" outlineLevel="1" x14ac:dyDescent="0.25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--59065.75</f>
        <v>59065.75</v>
      </c>
      <c r="E24" s="2"/>
      <c r="F24" s="19"/>
      <c r="G24" s="2"/>
      <c r="H24" s="2">
        <f>--69600.97</f>
        <v>69600.97</v>
      </c>
      <c r="I24" s="2"/>
      <c r="J24" s="19"/>
      <c r="K24" s="2"/>
      <c r="L24" s="2">
        <f t="shared" si="0"/>
        <v>-10535.220000000001</v>
      </c>
      <c r="M24" s="2"/>
      <c r="N24" s="19">
        <f t="shared" si="1"/>
        <v>-0.15136599389347594</v>
      </c>
      <c r="O24" s="11"/>
      <c r="P24" s="2">
        <f>--318933.82</f>
        <v>318933.82</v>
      </c>
      <c r="Q24" s="2"/>
      <c r="R24" s="19"/>
      <c r="S24" s="2"/>
      <c r="T24" s="2">
        <f>--334741.53</f>
        <v>334741.53000000003</v>
      </c>
      <c r="U24" s="2"/>
      <c r="V24" s="19"/>
      <c r="W24" s="2"/>
      <c r="X24" s="2">
        <f t="shared" si="2"/>
        <v>-15807.710000000021</v>
      </c>
      <c r="Y24" s="2"/>
      <c r="Z24" s="19">
        <f t="shared" si="3"/>
        <v>-4.7223629526936858E-2</v>
      </c>
    </row>
    <row r="25" spans="1:26" s="24" customFormat="1" hidden="1" outlineLevel="1" x14ac:dyDescent="0.25">
      <c r="A25" s="44"/>
      <c r="B25" s="11" t="str">
        <f>CONCATENATE("          ", "4111", " - ", "NON-TAXABLE SALES-NO VALUE TEX")</f>
        <v xml:space="preserve">          4111 - NON-TAXABLE SALES-NO VALUE TEX</v>
      </c>
      <c r="C25" s="11"/>
      <c r="D25" s="2">
        <f>--594.06</f>
        <v>594.05999999999995</v>
      </c>
      <c r="E25" s="2"/>
      <c r="F25" s="19"/>
      <c r="G25" s="2"/>
      <c r="H25" s="2">
        <f>--1921.77</f>
        <v>1921.77</v>
      </c>
      <c r="I25" s="2"/>
      <c r="J25" s="19"/>
      <c r="K25" s="2"/>
      <c r="L25" s="2">
        <f t="shared" si="0"/>
        <v>-1327.71</v>
      </c>
      <c r="M25" s="2"/>
      <c r="N25" s="19">
        <f t="shared" si="1"/>
        <v>-0.69087872117891325</v>
      </c>
      <c r="O25" s="11"/>
      <c r="P25" s="2">
        <f>--6342.17</f>
        <v>6342.17</v>
      </c>
      <c r="Q25" s="2"/>
      <c r="R25" s="19"/>
      <c r="S25" s="2"/>
      <c r="T25" s="2">
        <f>--8589.74</f>
        <v>8589.74</v>
      </c>
      <c r="U25" s="2"/>
      <c r="V25" s="19"/>
      <c r="W25" s="2"/>
      <c r="X25" s="2">
        <f t="shared" si="2"/>
        <v>-2247.5699999999997</v>
      </c>
      <c r="Y25" s="2"/>
      <c r="Z25" s="19">
        <f t="shared" si="3"/>
        <v>-0.26165751233448276</v>
      </c>
    </row>
    <row r="26" spans="1:26" s="24" customFormat="1" hidden="1" outlineLevel="1" x14ac:dyDescent="0.2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0</f>
        <v>0</v>
      </c>
      <c r="E26" s="2"/>
      <c r="F26" s="19"/>
      <c r="G26" s="2"/>
      <c r="H26" s="2">
        <f t="shared" ref="H26:H27" si="4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--1146.72</f>
        <v>1146.72</v>
      </c>
      <c r="Q26" s="2"/>
      <c r="R26" s="19"/>
      <c r="S26" s="2"/>
      <c r="T26" s="2">
        <f>--38.23</f>
        <v>38.229999999999997</v>
      </c>
      <c r="U26" s="2"/>
      <c r="V26" s="19"/>
      <c r="W26" s="2"/>
      <c r="X26" s="2">
        <f t="shared" si="2"/>
        <v>1108.49</v>
      </c>
      <c r="Y26" s="2"/>
      <c r="Z26" s="19">
        <f t="shared" si="3"/>
        <v>28.995291655767723</v>
      </c>
    </row>
    <row r="27" spans="1:26" s="24" customFormat="1" hidden="1" outlineLevel="1" x14ac:dyDescent="0.25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--6.95</f>
        <v>6.95</v>
      </c>
      <c r="E27" s="2"/>
      <c r="F27" s="19"/>
      <c r="G27" s="2"/>
      <c r="H27" s="2">
        <f t="shared" si="4"/>
        <v>0</v>
      </c>
      <c r="I27" s="2"/>
      <c r="J27" s="19"/>
      <c r="K27" s="2"/>
      <c r="L27" s="2">
        <f t="shared" si="0"/>
        <v>6.95</v>
      </c>
      <c r="M27" s="2"/>
      <c r="N27" s="19">
        <f t="shared" si="1"/>
        <v>0</v>
      </c>
      <c r="O27" s="11"/>
      <c r="P27" s="2">
        <f>--20.92</f>
        <v>20.92</v>
      </c>
      <c r="Q27" s="2"/>
      <c r="R27" s="19"/>
      <c r="S27" s="2"/>
      <c r="T27" s="2">
        <f>--111.41</f>
        <v>111.41</v>
      </c>
      <c r="U27" s="2"/>
      <c r="V27" s="19"/>
      <c r="W27" s="2"/>
      <c r="X27" s="2">
        <f t="shared" si="2"/>
        <v>-90.49</v>
      </c>
      <c r="Y27" s="2"/>
      <c r="Z27" s="19">
        <f t="shared" si="3"/>
        <v>-0.81222511444215062</v>
      </c>
    </row>
    <row r="28" spans="1:26" s="24" customFormat="1" hidden="1" outlineLevel="1" x14ac:dyDescent="0.25">
      <c r="A28" s="44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-14069.34</f>
        <v>-14069.34</v>
      </c>
      <c r="E28" s="2"/>
      <c r="F28" s="19"/>
      <c r="G28" s="2"/>
      <c r="H28" s="2">
        <f>-24266.28</f>
        <v>-24266.28</v>
      </c>
      <c r="I28" s="2"/>
      <c r="J28" s="19"/>
      <c r="K28" s="2"/>
      <c r="L28" s="2">
        <f t="shared" si="0"/>
        <v>10196.939999999999</v>
      </c>
      <c r="M28" s="2"/>
      <c r="N28" s="19">
        <f t="shared" si="1"/>
        <v>-0.42021026708667331</v>
      </c>
      <c r="O28" s="11"/>
      <c r="P28" s="2">
        <f>-73239.75</f>
        <v>-73239.75</v>
      </c>
      <c r="Q28" s="2"/>
      <c r="R28" s="19"/>
      <c r="S28" s="2"/>
      <c r="T28" s="2">
        <f>-98792.22</f>
        <v>-98792.22</v>
      </c>
      <c r="U28" s="2"/>
      <c r="V28" s="19"/>
      <c r="W28" s="2"/>
      <c r="X28" s="2">
        <f t="shared" si="2"/>
        <v>25552.47</v>
      </c>
      <c r="Y28" s="2"/>
      <c r="Z28" s="19">
        <f t="shared" si="3"/>
        <v>-0.25864860613517948</v>
      </c>
    </row>
    <row r="29" spans="1:26" s="24" customFormat="1" hidden="1" outlineLevel="1" x14ac:dyDescent="0.25">
      <c r="A29" s="44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-2096.65</f>
        <v>-2096.65</v>
      </c>
      <c r="E29" s="2"/>
      <c r="F29" s="19"/>
      <c r="G29" s="2"/>
      <c r="H29" s="2">
        <f>-3228.4</f>
        <v>-3228.4</v>
      </c>
      <c r="I29" s="2"/>
      <c r="J29" s="19"/>
      <c r="K29" s="2"/>
      <c r="L29" s="2">
        <f t="shared" si="0"/>
        <v>1131.75</v>
      </c>
      <c r="M29" s="2"/>
      <c r="N29" s="19">
        <f t="shared" si="1"/>
        <v>-0.35056064923801261</v>
      </c>
      <c r="O29" s="11"/>
      <c r="P29" s="2">
        <f>-23351.1</f>
        <v>-23351.1</v>
      </c>
      <c r="Q29" s="2"/>
      <c r="R29" s="19"/>
      <c r="S29" s="2"/>
      <c r="T29" s="2">
        <f>-26655.65</f>
        <v>-26655.65</v>
      </c>
      <c r="U29" s="2"/>
      <c r="V29" s="19"/>
      <c r="W29" s="2"/>
      <c r="X29" s="2">
        <f t="shared" si="2"/>
        <v>3304.5500000000029</v>
      </c>
      <c r="Y29" s="2"/>
      <c r="Z29" s="19">
        <f t="shared" si="3"/>
        <v>-0.12397184086675818</v>
      </c>
    </row>
    <row r="30" spans="1:26" s="24" customFormat="1" hidden="1" outlineLevel="1" x14ac:dyDescent="0.25">
      <c r="A30" s="44"/>
      <c r="B30" s="11" t="str">
        <f>CONCATENATE("          ", "4203", " - ", "SALES RETURN TAXABLE-RENTAL TE")</f>
        <v xml:space="preserve">          4203 - SALES RETURN TAXABLE-RENTAL TE</v>
      </c>
      <c r="C30" s="11"/>
      <c r="D30" s="2">
        <f>-144.99</f>
        <v>-144.99</v>
      </c>
      <c r="E30" s="2"/>
      <c r="F30" s="19"/>
      <c r="G30" s="2"/>
      <c r="H30" s="2">
        <f>-1529.55</f>
        <v>-1529.55</v>
      </c>
      <c r="I30" s="2"/>
      <c r="J30" s="19"/>
      <c r="K30" s="2"/>
      <c r="L30" s="2">
        <f t="shared" si="0"/>
        <v>1384.56</v>
      </c>
      <c r="M30" s="2"/>
      <c r="N30" s="19">
        <f t="shared" si="1"/>
        <v>-0.90520741394527804</v>
      </c>
      <c r="O30" s="11"/>
      <c r="P30" s="2">
        <f>-144.99</f>
        <v>-144.99</v>
      </c>
      <c r="Q30" s="2"/>
      <c r="R30" s="19"/>
      <c r="S30" s="2"/>
      <c r="T30" s="2">
        <f>-1529.55</f>
        <v>-1529.55</v>
      </c>
      <c r="U30" s="2"/>
      <c r="V30" s="19"/>
      <c r="W30" s="2"/>
      <c r="X30" s="2">
        <f t="shared" si="2"/>
        <v>1384.56</v>
      </c>
      <c r="Y30" s="2"/>
      <c r="Z30" s="19">
        <f t="shared" si="3"/>
        <v>-0.90520741394527804</v>
      </c>
    </row>
    <row r="31" spans="1:26" s="24" customFormat="1" hidden="1" outlineLevel="1" x14ac:dyDescent="0.25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>-4208.35</f>
        <v>-4208.3500000000004</v>
      </c>
      <c r="E31" s="2"/>
      <c r="F31" s="19"/>
      <c r="G31" s="2"/>
      <c r="H31" s="2">
        <f>-2237.91</f>
        <v>-2237.91</v>
      </c>
      <c r="I31" s="2"/>
      <c r="J31" s="19"/>
      <c r="K31" s="2"/>
      <c r="L31" s="2">
        <f t="shared" si="0"/>
        <v>-1970.4400000000005</v>
      </c>
      <c r="M31" s="2"/>
      <c r="N31" s="19">
        <f t="shared" si="1"/>
        <v>0.88048223565737704</v>
      </c>
      <c r="O31" s="11"/>
      <c r="P31" s="2">
        <f>-11056.72</f>
        <v>-11056.72</v>
      </c>
      <c r="Q31" s="2"/>
      <c r="R31" s="19"/>
      <c r="S31" s="2"/>
      <c r="T31" s="2">
        <f>-15141.64</f>
        <v>-15141.64</v>
      </c>
      <c r="U31" s="2"/>
      <c r="V31" s="19"/>
      <c r="W31" s="2"/>
      <c r="X31" s="2">
        <f t="shared" si="2"/>
        <v>4084.92</v>
      </c>
      <c r="Y31" s="2"/>
      <c r="Z31" s="19">
        <f t="shared" si="3"/>
        <v>-0.2697805521726841</v>
      </c>
    </row>
    <row r="32" spans="1:26" s="24" customFormat="1" hidden="1" outlineLevel="1" x14ac:dyDescent="0.25">
      <c r="A32" s="44"/>
      <c r="B32" s="11" t="str">
        <f>CONCATENATE("          ", "4213", " - ", "NON-TAXABLE SALES-TRADE BOOKS")</f>
        <v xml:space="preserve">          4213 - NON-TAXABLE SALES-TRADE BOOKS</v>
      </c>
      <c r="C32" s="11"/>
      <c r="D32" s="2">
        <f>0</f>
        <v>0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-15</f>
        <v>-15</v>
      </c>
      <c r="U32" s="2"/>
      <c r="V32" s="19"/>
      <c r="W32" s="2"/>
      <c r="X32" s="2">
        <f t="shared" si="2"/>
        <v>15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"4218", " - ", "SALES RETURN TAXABLE-STUDY GUI")</f>
        <v xml:space="preserve">          4218 - SALES RETURN TAXABLE-STUDY GUI</v>
      </c>
      <c r="C33" s="11"/>
      <c r="D33" s="2">
        <f>-5.95</f>
        <v>-5.95</v>
      </c>
      <c r="E33" s="2"/>
      <c r="F33" s="19"/>
      <c r="G33" s="2"/>
      <c r="H33" s="2">
        <f>-6.95</f>
        <v>-6.95</v>
      </c>
      <c r="I33" s="2"/>
      <c r="J33" s="19"/>
      <c r="K33" s="2"/>
      <c r="L33" s="2">
        <f t="shared" si="0"/>
        <v>1</v>
      </c>
      <c r="M33" s="2"/>
      <c r="N33" s="19">
        <f t="shared" si="1"/>
        <v>-0.14388489208633093</v>
      </c>
      <c r="O33" s="11"/>
      <c r="P33" s="2">
        <f>-32.75</f>
        <v>-32.75</v>
      </c>
      <c r="Q33" s="2"/>
      <c r="R33" s="19"/>
      <c r="S33" s="2"/>
      <c r="T33" s="2">
        <f>-22.9</f>
        <v>-22.9</v>
      </c>
      <c r="U33" s="2"/>
      <c r="V33" s="19"/>
      <c r="W33" s="2"/>
      <c r="X33" s="2">
        <f t="shared" si="2"/>
        <v>-9.8500000000000014</v>
      </c>
      <c r="Y33" s="2"/>
      <c r="Z33" s="19">
        <f t="shared" si="3"/>
        <v>0.43013100436681234</v>
      </c>
    </row>
    <row r="34" spans="1:26" s="24" customFormat="1" hidden="1" outlineLevel="1" x14ac:dyDescent="0.25">
      <c r="A34" s="44"/>
      <c r="B34" s="11" t="str">
        <f>CONCATENATE("          ", "4301", " - ", "SALES RETURN NON TAXABLE-NEW T")</f>
        <v xml:space="preserve">          4301 - SALES RETURN NON TAXABLE-NEW T</v>
      </c>
      <c r="C34" s="11"/>
      <c r="D34" s="2">
        <f>-3805.44</f>
        <v>-3805.44</v>
      </c>
      <c r="E34" s="2"/>
      <c r="F34" s="19"/>
      <c r="G34" s="2"/>
      <c r="H34" s="2">
        <f>-18193.09</f>
        <v>-18193.09</v>
      </c>
      <c r="I34" s="2"/>
      <c r="J34" s="19"/>
      <c r="K34" s="2"/>
      <c r="L34" s="2">
        <f t="shared" si="0"/>
        <v>14387.65</v>
      </c>
      <c r="M34" s="2"/>
      <c r="N34" s="19">
        <f t="shared" si="1"/>
        <v>-0.79083047464724243</v>
      </c>
      <c r="O34" s="11"/>
      <c r="P34" s="2">
        <f>-6725.22</f>
        <v>-6725.22</v>
      </c>
      <c r="Q34" s="2"/>
      <c r="R34" s="19"/>
      <c r="S34" s="2"/>
      <c r="T34" s="2">
        <f>-21042.19</f>
        <v>-21042.19</v>
      </c>
      <c r="U34" s="2"/>
      <c r="V34" s="19"/>
      <c r="W34" s="2"/>
      <c r="X34" s="2">
        <f t="shared" si="2"/>
        <v>14316.969999999998</v>
      </c>
      <c r="Y34" s="2"/>
      <c r="Z34" s="19">
        <f t="shared" si="3"/>
        <v>-0.68039353318262019</v>
      </c>
    </row>
    <row r="35" spans="1:26" s="24" customFormat="1" hidden="1" outlineLevel="1" x14ac:dyDescent="0.25">
      <c r="A35" s="44"/>
      <c r="B35" s="11" t="str">
        <f>CONCATENATE("          ", "4302", " - ", "SALES RETURN NON TAXABLE-TEXT")</f>
        <v xml:space="preserve">          4302 - SALES RETURN NON TAXABLE-TEXT</v>
      </c>
      <c r="C35" s="11"/>
      <c r="D35" s="2">
        <f>-398.45</f>
        <v>-398.45</v>
      </c>
      <c r="E35" s="2"/>
      <c r="F35" s="19"/>
      <c r="G35" s="2"/>
      <c r="H35" s="2">
        <f>-1424.51</f>
        <v>-1424.51</v>
      </c>
      <c r="I35" s="2"/>
      <c r="J35" s="19"/>
      <c r="K35" s="2"/>
      <c r="L35" s="2">
        <f t="shared" si="0"/>
        <v>1026.06</v>
      </c>
      <c r="M35" s="2"/>
      <c r="N35" s="19">
        <f t="shared" si="1"/>
        <v>-0.72028978385550113</v>
      </c>
      <c r="O35" s="11"/>
      <c r="P35" s="2">
        <f>-648.7</f>
        <v>-648.70000000000005</v>
      </c>
      <c r="Q35" s="2"/>
      <c r="R35" s="19"/>
      <c r="S35" s="2"/>
      <c r="T35" s="2">
        <f>-2092.04</f>
        <v>-2092.04</v>
      </c>
      <c r="U35" s="2"/>
      <c r="V35" s="19"/>
      <c r="W35" s="2"/>
      <c r="X35" s="2">
        <f t="shared" si="2"/>
        <v>1443.34</v>
      </c>
      <c r="Y35" s="2"/>
      <c r="Z35" s="19">
        <f t="shared" si="3"/>
        <v>-0.68991988680904759</v>
      </c>
    </row>
    <row r="36" spans="1:26" s="24" customFormat="1" hidden="1" outlineLevel="1" x14ac:dyDescent="0.25">
      <c r="A36" s="44"/>
      <c r="B36" s="11" t="str">
        <f>CONCATENATE("          ", "4303", " - ", "SALES RETURN NON-TAXABLE-RENTA")</f>
        <v xml:space="preserve">          4303 - SALES RETURN NON-TAXABLE-RENTA</v>
      </c>
      <c r="C36" s="11"/>
      <c r="D36" s="2">
        <f>-184.99</f>
        <v>-184.99</v>
      </c>
      <c r="E36" s="2"/>
      <c r="F36" s="19"/>
      <c r="G36" s="2"/>
      <c r="H36" s="2">
        <f>-509.85</f>
        <v>-509.85</v>
      </c>
      <c r="I36" s="2"/>
      <c r="J36" s="19"/>
      <c r="K36" s="2"/>
      <c r="L36" s="2">
        <f t="shared" si="0"/>
        <v>324.86</v>
      </c>
      <c r="M36" s="2"/>
      <c r="N36" s="19">
        <f t="shared" si="1"/>
        <v>-0.63716779444934779</v>
      </c>
      <c r="O36" s="11"/>
      <c r="P36" s="2">
        <f>-184.99</f>
        <v>-184.99</v>
      </c>
      <c r="Q36" s="2"/>
      <c r="R36" s="19"/>
      <c r="S36" s="2"/>
      <c r="T36" s="2">
        <f>-509.85</f>
        <v>-509.85</v>
      </c>
      <c r="U36" s="2"/>
      <c r="V36" s="19"/>
      <c r="W36" s="2"/>
      <c r="X36" s="2">
        <f t="shared" si="2"/>
        <v>324.86</v>
      </c>
      <c r="Y36" s="2"/>
      <c r="Z36" s="19">
        <f t="shared" si="3"/>
        <v>-0.63716779444934779</v>
      </c>
    </row>
    <row r="37" spans="1:26" s="24" customFormat="1" hidden="1" outlineLevel="1" x14ac:dyDescent="0.25">
      <c r="A37" s="44"/>
      <c r="B37" s="11" t="str">
        <f>CONCATENATE("          ", "4304", " - ", "SALES RETURN NON TAXABLE-DIGIT")</f>
        <v xml:space="preserve">          4304 - SALES RETURN NON TAXABLE-DIGIT</v>
      </c>
      <c r="C37" s="11"/>
      <c r="D37" s="2">
        <f>-4048.76</f>
        <v>-4048.76</v>
      </c>
      <c r="E37" s="2"/>
      <c r="F37" s="19"/>
      <c r="G37" s="2"/>
      <c r="H37" s="2">
        <f>-3459.28</f>
        <v>-3459.28</v>
      </c>
      <c r="I37" s="2"/>
      <c r="J37" s="19"/>
      <c r="K37" s="2"/>
      <c r="L37" s="2">
        <f t="shared" si="0"/>
        <v>-589.48</v>
      </c>
      <c r="M37" s="2"/>
      <c r="N37" s="19">
        <f t="shared" si="1"/>
        <v>0.17040540228024328</v>
      </c>
      <c r="O37" s="11"/>
      <c r="P37" s="2">
        <f>-12515.31</f>
        <v>-12515.31</v>
      </c>
      <c r="Q37" s="2"/>
      <c r="R37" s="19"/>
      <c r="S37" s="2"/>
      <c r="T37" s="2">
        <f>-3743.75</f>
        <v>-3743.75</v>
      </c>
      <c r="U37" s="2"/>
      <c r="V37" s="19"/>
      <c r="W37" s="2"/>
      <c r="X37" s="2">
        <f t="shared" si="2"/>
        <v>-8771.56</v>
      </c>
      <c r="Y37" s="2"/>
      <c r="Z37" s="19">
        <f t="shared" si="3"/>
        <v>2.3429876460767947</v>
      </c>
    </row>
    <row r="38" spans="1:26" s="24" customFormat="1" hidden="1" outlineLevel="1" x14ac:dyDescent="0.25">
      <c r="A38" s="44"/>
      <c r="B38" s="11" t="str">
        <f>CONCATENATE("          ", "4311", " - ", "SALES RETURN NON TAXABLE-NO VA")</f>
        <v xml:space="preserve">          4311 - SALES RETURN NON TAXABLE-NO VA</v>
      </c>
      <c r="C38" s="11"/>
      <c r="D38" s="2">
        <f>-276.9</f>
        <v>-276.89999999999998</v>
      </c>
      <c r="E38" s="2"/>
      <c r="F38" s="19"/>
      <c r="G38" s="2"/>
      <c r="H38" s="2">
        <f>-145.04</f>
        <v>-145.04</v>
      </c>
      <c r="I38" s="2"/>
      <c r="J38" s="19"/>
      <c r="K38" s="2"/>
      <c r="L38" s="2">
        <f t="shared" si="0"/>
        <v>-131.85999999999999</v>
      </c>
      <c r="M38" s="2"/>
      <c r="N38" s="19">
        <f t="shared" si="1"/>
        <v>0.90912851627137337</v>
      </c>
      <c r="O38" s="11"/>
      <c r="P38" s="2">
        <f>-387.94</f>
        <v>-387.94</v>
      </c>
      <c r="Q38" s="2"/>
      <c r="R38" s="19"/>
      <c r="S38" s="2"/>
      <c r="T38" s="2">
        <f>-357.92</f>
        <v>-357.92</v>
      </c>
      <c r="U38" s="2"/>
      <c r="V38" s="19"/>
      <c r="W38" s="2"/>
      <c r="X38" s="2">
        <f t="shared" si="2"/>
        <v>-30.019999999999982</v>
      </c>
      <c r="Y38" s="2"/>
      <c r="Z38" s="19">
        <f t="shared" si="3"/>
        <v>8.3873491282968213E-2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5" t="s">
        <v>8</v>
      </c>
      <c r="C40" s="10"/>
      <c r="D40" s="4">
        <f>SUM(OSRRefD16x_0)</f>
        <v>290959.48999999993</v>
      </c>
      <c r="E40" s="4"/>
      <c r="F40" s="12">
        <f t="shared" ref="F40:F55" si="5">IF(D$12=0,0,D40/D$12)</f>
        <v>0.73748521814288792</v>
      </c>
      <c r="G40" s="4"/>
      <c r="H40" s="4">
        <f>SUM(OSRRefH16x_0)</f>
        <v>335129.07999999996</v>
      </c>
      <c r="I40" s="4"/>
      <c r="J40" s="12">
        <f t="shared" ref="J40:J55" si="6">IF(H$12=0,0,H40/H$12)</f>
        <v>0.75258667149693614</v>
      </c>
      <c r="K40" s="4"/>
      <c r="L40" s="4">
        <f t="shared" ref="L40:L55" si="7">+D40-H40</f>
        <v>-44169.590000000026</v>
      </c>
      <c r="M40" s="4"/>
      <c r="N40" s="12">
        <f t="shared" ref="N40:N55" si="8">IF(H40=0,0,L40/H40)</f>
        <v>-0.13179873856366039</v>
      </c>
      <c r="O40" s="10"/>
      <c r="P40" s="4">
        <f>SUM(OSRRefP16x_0)</f>
        <v>1393880.9000000001</v>
      </c>
      <c r="Q40" s="4"/>
      <c r="R40" s="12">
        <f t="shared" ref="R40:R55" si="9">IF(P$12=0,0,P40/P$12)</f>
        <v>0.72233777763972395</v>
      </c>
      <c r="S40" s="4"/>
      <c r="T40" s="4">
        <f>SUM(OSRRefT16x_0)</f>
        <v>1658286.9099999997</v>
      </c>
      <c r="U40" s="4"/>
      <c r="V40" s="12">
        <f t="shared" ref="V40:V55" si="10">IF(T$12=0,0,T40/T$12)</f>
        <v>0.73238835778008826</v>
      </c>
      <c r="W40" s="4"/>
      <c r="X40" s="4">
        <f t="shared" ref="X40:X55" si="11">+P40-T40</f>
        <v>-264406.00999999954</v>
      </c>
      <c r="Y40" s="4"/>
      <c r="Z40" s="12">
        <f t="shared" ref="Z40:Z55" si="12">IF(T40=0,0,X40/T40)</f>
        <v>-0.15944527355643157</v>
      </c>
    </row>
    <row r="41" spans="1:26" s="24" customFormat="1" hidden="1" outlineLevel="1" x14ac:dyDescent="0.25">
      <c r="A41" s="44"/>
      <c r="B41" s="11" t="str">
        <f>CONCATENATE("          ", "5001", " - ", "PURCHASES @ COST-NEW TEXT")</f>
        <v xml:space="preserve">          5001 - PURCHASES @ COST-NEW TEXT</v>
      </c>
      <c r="C41" s="11"/>
      <c r="D41" s="2">
        <v>20162.849999999999</v>
      </c>
      <c r="E41" s="2"/>
      <c r="F41" s="19">
        <f t="shared" si="5"/>
        <v>5.1106096696252566E-2</v>
      </c>
      <c r="G41" s="2"/>
      <c r="H41" s="2">
        <v>198647.89</v>
      </c>
      <c r="I41" s="2"/>
      <c r="J41" s="19">
        <f t="shared" si="6"/>
        <v>0.44609603659279445</v>
      </c>
      <c r="K41" s="2"/>
      <c r="L41" s="2">
        <f t="shared" si="7"/>
        <v>-178485.04</v>
      </c>
      <c r="M41" s="2"/>
      <c r="N41" s="19">
        <f t="shared" si="8"/>
        <v>-0.89849955114046265</v>
      </c>
      <c r="O41" s="11"/>
      <c r="P41" s="2">
        <v>1629693.45</v>
      </c>
      <c r="Q41" s="2"/>
      <c r="R41" s="19">
        <f t="shared" si="9"/>
        <v>0.84454069562687484</v>
      </c>
      <c r="S41" s="2"/>
      <c r="T41" s="2">
        <v>1700801.73</v>
      </c>
      <c r="U41" s="2"/>
      <c r="V41" s="19">
        <f t="shared" si="10"/>
        <v>0.75116518042359348</v>
      </c>
      <c r="W41" s="2"/>
      <c r="X41" s="2">
        <f t="shared" si="11"/>
        <v>-71108.280000000028</v>
      </c>
      <c r="Y41" s="2"/>
      <c r="Z41" s="19">
        <f t="shared" si="12"/>
        <v>-4.1808682779267886E-2</v>
      </c>
    </row>
    <row r="42" spans="1:26" s="24" customFormat="1" hidden="1" outlineLevel="1" x14ac:dyDescent="0.25">
      <c r="A42" s="44"/>
      <c r="B42" s="11" t="str">
        <f>CONCATENATE("          ", "5002", " - ", "PURCHASES @ COST-USED TEXT")</f>
        <v xml:space="preserve">          5002 - PURCHASES @ COST-USED TEXT</v>
      </c>
      <c r="C42" s="11"/>
      <c r="D42" s="2">
        <v>-36079.68</v>
      </c>
      <c r="E42" s="2"/>
      <c r="F42" s="19">
        <f t="shared" si="5"/>
        <v>-9.1449949528457031E-2</v>
      </c>
      <c r="G42" s="2"/>
      <c r="H42" s="2">
        <v>75488.429999999993</v>
      </c>
      <c r="I42" s="2"/>
      <c r="J42" s="19">
        <f t="shared" si="6"/>
        <v>0.16952150577392289</v>
      </c>
      <c r="K42" s="2"/>
      <c r="L42" s="2">
        <f t="shared" si="7"/>
        <v>-111568.10999999999</v>
      </c>
      <c r="M42" s="2"/>
      <c r="N42" s="19">
        <f t="shared" si="8"/>
        <v>-1.4779497997242756</v>
      </c>
      <c r="O42" s="11"/>
      <c r="P42" s="2">
        <v>-17591.89</v>
      </c>
      <c r="Q42" s="2"/>
      <c r="R42" s="19">
        <f t="shared" si="9"/>
        <v>-9.1164795550914574E-3</v>
      </c>
      <c r="S42" s="2"/>
      <c r="T42" s="2">
        <v>-119772.26999999999</v>
      </c>
      <c r="U42" s="2"/>
      <c r="V42" s="19">
        <f t="shared" si="10"/>
        <v>-5.2897852358307129E-2</v>
      </c>
      <c r="W42" s="2"/>
      <c r="X42" s="2">
        <f t="shared" si="11"/>
        <v>102180.37999999999</v>
      </c>
      <c r="Y42" s="2"/>
      <c r="Z42" s="19">
        <f t="shared" si="12"/>
        <v>-0.85312217928239986</v>
      </c>
    </row>
    <row r="43" spans="1:26" s="24" customFormat="1" hidden="1" outlineLevel="1" x14ac:dyDescent="0.25">
      <c r="A43" s="44"/>
      <c r="B43" s="11" t="str">
        <f>CONCATENATE("          ", "5003", " - ", "PURCHASES @ COST-RENTAL TEXT")</f>
        <v xml:space="preserve">          5003 - PURCHASES @ COST-RENTAL TEXT</v>
      </c>
      <c r="C43" s="11"/>
      <c r="D43" s="2"/>
      <c r="E43" s="2"/>
      <c r="F43" s="19">
        <f t="shared" si="5"/>
        <v>0</v>
      </c>
      <c r="G43" s="2"/>
      <c r="H43" s="2">
        <v>-2966.4</v>
      </c>
      <c r="I43" s="2"/>
      <c r="J43" s="19">
        <f t="shared" si="6"/>
        <v>-6.6615320351445231E-3</v>
      </c>
      <c r="K43" s="2"/>
      <c r="L43" s="2">
        <f t="shared" si="7"/>
        <v>2966.4</v>
      </c>
      <c r="M43" s="2"/>
      <c r="N43" s="19">
        <f t="shared" si="8"/>
        <v>-1</v>
      </c>
      <c r="O43" s="11"/>
      <c r="P43" s="2">
        <v>-78.400000000000006</v>
      </c>
      <c r="Q43" s="2"/>
      <c r="R43" s="19">
        <f t="shared" si="9"/>
        <v>-4.0628493988944359E-5</v>
      </c>
      <c r="S43" s="2"/>
      <c r="T43" s="2">
        <v>-522.1</v>
      </c>
      <c r="U43" s="2"/>
      <c r="V43" s="19">
        <f t="shared" si="10"/>
        <v>-2.3058733641995895E-4</v>
      </c>
      <c r="W43" s="2"/>
      <c r="X43" s="2">
        <f t="shared" si="11"/>
        <v>443.70000000000005</v>
      </c>
      <c r="Y43" s="2"/>
      <c r="Z43" s="19">
        <f t="shared" si="12"/>
        <v>-0.84983719593947527</v>
      </c>
    </row>
    <row r="44" spans="1:26" s="24" customFormat="1" hidden="1" outlineLevel="1" x14ac:dyDescent="0.25">
      <c r="A44" s="44"/>
      <c r="B44" s="11" t="str">
        <f>CONCATENATE("          ", "5004", " - ", "PURCHASES @ COST-DIGITAL TEXT")</f>
        <v xml:space="preserve">          5004 - PURCHASES @ COST-DIGITAL TEXT</v>
      </c>
      <c r="C44" s="11"/>
      <c r="D44" s="2">
        <v>50761.9</v>
      </c>
      <c r="E44" s="2"/>
      <c r="F44" s="19">
        <f t="shared" si="5"/>
        <v>0.12866447798230424</v>
      </c>
      <c r="G44" s="2"/>
      <c r="H44" s="2">
        <v>37466.380000000005</v>
      </c>
      <c r="I44" s="2"/>
      <c r="J44" s="19">
        <f t="shared" si="6"/>
        <v>8.413682935912152E-2</v>
      </c>
      <c r="K44" s="2"/>
      <c r="L44" s="2">
        <f t="shared" si="7"/>
        <v>13295.519999999997</v>
      </c>
      <c r="M44" s="2"/>
      <c r="N44" s="19">
        <f t="shared" si="8"/>
        <v>0.35486534861387714</v>
      </c>
      <c r="O44" s="11"/>
      <c r="P44" s="2">
        <v>353728.39</v>
      </c>
      <c r="Q44" s="2"/>
      <c r="R44" s="19">
        <f t="shared" si="9"/>
        <v>0.18330933376063732</v>
      </c>
      <c r="S44" s="2"/>
      <c r="T44" s="2">
        <v>239679.49000000002</v>
      </c>
      <c r="U44" s="2"/>
      <c r="V44" s="19">
        <f t="shared" si="10"/>
        <v>0.10585530586783028</v>
      </c>
      <c r="W44" s="2"/>
      <c r="X44" s="2">
        <f t="shared" si="11"/>
        <v>114048.9</v>
      </c>
      <c r="Y44" s="2"/>
      <c r="Z44" s="19">
        <f t="shared" si="12"/>
        <v>0.47583921344291907</v>
      </c>
    </row>
    <row r="45" spans="1:26" s="24" customFormat="1" hidden="1" outlineLevel="1" x14ac:dyDescent="0.25">
      <c r="A45" s="44"/>
      <c r="B45" s="11" t="str">
        <f>CONCATENATE("          ", "5011", " - ", "PURCHASES @ COST-NO VALUE TEXT")</f>
        <v xml:space="preserve">          5011 - PURCHASES @ COST-NO VALUE TEXT</v>
      </c>
      <c r="C45" s="11"/>
      <c r="D45" s="2">
        <v>2928</v>
      </c>
      <c r="E45" s="2"/>
      <c r="F45" s="19">
        <f t="shared" si="5"/>
        <v>7.4215029684110883E-3</v>
      </c>
      <c r="G45" s="2"/>
      <c r="H45" s="2">
        <v>126</v>
      </c>
      <c r="I45" s="2"/>
      <c r="J45" s="19">
        <f t="shared" si="6"/>
        <v>2.829534238228863E-4</v>
      </c>
      <c r="K45" s="2"/>
      <c r="L45" s="2">
        <f t="shared" si="7"/>
        <v>2802</v>
      </c>
      <c r="M45" s="2"/>
      <c r="N45" s="19">
        <f t="shared" si="8"/>
        <v>22.238095238095237</v>
      </c>
      <c r="O45" s="11"/>
      <c r="P45" s="2">
        <v>3585</v>
      </c>
      <c r="Q45" s="2"/>
      <c r="R45" s="19">
        <f t="shared" si="9"/>
        <v>1.8578208029383357E-3</v>
      </c>
      <c r="S45" s="2"/>
      <c r="T45" s="2">
        <v>1083</v>
      </c>
      <c r="U45" s="2"/>
      <c r="V45" s="19">
        <f t="shared" si="10"/>
        <v>4.7831083191498858E-4</v>
      </c>
      <c r="W45" s="2"/>
      <c r="X45" s="2">
        <f t="shared" si="11"/>
        <v>2502</v>
      </c>
      <c r="Y45" s="2"/>
      <c r="Z45" s="19">
        <f t="shared" si="12"/>
        <v>2.3102493074792245</v>
      </c>
    </row>
    <row r="46" spans="1:26" s="24" customFormat="1" hidden="1" outlineLevel="1" x14ac:dyDescent="0.25">
      <c r="A46" s="44"/>
      <c r="B46" s="11" t="str">
        <f>CONCATENATE("          ", "5013", " - ", "PURCHASES @ COST-TRADE BOOKS")</f>
        <v xml:space="preserve">          5013 - PURCHASES @ COST-TRADE BOOKS</v>
      </c>
      <c r="C46" s="11"/>
      <c r="D46" s="2">
        <v>269.89</v>
      </c>
      <c r="E46" s="2"/>
      <c r="F46" s="19">
        <f t="shared" si="5"/>
        <v>6.8408109157939501E-4</v>
      </c>
      <c r="G46" s="2"/>
      <c r="H46" s="2">
        <v>-1023.61</v>
      </c>
      <c r="I46" s="2"/>
      <c r="J46" s="19">
        <f t="shared" si="6"/>
        <v>-2.2986821758678149E-3</v>
      </c>
      <c r="K46" s="2"/>
      <c r="L46" s="2">
        <f t="shared" si="7"/>
        <v>1293.5</v>
      </c>
      <c r="M46" s="2"/>
      <c r="N46" s="19">
        <f t="shared" si="8"/>
        <v>-1.2636648723634978</v>
      </c>
      <c r="O46" s="11"/>
      <c r="P46" s="2">
        <v>474.79</v>
      </c>
      <c r="Q46" s="2"/>
      <c r="R46" s="19">
        <f t="shared" si="9"/>
        <v>2.4604595230881239E-4</v>
      </c>
      <c r="S46" s="2"/>
      <c r="T46" s="2">
        <v>579.38</v>
      </c>
      <c r="U46" s="2"/>
      <c r="V46" s="19">
        <f t="shared" si="10"/>
        <v>2.5588525373490865E-4</v>
      </c>
      <c r="W46" s="2"/>
      <c r="X46" s="2">
        <f t="shared" si="11"/>
        <v>-104.58999999999997</v>
      </c>
      <c r="Y46" s="2"/>
      <c r="Z46" s="19">
        <f t="shared" si="12"/>
        <v>-0.18052055645690215</v>
      </c>
    </row>
    <row r="47" spans="1:26" s="24" customFormat="1" hidden="1" outlineLevel="1" x14ac:dyDescent="0.25">
      <c r="A47" s="44"/>
      <c r="B47" s="11" t="str">
        <f>CONCATENATE("          ", "5014", " - ", "PURCHASES @ COST-REMAINDERS")</f>
        <v xml:space="preserve">          5014 - PURCHASES @ COST-REMAINDERS</v>
      </c>
      <c r="C47" s="11"/>
      <c r="D47" s="2">
        <v>55.65</v>
      </c>
      <c r="E47" s="2"/>
      <c r="F47" s="19">
        <f t="shared" si="5"/>
        <v>1.4105418039346893E-4</v>
      </c>
      <c r="G47" s="2"/>
      <c r="H47" s="2">
        <v>197.26</v>
      </c>
      <c r="I47" s="2"/>
      <c r="J47" s="19">
        <f t="shared" si="6"/>
        <v>4.4297930462938533E-4</v>
      </c>
      <c r="K47" s="2"/>
      <c r="L47" s="2">
        <f t="shared" si="7"/>
        <v>-141.60999999999999</v>
      </c>
      <c r="M47" s="2"/>
      <c r="N47" s="19">
        <f t="shared" si="8"/>
        <v>-0.71788502484031225</v>
      </c>
      <c r="O47" s="11"/>
      <c r="P47" s="2">
        <v>289.97000000000003</v>
      </c>
      <c r="Q47" s="2"/>
      <c r="R47" s="19">
        <f t="shared" si="9"/>
        <v>1.5026842349456882E-4</v>
      </c>
      <c r="S47" s="2"/>
      <c r="T47" s="2">
        <v>401.26</v>
      </c>
      <c r="U47" s="2"/>
      <c r="V47" s="19">
        <f t="shared" si="10"/>
        <v>1.7721791727997072E-4</v>
      </c>
      <c r="W47" s="2"/>
      <c r="X47" s="2">
        <f t="shared" si="11"/>
        <v>-111.28999999999996</v>
      </c>
      <c r="Y47" s="2"/>
      <c r="Z47" s="19">
        <f t="shared" si="12"/>
        <v>-0.27735134326870348</v>
      </c>
    </row>
    <row r="48" spans="1:26" s="24" customFormat="1" hidden="1" outlineLevel="1" x14ac:dyDescent="0.25">
      <c r="A48" s="44"/>
      <c r="B48" s="11" t="str">
        <f>CONCATENATE("          ", "5018", " - ", "PURCHASES @ COST-STUDY GUIDES")</f>
        <v xml:space="preserve">          5018 - PURCHASES @ COST-STUDY GUIDES</v>
      </c>
      <c r="C48" s="11"/>
      <c r="D48" s="2"/>
      <c r="E48" s="2"/>
      <c r="F48" s="19">
        <f t="shared" si="5"/>
        <v>0</v>
      </c>
      <c r="G48" s="2"/>
      <c r="H48" s="2">
        <v>216.04</v>
      </c>
      <c r="I48" s="2"/>
      <c r="J48" s="19">
        <f t="shared" si="6"/>
        <v>4.8515283875155837E-4</v>
      </c>
      <c r="K48" s="2"/>
      <c r="L48" s="2">
        <f t="shared" si="7"/>
        <v>-216.04</v>
      </c>
      <c r="M48" s="2"/>
      <c r="N48" s="19">
        <f t="shared" si="8"/>
        <v>-1</v>
      </c>
      <c r="O48" s="11"/>
      <c r="P48" s="2">
        <v>503.93</v>
      </c>
      <c r="Q48" s="2"/>
      <c r="R48" s="19">
        <f t="shared" si="9"/>
        <v>2.6114690020215216E-4</v>
      </c>
      <c r="S48" s="2"/>
      <c r="T48" s="2">
        <v>1034.67</v>
      </c>
      <c r="U48" s="2"/>
      <c r="V48" s="19">
        <f t="shared" si="10"/>
        <v>4.5696571418049977E-4</v>
      </c>
      <c r="W48" s="2"/>
      <c r="X48" s="2">
        <f t="shared" si="11"/>
        <v>-530.74</v>
      </c>
      <c r="Y48" s="2"/>
      <c r="Z48" s="19">
        <f t="shared" si="12"/>
        <v>-0.51295582166294562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-53957</v>
      </c>
      <c r="E49" s="2"/>
      <c r="F49" s="19">
        <f t="shared" si="5"/>
        <v>-0.13676299032327771</v>
      </c>
      <c r="G49" s="2"/>
      <c r="H49" s="2">
        <v>-330040</v>
      </c>
      <c r="I49" s="2"/>
      <c r="J49" s="19">
        <f t="shared" si="6"/>
        <v>-0.74115831744845551</v>
      </c>
      <c r="K49" s="2"/>
      <c r="L49" s="2">
        <f t="shared" si="7"/>
        <v>276083</v>
      </c>
      <c r="M49" s="2"/>
      <c r="N49" s="19">
        <f t="shared" si="8"/>
        <v>-0.83651375590837473</v>
      </c>
      <c r="O49" s="11"/>
      <c r="P49" s="2">
        <v>-2003459</v>
      </c>
      <c r="Q49" s="2"/>
      <c r="R49" s="19">
        <f t="shared" si="9"/>
        <v>-1.0382336981963836</v>
      </c>
      <c r="S49" s="2"/>
      <c r="T49" s="2">
        <v>-1855977</v>
      </c>
      <c r="U49" s="2"/>
      <c r="V49" s="19">
        <f t="shared" si="10"/>
        <v>-0.81969889463073387</v>
      </c>
      <c r="W49" s="2"/>
      <c r="X49" s="2">
        <f t="shared" si="11"/>
        <v>-147482</v>
      </c>
      <c r="Y49" s="2"/>
      <c r="Z49" s="19">
        <f t="shared" si="12"/>
        <v>7.9463269210771473E-2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290960</v>
      </c>
      <c r="E50" s="2"/>
      <c r="F50" s="19">
        <f t="shared" si="5"/>
        <v>0.73748651082270844</v>
      </c>
      <c r="G50" s="2"/>
      <c r="H50" s="2">
        <v>335026</v>
      </c>
      <c r="I50" s="2"/>
      <c r="J50" s="19">
        <f t="shared" si="6"/>
        <v>0.75235518864830397</v>
      </c>
      <c r="K50" s="2"/>
      <c r="L50" s="2">
        <f t="shared" si="7"/>
        <v>-44066</v>
      </c>
      <c r="M50" s="2"/>
      <c r="N50" s="19">
        <f t="shared" si="8"/>
        <v>-0.13153009020195447</v>
      </c>
      <c r="O50" s="11"/>
      <c r="P50" s="2">
        <v>1393883</v>
      </c>
      <c r="Q50" s="2"/>
      <c r="R50" s="19">
        <f t="shared" si="9"/>
        <v>0.72233886590295571</v>
      </c>
      <c r="S50" s="2"/>
      <c r="T50" s="2">
        <v>1657970</v>
      </c>
      <c r="U50" s="2"/>
      <c r="V50" s="19">
        <f t="shared" si="10"/>
        <v>0.73224839334265335</v>
      </c>
      <c r="W50" s="2"/>
      <c r="X50" s="2">
        <f t="shared" si="11"/>
        <v>-264087</v>
      </c>
      <c r="Y50" s="2"/>
      <c r="Z50" s="19">
        <f t="shared" si="12"/>
        <v>-0.15928334047057546</v>
      </c>
    </row>
    <row r="51" spans="1:26" s="24" customFormat="1" hidden="1" outlineLevel="1" x14ac:dyDescent="0.25">
      <c r="A51" s="44"/>
      <c r="B51" s="11" t="str">
        <f>CONCATENATE("          ", "5500", " - ", "FREIGHT-IN")</f>
        <v xml:space="preserve">          5500 - FREIGHT-IN</v>
      </c>
      <c r="C51" s="11"/>
      <c r="D51" s="2"/>
      <c r="E51" s="2"/>
      <c r="F51" s="19">
        <f t="shared" si="5"/>
        <v>0</v>
      </c>
      <c r="G51" s="2"/>
      <c r="H51" s="2">
        <v>103.39</v>
      </c>
      <c r="I51" s="2"/>
      <c r="J51" s="19">
        <f t="shared" si="6"/>
        <v>2.3217900388133503E-4</v>
      </c>
      <c r="K51" s="2"/>
      <c r="L51" s="2">
        <f t="shared" si="7"/>
        <v>-103.39</v>
      </c>
      <c r="M51" s="2"/>
      <c r="N51" s="19">
        <f t="shared" si="8"/>
        <v>-1</v>
      </c>
      <c r="O51" s="11"/>
      <c r="P51" s="2"/>
      <c r="Q51" s="2"/>
      <c r="R51" s="19">
        <f t="shared" si="9"/>
        <v>0</v>
      </c>
      <c r="S51" s="2"/>
      <c r="T51" s="2">
        <v>317.36</v>
      </c>
      <c r="U51" s="2"/>
      <c r="V51" s="19">
        <f t="shared" si="10"/>
        <v>1.4016318154805242E-4</v>
      </c>
      <c r="W51" s="2"/>
      <c r="X51" s="2">
        <f t="shared" si="11"/>
        <v>-317.36</v>
      </c>
      <c r="Y51" s="2"/>
      <c r="Z51" s="19">
        <f t="shared" si="12"/>
        <v>-1</v>
      </c>
    </row>
    <row r="52" spans="1:26" s="24" customFormat="1" hidden="1" outlineLevel="1" x14ac:dyDescent="0.25">
      <c r="A52" s="44"/>
      <c r="B52" s="11" t="str">
        <f>CONCATENATE("          ", "5501", " - ", "FREIGHT-IN-NEW TEXT")</f>
        <v xml:space="preserve">          5501 - FREIGHT-IN-NEW TEXT</v>
      </c>
      <c r="C52" s="11"/>
      <c r="D52" s="2">
        <v>13859.22</v>
      </c>
      <c r="E52" s="2"/>
      <c r="F52" s="19">
        <f t="shared" si="5"/>
        <v>3.5128498077138769E-2</v>
      </c>
      <c r="G52" s="2"/>
      <c r="H52" s="2">
        <v>17256.72</v>
      </c>
      <c r="I52" s="2"/>
      <c r="J52" s="19">
        <f t="shared" si="6"/>
        <v>3.8752761967879988E-2</v>
      </c>
      <c r="K52" s="2"/>
      <c r="L52" s="2">
        <f t="shared" si="7"/>
        <v>-3397.5000000000018</v>
      </c>
      <c r="M52" s="2"/>
      <c r="N52" s="19">
        <f t="shared" si="8"/>
        <v>-0.19687982420761313</v>
      </c>
      <c r="O52" s="11"/>
      <c r="P52" s="2">
        <v>26583.46</v>
      </c>
      <c r="Q52" s="2"/>
      <c r="R52" s="19">
        <f t="shared" si="9"/>
        <v>1.3776096234889575E-2</v>
      </c>
      <c r="S52" s="2"/>
      <c r="T52" s="2">
        <v>26255.8</v>
      </c>
      <c r="U52" s="2"/>
      <c r="V52" s="19">
        <f t="shared" si="10"/>
        <v>1.159596818152683E-2</v>
      </c>
      <c r="W52" s="2"/>
      <c r="X52" s="2">
        <f t="shared" si="11"/>
        <v>327.65999999999985</v>
      </c>
      <c r="Y52" s="2"/>
      <c r="Z52" s="19">
        <f t="shared" si="12"/>
        <v>1.2479528332787418E-2</v>
      </c>
    </row>
    <row r="53" spans="1:26" s="24" customFormat="1" hidden="1" outlineLevel="1" x14ac:dyDescent="0.25">
      <c r="A53" s="44"/>
      <c r="B53" s="11" t="str">
        <f>CONCATENATE("          ", "5502", " - ", "FREIGHT-IN-USED TEXT")</f>
        <v xml:space="preserve">          5502 - FREIGHT-IN-USED TEXT</v>
      </c>
      <c r="C53" s="11"/>
      <c r="D53" s="2">
        <v>1998.66</v>
      </c>
      <c r="E53" s="2"/>
      <c r="F53" s="19">
        <f t="shared" si="5"/>
        <v>5.0659361758348728E-3</v>
      </c>
      <c r="G53" s="2"/>
      <c r="H53" s="2">
        <v>4462.3100000000004</v>
      </c>
      <c r="I53" s="2"/>
      <c r="J53" s="19">
        <f t="shared" si="6"/>
        <v>1.0020840417929396E-2</v>
      </c>
      <c r="K53" s="2"/>
      <c r="L53" s="2">
        <f t="shared" si="7"/>
        <v>-2463.6500000000005</v>
      </c>
      <c r="M53" s="2"/>
      <c r="N53" s="19">
        <f t="shared" si="8"/>
        <v>-0.55210193823378484</v>
      </c>
      <c r="O53" s="11"/>
      <c r="P53" s="2">
        <v>6261.17</v>
      </c>
      <c r="Q53" s="2"/>
      <c r="R53" s="19">
        <f t="shared" si="9"/>
        <v>3.244667190162739E-3</v>
      </c>
      <c r="S53" s="2"/>
      <c r="T53" s="2">
        <v>6257.15</v>
      </c>
      <c r="U53" s="2"/>
      <c r="V53" s="19">
        <f t="shared" si="10"/>
        <v>2.7634927256850145E-3</v>
      </c>
      <c r="W53" s="2"/>
      <c r="X53" s="2">
        <f t="shared" si="11"/>
        <v>4.0200000000004366</v>
      </c>
      <c r="Y53" s="2"/>
      <c r="Z53" s="19">
        <f t="shared" si="12"/>
        <v>6.4246502001717026E-4</v>
      </c>
    </row>
    <row r="54" spans="1:26" s="24" customFormat="1" hidden="1" outlineLevel="1" x14ac:dyDescent="0.25">
      <c r="A54" s="44"/>
      <c r="B54" s="11" t="str">
        <f>CONCATENATE("          ", "5504", " - ", "FREIGHT-IN-DIGITAL TEXT")</f>
        <v xml:space="preserve">          5504 - FREIGHT-IN-DIGITAL TEXT</v>
      </c>
      <c r="C54" s="11"/>
      <c r="D54" s="2"/>
      <c r="E54" s="2"/>
      <c r="F54" s="19">
        <f t="shared" si="5"/>
        <v>0</v>
      </c>
      <c r="G54" s="2"/>
      <c r="H54" s="2">
        <v>163.72</v>
      </c>
      <c r="I54" s="2"/>
      <c r="J54" s="19">
        <f t="shared" si="6"/>
        <v>3.6765979800224561E-4</v>
      </c>
      <c r="K54" s="2"/>
      <c r="L54" s="2">
        <f t="shared" si="7"/>
        <v>-163.72</v>
      </c>
      <c r="M54" s="2"/>
      <c r="N54" s="19">
        <f t="shared" si="8"/>
        <v>-1</v>
      </c>
      <c r="O54" s="11"/>
      <c r="P54" s="2">
        <v>7.03</v>
      </c>
      <c r="Q54" s="2"/>
      <c r="R54" s="19">
        <f t="shared" si="9"/>
        <v>3.6430907237535563E-6</v>
      </c>
      <c r="S54" s="2"/>
      <c r="T54" s="2">
        <v>166.22</v>
      </c>
      <c r="U54" s="2"/>
      <c r="V54" s="19">
        <f t="shared" si="10"/>
        <v>7.3411658800470359E-5</v>
      </c>
      <c r="W54" s="2"/>
      <c r="X54" s="2">
        <f t="shared" si="11"/>
        <v>-159.19</v>
      </c>
      <c r="Y54" s="2"/>
      <c r="Z54" s="19">
        <f t="shared" si="12"/>
        <v>-0.95770665383227049</v>
      </c>
    </row>
    <row r="55" spans="1:26" s="24" customFormat="1" hidden="1" outlineLevel="1" x14ac:dyDescent="0.25">
      <c r="A55" s="44"/>
      <c r="B55" s="11" t="str">
        <f>CONCATENATE("          ", "5513", " - ", "FREIGHT-IN-TRADE BOOKS")</f>
        <v xml:space="preserve">          5513 - FREIGHT-IN-TRADE BOOKS</v>
      </c>
      <c r="C55" s="11"/>
      <c r="D55" s="2"/>
      <c r="E55" s="2"/>
      <c r="F55" s="19">
        <f t="shared" si="5"/>
        <v>0</v>
      </c>
      <c r="G55" s="2"/>
      <c r="H55" s="2">
        <v>4.95</v>
      </c>
      <c r="I55" s="2"/>
      <c r="J55" s="19">
        <f t="shared" si="6"/>
        <v>1.1116027364470534E-5</v>
      </c>
      <c r="K55" s="2"/>
      <c r="L55" s="2">
        <f t="shared" si="7"/>
        <v>-4.95</v>
      </c>
      <c r="M55" s="2"/>
      <c r="N55" s="19">
        <f t="shared" si="8"/>
        <v>-1</v>
      </c>
      <c r="O55" s="11"/>
      <c r="P55" s="2"/>
      <c r="Q55" s="2"/>
      <c r="R55" s="19">
        <f t="shared" si="9"/>
        <v>0</v>
      </c>
      <c r="S55" s="2"/>
      <c r="T55" s="2">
        <v>12.22</v>
      </c>
      <c r="U55" s="2"/>
      <c r="V55" s="19">
        <f t="shared" si="10"/>
        <v>5.3970068014784488E-6</v>
      </c>
      <c r="W55" s="2"/>
      <c r="X55" s="2">
        <f t="shared" si="11"/>
        <v>-12.22</v>
      </c>
      <c r="Y55" s="2"/>
      <c r="Z55" s="19">
        <f t="shared" si="12"/>
        <v>-1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6" t="s">
        <v>6</v>
      </c>
      <c r="C57" s="26"/>
      <c r="D57" s="21">
        <f>D12-D40</f>
        <v>103569.76000000001</v>
      </c>
      <c r="E57" s="13"/>
      <c r="F57" s="20">
        <f>IF(D$12=0,0,D57/D$12)</f>
        <v>0.26251478185711208</v>
      </c>
      <c r="G57" s="13"/>
      <c r="H57" s="21">
        <f>H12-H40</f>
        <v>110173.88999999996</v>
      </c>
      <c r="I57" s="13"/>
      <c r="J57" s="20">
        <f>IF(H$12=0,0,H57/H$12)</f>
        <v>0.24741332850306383</v>
      </c>
      <c r="K57" s="15"/>
      <c r="L57" s="21">
        <f>+D57-H57</f>
        <v>-6604.1299999999464</v>
      </c>
      <c r="M57" s="15"/>
      <c r="N57" s="20">
        <f>IF(H57=0,0,L57/H57)</f>
        <v>-5.9942786807291176E-2</v>
      </c>
      <c r="O57" s="25"/>
      <c r="P57" s="21">
        <f>P12-P40</f>
        <v>535799.2899999998</v>
      </c>
      <c r="Q57" s="13"/>
      <c r="R57" s="20">
        <f>IF(P$12=0,0,P57/P$12)</f>
        <v>0.2776622223602761</v>
      </c>
      <c r="S57" s="13"/>
      <c r="T57" s="21">
        <f>T12-T40</f>
        <v>605931.10000000056</v>
      </c>
      <c r="U57" s="13"/>
      <c r="V57" s="20">
        <f>IF(T$12=0,0,T57/T$12)</f>
        <v>0.26761164221991174</v>
      </c>
      <c r="W57" s="15"/>
      <c r="X57" s="21">
        <f>+P57-T57</f>
        <v>-70131.810000000754</v>
      </c>
      <c r="Y57" s="15"/>
      <c r="Z57" s="20">
        <f>IF(T57=0,0,X57/T57)</f>
        <v>-0.11574221887604166</v>
      </c>
    </row>
    <row r="58" spans="1:26" x14ac:dyDescent="0.25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5" t="s">
        <v>9</v>
      </c>
      <c r="C59" s="10"/>
      <c r="D59" s="22">
        <f>SUM(OSRRefD22x_0)</f>
        <v>23354.710000000003</v>
      </c>
      <c r="E59" s="22"/>
      <c r="F59" s="34">
        <f t="shared" ref="F59:F69" si="13">IF(D$12=0,0,D59/D$12)</f>
        <v>5.9196396718367537E-2</v>
      </c>
      <c r="G59" s="22"/>
      <c r="H59" s="22">
        <f>SUM(OSRRefH22x_0)</f>
        <v>55388.24</v>
      </c>
      <c r="I59" s="22"/>
      <c r="J59" s="34">
        <f t="shared" ref="J59:J69" si="14">IF(H$12=0,0,H59/H$12)</f>
        <v>0.12438327101209321</v>
      </c>
      <c r="K59" s="4"/>
      <c r="L59" s="22">
        <f t="shared" ref="L59:L69" si="15">+D59-H59</f>
        <v>-32033.529999999995</v>
      </c>
      <c r="M59" s="4"/>
      <c r="N59" s="34">
        <f t="shared" ref="N59:N69" si="16">IF(H59=0,0,L59/H59)</f>
        <v>-0.57834533106666675</v>
      </c>
      <c r="O59" s="10"/>
      <c r="P59" s="22">
        <f>SUM(OSRRefP22x_0)</f>
        <v>116991.76999999999</v>
      </c>
      <c r="Q59" s="22"/>
      <c r="R59" s="34">
        <f t="shared" ref="R59:R69" si="17">IF(P$12=0,0,P59/P$12)</f>
        <v>6.0627543676032652E-2</v>
      </c>
      <c r="S59" s="22"/>
      <c r="T59" s="22">
        <f>SUM(OSRRefT22x_0)</f>
        <v>176219.42</v>
      </c>
      <c r="U59" s="22"/>
      <c r="V59" s="34">
        <f t="shared" ref="V59:V69" si="18">IF(T$12=0,0,T59/T$12)</f>
        <v>7.7827938485481793E-2</v>
      </c>
      <c r="W59" s="4"/>
      <c r="X59" s="22">
        <f t="shared" ref="X59:X69" si="19">+P59-T59</f>
        <v>-59227.650000000023</v>
      </c>
      <c r="Y59" s="4"/>
      <c r="Z59" s="34">
        <f t="shared" ref="Z59:Z69" si="20">IF(T59=0,0,X59/T59)</f>
        <v>-0.33610171909543241</v>
      </c>
    </row>
    <row r="60" spans="1:26" s="29" customFormat="1" outlineLevel="1" collapsed="1" x14ac:dyDescent="0.25">
      <c r="A60" s="27"/>
      <c r="B60" s="14" t="str">
        <f>CONCATENATE("     ","*Benefits                                         ")</f>
        <v xml:space="preserve">     *Benefits                                         </v>
      </c>
      <c r="C60" s="14"/>
      <c r="D60" s="1">
        <f>SUM(OSRRefD22_0x_0)</f>
        <v>9413.4500000000007</v>
      </c>
      <c r="E60" s="1"/>
      <c r="F60" s="5">
        <f t="shared" si="13"/>
        <v>2.3859954616799645E-2</v>
      </c>
      <c r="G60" s="1"/>
      <c r="H60" s="1">
        <f>SUM(OSRRefH22_0x_0)</f>
        <v>11799.99</v>
      </c>
      <c r="I60" s="1"/>
      <c r="J60" s="5">
        <f t="shared" si="14"/>
        <v>2.6498790250601745E-2</v>
      </c>
      <c r="K60" s="1"/>
      <c r="L60" s="1">
        <f t="shared" si="15"/>
        <v>-2386.5399999999991</v>
      </c>
      <c r="M60" s="1"/>
      <c r="N60" s="5">
        <f t="shared" si="16"/>
        <v>-0.20224932394010495</v>
      </c>
      <c r="O60" s="14"/>
      <c r="P60" s="1">
        <f>SUM(OSRRefP22_0x_0)</f>
        <v>30333.209999999992</v>
      </c>
      <c r="Q60" s="1"/>
      <c r="R60" s="5">
        <f t="shared" si="17"/>
        <v>1.5719293879469215E-2</v>
      </c>
      <c r="S60" s="1"/>
      <c r="T60" s="1">
        <f>SUM(OSRRefT22_0x_0)</f>
        <v>35065.74</v>
      </c>
      <c r="U60" s="1"/>
      <c r="V60" s="5">
        <f t="shared" si="18"/>
        <v>1.5486909760955393E-2</v>
      </c>
      <c r="W60" s="1"/>
      <c r="X60" s="1">
        <f t="shared" si="19"/>
        <v>-4732.5300000000061</v>
      </c>
      <c r="Y60" s="1"/>
      <c r="Z60" s="5">
        <f t="shared" si="20"/>
        <v>-0.13496164632487453</v>
      </c>
    </row>
    <row r="61" spans="1:26" s="24" customFormat="1" hidden="1" outlineLevel="2" x14ac:dyDescent="0.25">
      <c r="A61" s="28"/>
      <c r="B61" s="11" t="str">
        <f>CONCATENATE("          ", "6111", " - ", "F.I.C.A.")</f>
        <v xml:space="preserve">          6111 - F.I.C.A.</v>
      </c>
      <c r="C61" s="11"/>
      <c r="D61" s="6">
        <v>1409.9</v>
      </c>
      <c r="E61" s="2"/>
      <c r="F61" s="7">
        <f t="shared" si="13"/>
        <v>3.573626036599315E-3</v>
      </c>
      <c r="G61" s="2"/>
      <c r="H61" s="6">
        <v>1735.17</v>
      </c>
      <c r="I61" s="2"/>
      <c r="J61" s="7">
        <f t="shared" si="14"/>
        <v>3.8966054953552196E-3</v>
      </c>
      <c r="K61" s="2"/>
      <c r="L61" s="6">
        <f t="shared" si="15"/>
        <v>-325.27</v>
      </c>
      <c r="M61" s="2"/>
      <c r="N61" s="7">
        <f t="shared" si="16"/>
        <v>-0.18745713676469739</v>
      </c>
      <c r="O61" s="11"/>
      <c r="P61" s="6">
        <v>4796.1499999999996</v>
      </c>
      <c r="Q61" s="2"/>
      <c r="R61" s="7">
        <f t="shared" si="17"/>
        <v>2.4854636663912684E-3</v>
      </c>
      <c r="S61" s="2"/>
      <c r="T61" s="6">
        <v>5636.33</v>
      </c>
      <c r="U61" s="2"/>
      <c r="V61" s="7">
        <f t="shared" si="18"/>
        <v>2.4893053474121952E-3</v>
      </c>
      <c r="W61" s="2"/>
      <c r="X61" s="6">
        <f t="shared" si="19"/>
        <v>-840.18000000000029</v>
      </c>
      <c r="Y61" s="2"/>
      <c r="Z61" s="7">
        <f t="shared" si="20"/>
        <v>-0.14906508313033487</v>
      </c>
    </row>
    <row r="62" spans="1:26" s="24" customFormat="1" hidden="1" outlineLevel="2" x14ac:dyDescent="0.25">
      <c r="A62" s="28"/>
      <c r="B62" s="11" t="str">
        <f>CONCATENATE("          ", "6112", " - ", "COMPENSATION INSURANCE")</f>
        <v xml:space="preserve">          6112 - COMPENSATION INSURANCE</v>
      </c>
      <c r="C62" s="11"/>
      <c r="D62" s="6">
        <v>74.67</v>
      </c>
      <c r="E62" s="2"/>
      <c r="F62" s="7">
        <f t="shared" si="13"/>
        <v>1.8926353369236884E-4</v>
      </c>
      <c r="G62" s="2"/>
      <c r="H62" s="6"/>
      <c r="I62" s="2"/>
      <c r="J62" s="7">
        <f t="shared" si="14"/>
        <v>0</v>
      </c>
      <c r="K62" s="2"/>
      <c r="L62" s="6">
        <f t="shared" si="15"/>
        <v>74.67</v>
      </c>
      <c r="M62" s="2"/>
      <c r="N62" s="7">
        <f t="shared" si="16"/>
        <v>0</v>
      </c>
      <c r="O62" s="11"/>
      <c r="P62" s="6">
        <v>256.11</v>
      </c>
      <c r="Q62" s="2"/>
      <c r="R62" s="7">
        <f t="shared" si="17"/>
        <v>1.3272147443250688E-4</v>
      </c>
      <c r="S62" s="2"/>
      <c r="T62" s="6">
        <v>209.75</v>
      </c>
      <c r="U62" s="2"/>
      <c r="V62" s="7">
        <f t="shared" si="18"/>
        <v>9.2636839329795795E-5</v>
      </c>
      <c r="W62" s="2"/>
      <c r="X62" s="6">
        <f t="shared" si="19"/>
        <v>46.360000000000014</v>
      </c>
      <c r="Y62" s="2"/>
      <c r="Z62" s="7">
        <f t="shared" si="20"/>
        <v>0.2210250297973779</v>
      </c>
    </row>
    <row r="63" spans="1:26" s="24" customFormat="1" hidden="1" outlineLevel="2" x14ac:dyDescent="0.25">
      <c r="A63" s="28"/>
      <c r="B63" s="11" t="str">
        <f>CONCATENATE("          ", "6113", " - ", "GROUP INSURANCE")</f>
        <v xml:space="preserve">          6113 - GROUP INSURANCE</v>
      </c>
      <c r="C63" s="11"/>
      <c r="D63" s="6">
        <v>4168.57</v>
      </c>
      <c r="E63" s="2"/>
      <c r="F63" s="7">
        <f t="shared" si="13"/>
        <v>1.0565933958001848E-2</v>
      </c>
      <c r="G63" s="2"/>
      <c r="H63" s="6">
        <v>5625.32</v>
      </c>
      <c r="I63" s="2"/>
      <c r="J63" s="7">
        <f t="shared" si="14"/>
        <v>1.2632567889677451E-2</v>
      </c>
      <c r="K63" s="2"/>
      <c r="L63" s="6">
        <f t="shared" si="15"/>
        <v>-1456.75</v>
      </c>
      <c r="M63" s="2"/>
      <c r="N63" s="7">
        <f t="shared" si="16"/>
        <v>-0.25896304565784706</v>
      </c>
      <c r="O63" s="11"/>
      <c r="P63" s="6">
        <v>12505.71</v>
      </c>
      <c r="Q63" s="2"/>
      <c r="R63" s="7">
        <f t="shared" si="17"/>
        <v>6.4807163719704242E-3</v>
      </c>
      <c r="S63" s="2"/>
      <c r="T63" s="6">
        <v>13359.65</v>
      </c>
      <c r="U63" s="2"/>
      <c r="V63" s="7">
        <f t="shared" si="18"/>
        <v>5.9003373089502095E-3</v>
      </c>
      <c r="W63" s="2"/>
      <c r="X63" s="6">
        <f t="shared" si="19"/>
        <v>-853.94000000000051</v>
      </c>
      <c r="Y63" s="2"/>
      <c r="Z63" s="7">
        <f t="shared" si="20"/>
        <v>-6.3919339204245654E-2</v>
      </c>
    </row>
    <row r="64" spans="1:26" s="24" customFormat="1" hidden="1" outlineLevel="2" x14ac:dyDescent="0.25">
      <c r="A64" s="28"/>
      <c r="B64" s="11" t="str">
        <f>CONCATENATE("          ", "6114", " - ", "STATE UNEMPLOYMENT INSURANCE")</f>
        <v xml:space="preserve">          6114 - STATE UNEMPLOYMENT INSURANCE</v>
      </c>
      <c r="C64" s="11"/>
      <c r="D64" s="6">
        <v>57.1</v>
      </c>
      <c r="E64" s="2"/>
      <c r="F64" s="7">
        <f t="shared" si="13"/>
        <v>1.4472944654927362E-4</v>
      </c>
      <c r="G64" s="2"/>
      <c r="H64" s="6">
        <v>111.55</v>
      </c>
      <c r="I64" s="2"/>
      <c r="J64" s="7">
        <f t="shared" si="14"/>
        <v>2.5050360656700768E-4</v>
      </c>
      <c r="K64" s="2"/>
      <c r="L64" s="6">
        <f t="shared" si="15"/>
        <v>-54.449999999999996</v>
      </c>
      <c r="M64" s="2"/>
      <c r="N64" s="7">
        <f t="shared" si="16"/>
        <v>-0.48812191842223218</v>
      </c>
      <c r="O64" s="11"/>
      <c r="P64" s="6">
        <v>170.53</v>
      </c>
      <c r="Q64" s="2"/>
      <c r="R64" s="7">
        <f t="shared" si="17"/>
        <v>8.8372156631819914E-5</v>
      </c>
      <c r="S64" s="2"/>
      <c r="T64" s="6">
        <v>287.45999999999998</v>
      </c>
      <c r="U64" s="2"/>
      <c r="V64" s="7">
        <f t="shared" si="18"/>
        <v>1.2695773937422216E-4</v>
      </c>
      <c r="W64" s="2"/>
      <c r="X64" s="6">
        <f t="shared" si="19"/>
        <v>-116.92999999999998</v>
      </c>
      <c r="Y64" s="2"/>
      <c r="Z64" s="7">
        <f t="shared" si="20"/>
        <v>-0.40676963751478462</v>
      </c>
    </row>
    <row r="65" spans="1:26" s="24" customFormat="1" hidden="1" outlineLevel="2" x14ac:dyDescent="0.25">
      <c r="A65" s="28"/>
      <c r="B65" s="11" t="str">
        <f>CONCATENATE("          ", "6115", " - ", "P.E.R.S.")</f>
        <v xml:space="preserve">          6115 - P.E.R.S.</v>
      </c>
      <c r="C65" s="11"/>
      <c r="D65" s="6">
        <v>1325.86</v>
      </c>
      <c r="E65" s="2"/>
      <c r="F65" s="7">
        <f t="shared" si="13"/>
        <v>3.3606126795415045E-3</v>
      </c>
      <c r="G65" s="2"/>
      <c r="H65" s="6">
        <v>1183.45</v>
      </c>
      <c r="I65" s="2"/>
      <c r="J65" s="7">
        <f t="shared" si="14"/>
        <v>2.6576288049459905E-3</v>
      </c>
      <c r="K65" s="2"/>
      <c r="L65" s="6">
        <f t="shared" si="15"/>
        <v>142.40999999999985</v>
      </c>
      <c r="M65" s="2"/>
      <c r="N65" s="7">
        <f t="shared" si="16"/>
        <v>0.12033461489712269</v>
      </c>
      <c r="O65" s="11"/>
      <c r="P65" s="6">
        <v>3977.58</v>
      </c>
      <c r="Q65" s="2"/>
      <c r="R65" s="7">
        <f t="shared" si="17"/>
        <v>2.0612638408232819E-3</v>
      </c>
      <c r="S65" s="2"/>
      <c r="T65" s="6">
        <v>4124.8500000000004</v>
      </c>
      <c r="U65" s="2"/>
      <c r="V65" s="7">
        <f t="shared" si="18"/>
        <v>1.821754787649622E-3</v>
      </c>
      <c r="W65" s="2"/>
      <c r="X65" s="6">
        <f t="shared" si="19"/>
        <v>-147.27000000000044</v>
      </c>
      <c r="Y65" s="2"/>
      <c r="Z65" s="7">
        <f t="shared" si="20"/>
        <v>-3.57031164769629E-2</v>
      </c>
    </row>
    <row r="66" spans="1:26" s="24" customFormat="1" hidden="1" outlineLevel="2" x14ac:dyDescent="0.25">
      <c r="A66" s="28"/>
      <c r="B66" s="11" t="str">
        <f>CONCATENATE("          ", "6117", " - ", "RETIREMENT STAFF HOURLY")</f>
        <v xml:space="preserve">          6117 - RETIREMENT STAFF HOURLY</v>
      </c>
      <c r="C66" s="11"/>
      <c r="D66" s="6">
        <v>145.97</v>
      </c>
      <c r="E66" s="2"/>
      <c r="F66" s="7">
        <f t="shared" si="13"/>
        <v>3.6998524190538475E-4</v>
      </c>
      <c r="G66" s="2"/>
      <c r="H66" s="6">
        <v>383.51</v>
      </c>
      <c r="I66" s="2"/>
      <c r="J66" s="7">
        <f t="shared" si="14"/>
        <v>8.6123386960567554E-4</v>
      </c>
      <c r="K66" s="2"/>
      <c r="L66" s="6">
        <f t="shared" si="15"/>
        <v>-237.54</v>
      </c>
      <c r="M66" s="2"/>
      <c r="N66" s="7">
        <f t="shared" si="16"/>
        <v>-0.61938410993194437</v>
      </c>
      <c r="O66" s="11"/>
      <c r="P66" s="6">
        <v>461.34</v>
      </c>
      <c r="Q66" s="2"/>
      <c r="R66" s="7">
        <f t="shared" si="17"/>
        <v>2.3907588541912739E-4</v>
      </c>
      <c r="S66" s="2"/>
      <c r="T66" s="6">
        <v>852.59</v>
      </c>
      <c r="U66" s="2"/>
      <c r="V66" s="7">
        <f t="shared" si="18"/>
        <v>3.7654942953130202E-4</v>
      </c>
      <c r="W66" s="2"/>
      <c r="X66" s="6">
        <f t="shared" si="19"/>
        <v>-391.25000000000006</v>
      </c>
      <c r="Y66" s="2"/>
      <c r="Z66" s="7">
        <f t="shared" si="20"/>
        <v>-0.45889583504380776</v>
      </c>
    </row>
    <row r="67" spans="1:26" s="24" customFormat="1" hidden="1" outlineLevel="2" x14ac:dyDescent="0.25">
      <c r="A67" s="28"/>
      <c r="B67" s="11" t="str">
        <f>CONCATENATE("          ", "6118", " - ", "VACATION")</f>
        <v xml:space="preserve">          6118 - VACATION</v>
      </c>
      <c r="C67" s="11"/>
      <c r="D67" s="6">
        <v>819.89</v>
      </c>
      <c r="E67" s="2"/>
      <c r="F67" s="7">
        <f t="shared" si="13"/>
        <v>2.0781475644708223E-3</v>
      </c>
      <c r="G67" s="2"/>
      <c r="H67" s="6">
        <v>1175.08</v>
      </c>
      <c r="I67" s="2"/>
      <c r="J67" s="7">
        <f t="shared" si="14"/>
        <v>2.638832613220613E-3</v>
      </c>
      <c r="K67" s="2"/>
      <c r="L67" s="6">
        <f t="shared" si="15"/>
        <v>-355.18999999999994</v>
      </c>
      <c r="M67" s="2"/>
      <c r="N67" s="7">
        <f t="shared" si="16"/>
        <v>-0.30226878169996935</v>
      </c>
      <c r="O67" s="11"/>
      <c r="P67" s="6">
        <v>3094.35</v>
      </c>
      <c r="Q67" s="2"/>
      <c r="R67" s="7">
        <f t="shared" si="17"/>
        <v>1.6035558721261476E-3</v>
      </c>
      <c r="S67" s="2"/>
      <c r="T67" s="6">
        <v>4566.87</v>
      </c>
      <c r="U67" s="2"/>
      <c r="V67" s="7">
        <f t="shared" si="18"/>
        <v>2.0169745050301049E-3</v>
      </c>
      <c r="W67" s="2"/>
      <c r="X67" s="6">
        <f t="shared" si="19"/>
        <v>-1472.52</v>
      </c>
      <c r="Y67" s="2"/>
      <c r="Z67" s="7">
        <f t="shared" si="20"/>
        <v>-0.3224352784292086</v>
      </c>
    </row>
    <row r="68" spans="1:26" s="24" customFormat="1" hidden="1" outlineLevel="2" x14ac:dyDescent="0.25">
      <c r="A68" s="28"/>
      <c r="B68" s="11" t="str">
        <f>CONCATENATE("          ", "6119", " - ", "SICK LEAVE")</f>
        <v xml:space="preserve">          6119 - SICK LEAVE</v>
      </c>
      <c r="C68" s="11"/>
      <c r="D68" s="6">
        <v>801.74</v>
      </c>
      <c r="E68" s="2"/>
      <c r="F68" s="7">
        <f t="shared" si="13"/>
        <v>2.0321433708654049E-3</v>
      </c>
      <c r="G68" s="2"/>
      <c r="H68" s="6">
        <v>900.92</v>
      </c>
      <c r="I68" s="2"/>
      <c r="J68" s="7">
        <f t="shared" si="14"/>
        <v>2.0231618935755138E-3</v>
      </c>
      <c r="K68" s="2"/>
      <c r="L68" s="6">
        <f t="shared" si="15"/>
        <v>-99.17999999999995</v>
      </c>
      <c r="M68" s="2"/>
      <c r="N68" s="7">
        <f t="shared" si="16"/>
        <v>-0.11008746614571766</v>
      </c>
      <c r="O68" s="11"/>
      <c r="P68" s="6">
        <v>3314.02</v>
      </c>
      <c r="Q68" s="2"/>
      <c r="R68" s="7">
        <f t="shared" si="17"/>
        <v>1.7173933883831809E-3</v>
      </c>
      <c r="S68" s="2"/>
      <c r="T68" s="6">
        <v>3920.42</v>
      </c>
      <c r="U68" s="2"/>
      <c r="V68" s="7">
        <f t="shared" si="18"/>
        <v>1.7314675453888823E-3</v>
      </c>
      <c r="W68" s="2"/>
      <c r="X68" s="6">
        <f t="shared" si="19"/>
        <v>-606.40000000000009</v>
      </c>
      <c r="Y68" s="2"/>
      <c r="Z68" s="7">
        <f t="shared" si="20"/>
        <v>-0.15467730498262944</v>
      </c>
    </row>
    <row r="69" spans="1:26" s="24" customFormat="1" hidden="1" outlineLevel="2" x14ac:dyDescent="0.25">
      <c r="A69" s="28"/>
      <c r="B69" s="11" t="str">
        <f>CONCATENATE("          ", "6156", " - ", "EMPLOYEE MEALS")</f>
        <v xml:space="preserve">          6156 - EMPLOYEE MEALS</v>
      </c>
      <c r="C69" s="11"/>
      <c r="D69" s="6">
        <v>609.75</v>
      </c>
      <c r="E69" s="2"/>
      <c r="F69" s="7">
        <f t="shared" si="13"/>
        <v>1.5455127851737231E-3</v>
      </c>
      <c r="G69" s="2"/>
      <c r="H69" s="6">
        <v>684.99</v>
      </c>
      <c r="I69" s="2"/>
      <c r="J69" s="7">
        <f t="shared" si="14"/>
        <v>1.5382560776542769E-3</v>
      </c>
      <c r="K69" s="2"/>
      <c r="L69" s="6">
        <f t="shared" si="15"/>
        <v>-75.240000000000009</v>
      </c>
      <c r="M69" s="2"/>
      <c r="N69" s="7">
        <f t="shared" si="16"/>
        <v>-0.10984101957692814</v>
      </c>
      <c r="O69" s="11"/>
      <c r="P69" s="6">
        <v>1757.42</v>
      </c>
      <c r="Q69" s="2"/>
      <c r="R69" s="7">
        <f t="shared" si="17"/>
        <v>9.1073122329146162E-4</v>
      </c>
      <c r="S69" s="2"/>
      <c r="T69" s="6">
        <v>2107.8200000000002</v>
      </c>
      <c r="U69" s="2"/>
      <c r="V69" s="7">
        <f t="shared" si="18"/>
        <v>9.309262582890593E-4</v>
      </c>
      <c r="W69" s="2"/>
      <c r="X69" s="6">
        <f t="shared" si="19"/>
        <v>-350.40000000000009</v>
      </c>
      <c r="Y69" s="2"/>
      <c r="Z69" s="7">
        <f t="shared" si="20"/>
        <v>-0.1662381038229071</v>
      </c>
    </row>
    <row r="70" spans="1:26" s="29" customFormat="1" outlineLevel="1" collapsed="1" x14ac:dyDescent="0.25">
      <c r="A70" s="27"/>
      <c r="B70" s="14" t="str">
        <f>CONCATENATE("     ","*Payroll                                          ")</f>
        <v xml:space="preserve">     *Payroll                                          </v>
      </c>
      <c r="C70" s="14"/>
      <c r="D70" s="1">
        <f>SUM(OSRRefD22_1x_0)</f>
        <v>19518.63</v>
      </c>
      <c r="E70" s="1"/>
      <c r="F70" s="5">
        <f t="shared" ref="F70:F75" si="21">IF(D$12=0,0,D70/D$12)</f>
        <v>4.9473213963223267E-2</v>
      </c>
      <c r="G70" s="1"/>
      <c r="H70" s="1">
        <f>SUM(OSRRefH22_1x_0)</f>
        <v>27488.55</v>
      </c>
      <c r="I70" s="1"/>
      <c r="J70" s="5">
        <f t="shared" ref="J70:J75" si="22">IF(H$12=0,0,H70/H$12)</f>
        <v>6.1729994749417469E-2</v>
      </c>
      <c r="K70" s="1"/>
      <c r="L70" s="1">
        <f t="shared" ref="L70:L75" si="23">+D70-H70</f>
        <v>-7969.9199999999983</v>
      </c>
      <c r="M70" s="1"/>
      <c r="N70" s="5">
        <f t="shared" ref="N70:N75" si="24">IF(H70=0,0,L70/H70)</f>
        <v>-0.28993599153101923</v>
      </c>
      <c r="O70" s="14"/>
      <c r="P70" s="1">
        <f>SUM(OSRRefP22_1x_0)</f>
        <v>70061.78</v>
      </c>
      <c r="Q70" s="1"/>
      <c r="R70" s="5">
        <f t="shared" ref="R70:R75" si="25">IF(P$12=0,0,P70/P$12)</f>
        <v>3.6307456729397218E-2</v>
      </c>
      <c r="S70" s="1"/>
      <c r="T70" s="1">
        <f>SUM(OSRRefT22_1x_0)</f>
        <v>88159.39</v>
      </c>
      <c r="U70" s="1"/>
      <c r="V70" s="5">
        <f t="shared" ref="V70:V75" si="26">IF(T$12=0,0,T70/T$12)</f>
        <v>3.8935910592814336E-2</v>
      </c>
      <c r="W70" s="1"/>
      <c r="X70" s="1">
        <f t="shared" ref="X70:X75" si="27">+P70-T70</f>
        <v>-18097.61</v>
      </c>
      <c r="Y70" s="1"/>
      <c r="Z70" s="5">
        <f t="shared" ref="Z70:Z75" si="28">IF(T70=0,0,X70/T70)</f>
        <v>-0.20528284054597021</v>
      </c>
    </row>
    <row r="71" spans="1:26" s="24" customFormat="1" hidden="1" outlineLevel="2" x14ac:dyDescent="0.25">
      <c r="A71" s="28"/>
      <c r="B71" s="11" t="str">
        <f>CONCATENATE("          ", "6002", " - ", "STAFF SALARIES")</f>
        <v xml:space="preserve">          6002 - STAFF SALARIES</v>
      </c>
      <c r="C71" s="11"/>
      <c r="D71" s="6">
        <v>12677.01</v>
      </c>
      <c r="E71" s="2"/>
      <c r="F71" s="7">
        <f t="shared" si="21"/>
        <v>3.2131990213653365E-2</v>
      </c>
      <c r="G71" s="2"/>
      <c r="H71" s="6">
        <v>12570.08</v>
      </c>
      <c r="I71" s="2"/>
      <c r="J71" s="7">
        <f t="shared" si="22"/>
        <v>2.8228152172441165E-2</v>
      </c>
      <c r="K71" s="2"/>
      <c r="L71" s="6">
        <f t="shared" si="23"/>
        <v>106.93000000000029</v>
      </c>
      <c r="M71" s="2"/>
      <c r="N71" s="7">
        <f t="shared" si="24"/>
        <v>8.5067079923119258E-3</v>
      </c>
      <c r="O71" s="11"/>
      <c r="P71" s="6">
        <v>44579.24</v>
      </c>
      <c r="Q71" s="2"/>
      <c r="R71" s="7">
        <f t="shared" si="25"/>
        <v>2.3101879902700354E-2</v>
      </c>
      <c r="S71" s="2"/>
      <c r="T71" s="6">
        <v>40091.78</v>
      </c>
      <c r="U71" s="2"/>
      <c r="V71" s="7">
        <f t="shared" si="26"/>
        <v>1.7706678342338595E-2</v>
      </c>
      <c r="W71" s="2"/>
      <c r="X71" s="6">
        <f t="shared" si="27"/>
        <v>4487.4599999999991</v>
      </c>
      <c r="Y71" s="2"/>
      <c r="Z71" s="7">
        <f t="shared" si="28"/>
        <v>0.11192967735530823</v>
      </c>
    </row>
    <row r="72" spans="1:26" s="24" customFormat="1" hidden="1" outlineLevel="2" x14ac:dyDescent="0.25">
      <c r="A72" s="28"/>
      <c r="B72" s="11" t="str">
        <f>CONCATENATE("          ", "6004", " - ", "STAFF HOURLY")</f>
        <v xml:space="preserve">          6004 - STAFF HOURLY</v>
      </c>
      <c r="C72" s="11"/>
      <c r="D72" s="6">
        <v>2912.97</v>
      </c>
      <c r="E72" s="2"/>
      <c r="F72" s="7">
        <f t="shared" si="21"/>
        <v>7.3834069337064372E-3</v>
      </c>
      <c r="G72" s="2"/>
      <c r="H72" s="6">
        <v>6196.2</v>
      </c>
      <c r="I72" s="2"/>
      <c r="J72" s="7">
        <f t="shared" si="22"/>
        <v>1.3914571465804508E-2</v>
      </c>
      <c r="K72" s="2"/>
      <c r="L72" s="6">
        <f t="shared" si="23"/>
        <v>-3283.23</v>
      </c>
      <c r="M72" s="2"/>
      <c r="N72" s="7">
        <f t="shared" si="24"/>
        <v>-0.52987798973564448</v>
      </c>
      <c r="O72" s="11"/>
      <c r="P72" s="6">
        <v>7749.22</v>
      </c>
      <c r="Q72" s="2"/>
      <c r="R72" s="7">
        <f t="shared" si="25"/>
        <v>4.0158053340434612E-3</v>
      </c>
      <c r="S72" s="2"/>
      <c r="T72" s="6">
        <v>17597.710000000003</v>
      </c>
      <c r="U72" s="2"/>
      <c r="V72" s="7">
        <f t="shared" si="26"/>
        <v>7.7720916988907795E-3</v>
      </c>
      <c r="W72" s="2"/>
      <c r="X72" s="6">
        <f t="shared" si="27"/>
        <v>-9848.4900000000016</v>
      </c>
      <c r="Y72" s="2"/>
      <c r="Z72" s="7">
        <f t="shared" si="28"/>
        <v>-0.55964611304539058</v>
      </c>
    </row>
    <row r="73" spans="1:26" s="24" customFormat="1" hidden="1" outlineLevel="2" x14ac:dyDescent="0.25">
      <c r="A73" s="28"/>
      <c r="B73" s="11" t="str">
        <f>CONCATENATE("          ", "6005", " - ", "TEMPORARY WAGES-HOURLY")</f>
        <v xml:space="preserve">          6005 - TEMPORARY WAGES-HOURLY</v>
      </c>
      <c r="C73" s="11"/>
      <c r="D73" s="6">
        <v>1592.13</v>
      </c>
      <c r="E73" s="2"/>
      <c r="F73" s="7">
        <f t="shared" si="21"/>
        <v>4.0355182790629603E-3</v>
      </c>
      <c r="G73" s="2"/>
      <c r="H73" s="6">
        <v>3399.19</v>
      </c>
      <c r="I73" s="2"/>
      <c r="J73" s="7">
        <f t="shared" si="22"/>
        <v>7.633432132734261E-3</v>
      </c>
      <c r="K73" s="2"/>
      <c r="L73" s="6">
        <f t="shared" si="23"/>
        <v>-1807.06</v>
      </c>
      <c r="M73" s="2"/>
      <c r="N73" s="7">
        <f t="shared" si="24"/>
        <v>-0.53161488472253682</v>
      </c>
      <c r="O73" s="11"/>
      <c r="P73" s="6">
        <v>4261.4799999999996</v>
      </c>
      <c r="Q73" s="2"/>
      <c r="R73" s="7">
        <f t="shared" si="25"/>
        <v>2.2083866653572269E-3</v>
      </c>
      <c r="S73" s="2"/>
      <c r="T73" s="6">
        <v>9236.8700000000008</v>
      </c>
      <c r="U73" s="2"/>
      <c r="V73" s="7">
        <f t="shared" si="26"/>
        <v>4.0794967442203149E-3</v>
      </c>
      <c r="W73" s="2"/>
      <c r="X73" s="6">
        <f t="shared" si="27"/>
        <v>-4975.3900000000012</v>
      </c>
      <c r="Y73" s="2"/>
      <c r="Z73" s="7">
        <f t="shared" si="28"/>
        <v>-0.53864458415025873</v>
      </c>
    </row>
    <row r="74" spans="1:26" s="24" customFormat="1" hidden="1" outlineLevel="2" x14ac:dyDescent="0.25">
      <c r="A74" s="28"/>
      <c r="B74" s="11" t="str">
        <f>CONCATENATE("          ", "6006", " - ", "TEMPORARY PART TIME")</f>
        <v xml:space="preserve">          6006 - TEMPORARY PART TIME</v>
      </c>
      <c r="C74" s="11"/>
      <c r="D74" s="6"/>
      <c r="E74" s="2"/>
      <c r="F74" s="7">
        <f t="shared" si="21"/>
        <v>0</v>
      </c>
      <c r="G74" s="2"/>
      <c r="H74" s="6">
        <v>784.31</v>
      </c>
      <c r="I74" s="2"/>
      <c r="J74" s="7">
        <f t="shared" si="22"/>
        <v>1.7612952368137138E-3</v>
      </c>
      <c r="K74" s="2"/>
      <c r="L74" s="6">
        <f t="shared" si="23"/>
        <v>-784.31</v>
      </c>
      <c r="M74" s="2"/>
      <c r="N74" s="7">
        <f t="shared" si="24"/>
        <v>-1</v>
      </c>
      <c r="O74" s="11"/>
      <c r="P74" s="6"/>
      <c r="Q74" s="2"/>
      <c r="R74" s="7">
        <f t="shared" si="25"/>
        <v>0</v>
      </c>
      <c r="S74" s="2"/>
      <c r="T74" s="6">
        <v>3028.56</v>
      </c>
      <c r="U74" s="2"/>
      <c r="V74" s="7">
        <f t="shared" si="26"/>
        <v>1.3375743795978373E-3</v>
      </c>
      <c r="W74" s="2"/>
      <c r="X74" s="6">
        <f t="shared" si="27"/>
        <v>-3028.56</v>
      </c>
      <c r="Y74" s="2"/>
      <c r="Z74" s="7">
        <f t="shared" si="28"/>
        <v>-1</v>
      </c>
    </row>
    <row r="75" spans="1:26" s="24" customFormat="1" hidden="1" outlineLevel="2" x14ac:dyDescent="0.25">
      <c r="A75" s="28"/>
      <c r="B75" s="11" t="str">
        <f>CONCATENATE("          ", "6007", " - ", "STUDENT HOURLY")</f>
        <v xml:space="preserve">          6007 - STUDENT HOURLY</v>
      </c>
      <c r="C75" s="11"/>
      <c r="D75" s="6">
        <v>2336.52</v>
      </c>
      <c r="E75" s="2"/>
      <c r="F75" s="7">
        <f t="shared" si="21"/>
        <v>5.9222985368005045E-3</v>
      </c>
      <c r="G75" s="2"/>
      <c r="H75" s="6">
        <v>4538.7700000000004</v>
      </c>
      <c r="I75" s="2"/>
      <c r="J75" s="7">
        <f t="shared" si="22"/>
        <v>1.0192543741623823E-2</v>
      </c>
      <c r="K75" s="2"/>
      <c r="L75" s="6">
        <f t="shared" si="23"/>
        <v>-2202.2500000000005</v>
      </c>
      <c r="M75" s="2"/>
      <c r="N75" s="7">
        <f t="shared" si="24"/>
        <v>-0.4852085476902333</v>
      </c>
      <c r="O75" s="11"/>
      <c r="P75" s="6">
        <v>13471.84</v>
      </c>
      <c r="Q75" s="2"/>
      <c r="R75" s="7">
        <f t="shared" si="25"/>
        <v>6.9813848272961753E-3</v>
      </c>
      <c r="S75" s="2"/>
      <c r="T75" s="6">
        <v>18204.47</v>
      </c>
      <c r="U75" s="2"/>
      <c r="V75" s="7">
        <f t="shared" si="26"/>
        <v>8.0400694277668067E-3</v>
      </c>
      <c r="W75" s="2"/>
      <c r="X75" s="6">
        <f t="shared" si="27"/>
        <v>-4732.630000000001</v>
      </c>
      <c r="Y75" s="2"/>
      <c r="Z75" s="7">
        <f t="shared" si="28"/>
        <v>-0.25997076542189917</v>
      </c>
    </row>
    <row r="76" spans="1:26" s="29" customFormat="1" outlineLevel="1" collapsed="1" x14ac:dyDescent="0.25">
      <c r="A76" s="27"/>
      <c r="B76" s="14" t="str">
        <f>CONCATENATE("     ","Advertising/Promo                                 ")</f>
        <v xml:space="preserve">     Advertising/Promo                                 </v>
      </c>
      <c r="C76" s="14"/>
      <c r="D76" s="1">
        <f>SUM(OSRRefD22_2x_0)</f>
        <v>58.83</v>
      </c>
      <c r="E76" s="1"/>
      <c r="F76" s="5">
        <f t="shared" ref="F76:F80" si="29">IF(D$12=0,0,D76/D$12)</f>
        <v>1.4911441927309573E-4</v>
      </c>
      <c r="G76" s="1"/>
      <c r="H76" s="1">
        <f>SUM(OSRRefH22_2x_0)</f>
        <v>210.3</v>
      </c>
      <c r="I76" s="1"/>
      <c r="J76" s="5">
        <f t="shared" ref="J76:J80" si="30">IF(H$12=0,0,H76/H$12)</f>
        <v>4.7226273833296024E-4</v>
      </c>
      <c r="K76" s="1"/>
      <c r="L76" s="1">
        <f t="shared" ref="L76:L80" si="31">+D76-H76</f>
        <v>-151.47000000000003</v>
      </c>
      <c r="M76" s="1"/>
      <c r="N76" s="5">
        <f t="shared" ref="N76:N80" si="32">IF(H76=0,0,L76/H76)</f>
        <v>-0.72025677603423688</v>
      </c>
      <c r="O76" s="14"/>
      <c r="P76" s="1">
        <f>SUM(OSRRefP22_2x_0)</f>
        <v>3055.02</v>
      </c>
      <c r="Q76" s="1"/>
      <c r="R76" s="5">
        <f t="shared" ref="R76:R80" si="33">IF(P$12=0,0,P76/P$12)</f>
        <v>1.5831742564554182E-3</v>
      </c>
      <c r="S76" s="1"/>
      <c r="T76" s="1">
        <f>SUM(OSRRefT22_2x_0)</f>
        <v>1864.6</v>
      </c>
      <c r="U76" s="1"/>
      <c r="V76" s="5">
        <f t="shared" ref="V76:V80" si="34">IF(T$12=0,0,T76/T$12)</f>
        <v>8.2350727348909293E-4</v>
      </c>
      <c r="W76" s="1"/>
      <c r="X76" s="1">
        <f t="shared" ref="X76:X80" si="35">+P76-T76</f>
        <v>1190.42</v>
      </c>
      <c r="Y76" s="1"/>
      <c r="Z76" s="5">
        <f t="shared" ref="Z76:Z80" si="36">IF(T76=0,0,X76/T76)</f>
        <v>0.63843183524616542</v>
      </c>
    </row>
    <row r="77" spans="1:26" s="24" customFormat="1" hidden="1" outlineLevel="2" x14ac:dyDescent="0.25">
      <c r="A77" s="28"/>
      <c r="B77" s="11" t="str">
        <f>CONCATENATE("          ", "6362", " - ", "ADVERTISING EXPENSE")</f>
        <v xml:space="preserve">          6362 - ADVERTISING EXPENSE</v>
      </c>
      <c r="C77" s="11"/>
      <c r="D77" s="6">
        <v>58.83</v>
      </c>
      <c r="E77" s="2"/>
      <c r="F77" s="7">
        <f t="shared" si="29"/>
        <v>1.4911441927309573E-4</v>
      </c>
      <c r="G77" s="2"/>
      <c r="H77" s="6">
        <v>210.3</v>
      </c>
      <c r="I77" s="2"/>
      <c r="J77" s="7">
        <f t="shared" si="30"/>
        <v>4.7226273833296024E-4</v>
      </c>
      <c r="K77" s="2"/>
      <c r="L77" s="6">
        <f t="shared" si="31"/>
        <v>-151.47000000000003</v>
      </c>
      <c r="M77" s="2"/>
      <c r="N77" s="7">
        <f t="shared" si="32"/>
        <v>-0.72025677603423688</v>
      </c>
      <c r="O77" s="11"/>
      <c r="P77" s="6">
        <v>3055.02</v>
      </c>
      <c r="Q77" s="2"/>
      <c r="R77" s="7">
        <f t="shared" si="33"/>
        <v>1.5831742564554182E-3</v>
      </c>
      <c r="S77" s="2"/>
      <c r="T77" s="6">
        <v>1864.6</v>
      </c>
      <c r="U77" s="2"/>
      <c r="V77" s="7">
        <f t="shared" si="34"/>
        <v>8.2350727348909293E-4</v>
      </c>
      <c r="W77" s="2"/>
      <c r="X77" s="6">
        <f t="shared" si="35"/>
        <v>1190.42</v>
      </c>
      <c r="Y77" s="2"/>
      <c r="Z77" s="7">
        <f t="shared" si="36"/>
        <v>0.63843183524616542</v>
      </c>
    </row>
    <row r="78" spans="1:26" s="29" customFormat="1" outlineLevel="1" collapsed="1" x14ac:dyDescent="0.25">
      <c r="A78" s="27"/>
      <c r="B78" s="14" t="str">
        <f>CONCATENATE("     ","Discounts and Markdowns                           ")</f>
        <v xml:space="preserve">     Discounts and Markdowns                           </v>
      </c>
      <c r="C78" s="14"/>
      <c r="D78" s="1">
        <f>SUM(OSRRefD22_3x_0)</f>
        <v>-9830.91</v>
      </c>
      <c r="E78" s="1"/>
      <c r="F78" s="5">
        <f t="shared" si="29"/>
        <v>-2.491807641638738E-2</v>
      </c>
      <c r="G78" s="1"/>
      <c r="H78" s="1">
        <f>SUM(OSRRefH22_3x_0)</f>
        <v>1426.58</v>
      </c>
      <c r="I78" s="1"/>
      <c r="J78" s="5">
        <f t="shared" si="30"/>
        <v>3.2036166298194694E-3</v>
      </c>
      <c r="K78" s="1"/>
      <c r="L78" s="1">
        <f t="shared" si="31"/>
        <v>-11257.49</v>
      </c>
      <c r="M78" s="1"/>
      <c r="N78" s="5">
        <f t="shared" si="32"/>
        <v>-7.8912433932902468</v>
      </c>
      <c r="O78" s="14"/>
      <c r="P78" s="1">
        <f>SUM(OSRRefP22_3x_0)</f>
        <v>-3197.4300000000003</v>
      </c>
      <c r="Q78" s="1"/>
      <c r="R78" s="5">
        <f t="shared" si="33"/>
        <v>-1.6569740501922239E-3</v>
      </c>
      <c r="S78" s="1"/>
      <c r="T78" s="1">
        <f>SUM(OSRRefT22_3x_0)</f>
        <v>17096.920000000002</v>
      </c>
      <c r="U78" s="1"/>
      <c r="V78" s="5">
        <f t="shared" si="34"/>
        <v>7.550916000354577E-3</v>
      </c>
      <c r="W78" s="1"/>
      <c r="X78" s="1">
        <f t="shared" si="35"/>
        <v>-20294.350000000002</v>
      </c>
      <c r="Y78" s="1"/>
      <c r="Z78" s="5">
        <f t="shared" si="36"/>
        <v>-1.1870178956209656</v>
      </c>
    </row>
    <row r="79" spans="1:26" s="24" customFormat="1" hidden="1" outlineLevel="2" x14ac:dyDescent="0.25">
      <c r="A79" s="28"/>
      <c r="B79" s="11" t="str">
        <f>CONCATENATE("          ", "6382", " - ", "DISCOUNTS/MARK DOWNS")</f>
        <v xml:space="preserve">          6382 - DISCOUNTS/MARK DOWNS</v>
      </c>
      <c r="C79" s="11"/>
      <c r="D79" s="6">
        <v>-9813.15</v>
      </c>
      <c r="E79" s="2"/>
      <c r="F79" s="7">
        <f t="shared" si="29"/>
        <v>-2.4873060742644559E-2</v>
      </c>
      <c r="G79" s="2"/>
      <c r="H79" s="6">
        <v>1376.34</v>
      </c>
      <c r="I79" s="2"/>
      <c r="J79" s="7">
        <f t="shared" si="30"/>
        <v>3.0907945662253279E-3</v>
      </c>
      <c r="K79" s="2"/>
      <c r="L79" s="6">
        <f t="shared" si="31"/>
        <v>-11189.49</v>
      </c>
      <c r="M79" s="2"/>
      <c r="N79" s="7">
        <f t="shared" si="32"/>
        <v>-8.1298879637298924</v>
      </c>
      <c r="O79" s="11"/>
      <c r="P79" s="6">
        <v>-2756.94</v>
      </c>
      <c r="Q79" s="2"/>
      <c r="R79" s="7">
        <f t="shared" si="33"/>
        <v>-1.4287030640035747E-3</v>
      </c>
      <c r="S79" s="2"/>
      <c r="T79" s="6">
        <v>17203.72</v>
      </c>
      <c r="U79" s="2"/>
      <c r="V79" s="7">
        <f t="shared" si="34"/>
        <v>7.598084603169462E-3</v>
      </c>
      <c r="W79" s="2"/>
      <c r="X79" s="6">
        <f t="shared" si="35"/>
        <v>-19960.66</v>
      </c>
      <c r="Y79" s="2"/>
      <c r="Z79" s="7">
        <f t="shared" si="36"/>
        <v>-1.1602525500298773</v>
      </c>
    </row>
    <row r="80" spans="1:26" s="24" customFormat="1" hidden="1" outlineLevel="2" x14ac:dyDescent="0.25">
      <c r="A80" s="28"/>
      <c r="B80" s="11" t="str">
        <f>CONCATENATE("          ", "9175", " - ", "EARNED DISCOUNTS")</f>
        <v xml:space="preserve">          9175 - EARNED DISCOUNTS</v>
      </c>
      <c r="C80" s="11"/>
      <c r="D80" s="6">
        <v>-17.760000000000002</v>
      </c>
      <c r="E80" s="2"/>
      <c r="F80" s="7">
        <f t="shared" si="29"/>
        <v>-4.5015673742821362E-5</v>
      </c>
      <c r="G80" s="2"/>
      <c r="H80" s="6">
        <v>50.24</v>
      </c>
      <c r="I80" s="2"/>
      <c r="J80" s="7">
        <f t="shared" si="30"/>
        <v>1.1282206359414133E-4</v>
      </c>
      <c r="K80" s="2"/>
      <c r="L80" s="6">
        <f t="shared" si="31"/>
        <v>-68</v>
      </c>
      <c r="M80" s="2"/>
      <c r="N80" s="7">
        <f t="shared" si="32"/>
        <v>-1.3535031847133758</v>
      </c>
      <c r="O80" s="11"/>
      <c r="P80" s="6">
        <v>-440.49</v>
      </c>
      <c r="Q80" s="2"/>
      <c r="R80" s="7">
        <f t="shared" si="33"/>
        <v>-2.2827098618864923E-4</v>
      </c>
      <c r="S80" s="2"/>
      <c r="T80" s="6">
        <v>-106.8</v>
      </c>
      <c r="U80" s="2"/>
      <c r="V80" s="7">
        <f t="shared" si="34"/>
        <v>-4.7168602814885296E-5</v>
      </c>
      <c r="W80" s="2"/>
      <c r="X80" s="6">
        <f t="shared" si="35"/>
        <v>-333.69</v>
      </c>
      <c r="Y80" s="2"/>
      <c r="Z80" s="7">
        <f t="shared" si="36"/>
        <v>3.124438202247191</v>
      </c>
    </row>
    <row r="81" spans="1:26" s="29" customFormat="1" outlineLevel="1" collapsed="1" x14ac:dyDescent="0.25">
      <c r="A81" s="27"/>
      <c r="B81" s="14" t="str">
        <f>CONCATENATE("     ","Employees' Appreciation                           ")</f>
        <v xml:space="preserve">     Employees' Appreciation                           </v>
      </c>
      <c r="C81" s="14"/>
      <c r="D81" s="1">
        <f>SUM(OSRRefD22_4x_0)</f>
        <v>0</v>
      </c>
      <c r="E81" s="1"/>
      <c r="F81" s="5">
        <f t="shared" ref="F81:F87" si="37">IF(D$12=0,0,D81/D$12)</f>
        <v>0</v>
      </c>
      <c r="G81" s="1"/>
      <c r="H81" s="1">
        <f>SUM(OSRRefH22_4x_0)</f>
        <v>0</v>
      </c>
      <c r="I81" s="1"/>
      <c r="J81" s="5">
        <f t="shared" ref="J81:J87" si="38">IF(H$12=0,0,H81/H$12)</f>
        <v>0</v>
      </c>
      <c r="K81" s="1"/>
      <c r="L81" s="1">
        <f t="shared" ref="L81:L87" si="39">+D81-H81</f>
        <v>0</v>
      </c>
      <c r="M81" s="1"/>
      <c r="N81" s="5">
        <f t="shared" ref="N81:N87" si="40">IF(H81=0,0,L81/H81)</f>
        <v>0</v>
      </c>
      <c r="O81" s="14"/>
      <c r="P81" s="1">
        <f>SUM(OSRRefP22_4x_0)</f>
        <v>0</v>
      </c>
      <c r="Q81" s="1"/>
      <c r="R81" s="5">
        <f t="shared" ref="R81:R87" si="41">IF(P$12=0,0,P81/P$12)</f>
        <v>0</v>
      </c>
      <c r="S81" s="1"/>
      <c r="T81" s="1">
        <f>SUM(OSRRefT22_4x_0)</f>
        <v>20.57</v>
      </c>
      <c r="U81" s="1"/>
      <c r="V81" s="5">
        <f t="shared" ref="V81:V87" si="42">IF(T$12=0,0,T81/T$12)</f>
        <v>9.0848142312939199E-6</v>
      </c>
      <c r="W81" s="1"/>
      <c r="X81" s="1">
        <f t="shared" ref="X81:X87" si="43">+P81-T81</f>
        <v>-20.57</v>
      </c>
      <c r="Y81" s="1"/>
      <c r="Z81" s="5">
        <f t="shared" ref="Z81:Z87" si="44">IF(T81=0,0,X81/T81)</f>
        <v>-1</v>
      </c>
    </row>
    <row r="82" spans="1:26" s="24" customFormat="1" hidden="1" outlineLevel="2" x14ac:dyDescent="0.25">
      <c r="A82" s="28"/>
      <c r="B82" s="11" t="str">
        <f>CONCATENATE("          ", "6277", " - ", "EMPLOYEE APPRECIATION")</f>
        <v xml:space="preserve">          6277 - EMPLOYEE APPRECIATION</v>
      </c>
      <c r="C82" s="11"/>
      <c r="D82" s="6"/>
      <c r="E82" s="2"/>
      <c r="F82" s="7">
        <f t="shared" si="37"/>
        <v>0</v>
      </c>
      <c r="G82" s="2"/>
      <c r="H82" s="6"/>
      <c r="I82" s="2"/>
      <c r="J82" s="7">
        <f t="shared" si="38"/>
        <v>0</v>
      </c>
      <c r="K82" s="2"/>
      <c r="L82" s="6">
        <f t="shared" si="39"/>
        <v>0</v>
      </c>
      <c r="M82" s="2"/>
      <c r="N82" s="7">
        <f t="shared" si="40"/>
        <v>0</v>
      </c>
      <c r="O82" s="11"/>
      <c r="P82" s="6"/>
      <c r="Q82" s="2"/>
      <c r="R82" s="7">
        <f t="shared" si="41"/>
        <v>0</v>
      </c>
      <c r="S82" s="2"/>
      <c r="T82" s="6">
        <v>20.57</v>
      </c>
      <c r="U82" s="2"/>
      <c r="V82" s="7">
        <f t="shared" si="42"/>
        <v>9.0848142312939199E-6</v>
      </c>
      <c r="W82" s="2"/>
      <c r="X82" s="6">
        <f t="shared" si="43"/>
        <v>-20.57</v>
      </c>
      <c r="Y82" s="2"/>
      <c r="Z82" s="7">
        <f t="shared" si="44"/>
        <v>-1</v>
      </c>
    </row>
    <row r="83" spans="1:26" s="29" customFormat="1" outlineLevel="1" collapsed="1" x14ac:dyDescent="0.25">
      <c r="A83" s="27"/>
      <c r="B83" s="14" t="str">
        <f>CONCATENATE("     ","Equipment Rental                                  ")</f>
        <v xml:space="preserve">     Equipment Rental                                  </v>
      </c>
      <c r="C83" s="14"/>
      <c r="D83" s="1">
        <f>SUM(OSRRefD22_5x_0)</f>
        <v>91.26</v>
      </c>
      <c r="E83" s="1"/>
      <c r="F83" s="5">
        <f t="shared" si="37"/>
        <v>2.31313647847403E-4</v>
      </c>
      <c r="G83" s="1"/>
      <c r="H83" s="1">
        <f>SUM(OSRRefH22_5x_0)</f>
        <v>91.26</v>
      </c>
      <c r="I83" s="1"/>
      <c r="J83" s="5">
        <f t="shared" si="38"/>
        <v>2.0493912268314767E-4</v>
      </c>
      <c r="K83" s="1"/>
      <c r="L83" s="1">
        <f t="shared" si="39"/>
        <v>0</v>
      </c>
      <c r="M83" s="1"/>
      <c r="N83" s="5">
        <f t="shared" si="40"/>
        <v>0</v>
      </c>
      <c r="O83" s="14"/>
      <c r="P83" s="1">
        <f>SUM(OSRRefP22_5x_0)</f>
        <v>273.77999999999997</v>
      </c>
      <c r="Q83" s="1"/>
      <c r="R83" s="5">
        <f t="shared" si="41"/>
        <v>1.4187843219761714E-4</v>
      </c>
      <c r="S83" s="1"/>
      <c r="T83" s="1">
        <f>SUM(OSRRefT22_5x_0)</f>
        <v>273.77999999999997</v>
      </c>
      <c r="U83" s="1"/>
      <c r="V83" s="5">
        <f t="shared" si="42"/>
        <v>1.2091591833950651E-4</v>
      </c>
      <c r="W83" s="1"/>
      <c r="X83" s="1">
        <f t="shared" si="43"/>
        <v>0</v>
      </c>
      <c r="Y83" s="1"/>
      <c r="Z83" s="5">
        <f t="shared" si="44"/>
        <v>0</v>
      </c>
    </row>
    <row r="84" spans="1:26" s="24" customFormat="1" hidden="1" outlineLevel="2" x14ac:dyDescent="0.25">
      <c r="A84" s="28"/>
      <c r="B84" s="11" t="str">
        <f>CONCATENATE("          ", "6351", " - ", "EQUIPMENT RENTAL")</f>
        <v xml:space="preserve">          6351 - EQUIPMENT RENTAL</v>
      </c>
      <c r="C84" s="11"/>
      <c r="D84" s="6">
        <v>91.26</v>
      </c>
      <c r="E84" s="2"/>
      <c r="F84" s="7">
        <f t="shared" si="37"/>
        <v>2.31313647847403E-4</v>
      </c>
      <c r="G84" s="2"/>
      <c r="H84" s="6">
        <v>91.26</v>
      </c>
      <c r="I84" s="2"/>
      <c r="J84" s="7">
        <f t="shared" si="38"/>
        <v>2.0493912268314767E-4</v>
      </c>
      <c r="K84" s="2"/>
      <c r="L84" s="6">
        <f t="shared" si="39"/>
        <v>0</v>
      </c>
      <c r="M84" s="2"/>
      <c r="N84" s="7">
        <f t="shared" si="40"/>
        <v>0</v>
      </c>
      <c r="O84" s="11"/>
      <c r="P84" s="6">
        <v>273.77999999999997</v>
      </c>
      <c r="Q84" s="2"/>
      <c r="R84" s="7">
        <f t="shared" si="41"/>
        <v>1.4187843219761714E-4</v>
      </c>
      <c r="S84" s="2"/>
      <c r="T84" s="6">
        <v>273.77999999999997</v>
      </c>
      <c r="U84" s="2"/>
      <c r="V84" s="7">
        <f t="shared" si="42"/>
        <v>1.2091591833950651E-4</v>
      </c>
      <c r="W84" s="2"/>
      <c r="X84" s="6">
        <f t="shared" si="43"/>
        <v>0</v>
      </c>
      <c r="Y84" s="2"/>
      <c r="Z84" s="7">
        <f t="shared" si="44"/>
        <v>0</v>
      </c>
    </row>
    <row r="85" spans="1:26" s="29" customFormat="1" outlineLevel="1" collapsed="1" x14ac:dyDescent="0.25">
      <c r="A85" s="27"/>
      <c r="B85" s="14" t="str">
        <f>CONCATENATE("     ","Freight out/Postage                               ")</f>
        <v xml:space="preserve">     Freight out/Postage                               </v>
      </c>
      <c r="C85" s="14"/>
      <c r="D85" s="1">
        <f>SUM(OSRRefD22_6x_0)</f>
        <v>2138.08</v>
      </c>
      <c r="E85" s="1"/>
      <c r="F85" s="5">
        <f t="shared" si="37"/>
        <v>5.4193193533812771E-3</v>
      </c>
      <c r="G85" s="1"/>
      <c r="H85" s="1">
        <f>SUM(OSRRefH22_6x_0)</f>
        <v>3590.37</v>
      </c>
      <c r="I85" s="1"/>
      <c r="J85" s="5">
        <f t="shared" si="38"/>
        <v>8.0627578118331444E-3</v>
      </c>
      <c r="K85" s="1"/>
      <c r="L85" s="1">
        <f t="shared" si="39"/>
        <v>-1452.29</v>
      </c>
      <c r="M85" s="1"/>
      <c r="N85" s="5">
        <f t="shared" si="40"/>
        <v>-0.40449591546275177</v>
      </c>
      <c r="O85" s="14"/>
      <c r="P85" s="1">
        <f>SUM(OSRRefP22_6x_0)</f>
        <v>2802.41</v>
      </c>
      <c r="Q85" s="1"/>
      <c r="R85" s="5">
        <f t="shared" si="41"/>
        <v>1.4522665540759891E-3</v>
      </c>
      <c r="S85" s="1"/>
      <c r="T85" s="1">
        <f>SUM(OSRRefT22_6x_0)</f>
        <v>4813.91</v>
      </c>
      <c r="U85" s="1"/>
      <c r="V85" s="5">
        <f t="shared" si="42"/>
        <v>2.1260806065225139E-3</v>
      </c>
      <c r="W85" s="1"/>
      <c r="X85" s="1">
        <f t="shared" si="43"/>
        <v>-2011.5</v>
      </c>
      <c r="Y85" s="1"/>
      <c r="Z85" s="5">
        <f t="shared" si="44"/>
        <v>-0.41785160088161183</v>
      </c>
    </row>
    <row r="86" spans="1:26" s="24" customFormat="1" hidden="1" outlineLevel="2" x14ac:dyDescent="0.25">
      <c r="A86" s="28"/>
      <c r="B86" s="11" t="str">
        <f>CONCATENATE("          ", "6305", " - ", "FREIGHT OUT")</f>
        <v xml:space="preserve">          6305 - FREIGHT OUT</v>
      </c>
      <c r="C86" s="11"/>
      <c r="D86" s="6">
        <v>2137.58</v>
      </c>
      <c r="E86" s="2"/>
      <c r="F86" s="7">
        <f t="shared" si="37"/>
        <v>5.4180520202241032E-3</v>
      </c>
      <c r="G86" s="2"/>
      <c r="H86" s="6">
        <v>3590.37</v>
      </c>
      <c r="I86" s="2"/>
      <c r="J86" s="7">
        <f t="shared" si="38"/>
        <v>8.0627578118331444E-3</v>
      </c>
      <c r="K86" s="2"/>
      <c r="L86" s="6">
        <f t="shared" si="39"/>
        <v>-1452.79</v>
      </c>
      <c r="M86" s="2"/>
      <c r="N86" s="7">
        <f t="shared" si="40"/>
        <v>-0.40463517687592088</v>
      </c>
      <c r="O86" s="11"/>
      <c r="P86" s="6">
        <v>2801.91</v>
      </c>
      <c r="Q86" s="2"/>
      <c r="R86" s="7">
        <f t="shared" si="41"/>
        <v>1.4520074437826922E-3</v>
      </c>
      <c r="S86" s="2"/>
      <c r="T86" s="6">
        <v>4813.4399999999996</v>
      </c>
      <c r="U86" s="2"/>
      <c r="V86" s="7">
        <f t="shared" si="42"/>
        <v>2.1258730293378415E-3</v>
      </c>
      <c r="W86" s="2"/>
      <c r="X86" s="6">
        <f t="shared" si="43"/>
        <v>-2011.5299999999997</v>
      </c>
      <c r="Y86" s="2"/>
      <c r="Z86" s="7">
        <f t="shared" si="44"/>
        <v>-0.41789863382528919</v>
      </c>
    </row>
    <row r="87" spans="1:26" s="24" customFormat="1" hidden="1" outlineLevel="2" x14ac:dyDescent="0.25">
      <c r="A87" s="28"/>
      <c r="B87" s="11" t="str">
        <f>CONCATENATE("          ", "6307", " - ", "POSTAGE")</f>
        <v xml:space="preserve">          6307 - POSTAGE</v>
      </c>
      <c r="C87" s="11"/>
      <c r="D87" s="6">
        <v>0.5</v>
      </c>
      <c r="E87" s="2"/>
      <c r="F87" s="7">
        <f t="shared" si="37"/>
        <v>1.2673331571740246E-6</v>
      </c>
      <c r="G87" s="2"/>
      <c r="H87" s="6"/>
      <c r="I87" s="2"/>
      <c r="J87" s="7">
        <f t="shared" si="38"/>
        <v>0</v>
      </c>
      <c r="K87" s="2"/>
      <c r="L87" s="6">
        <f t="shared" si="39"/>
        <v>0.5</v>
      </c>
      <c r="M87" s="2"/>
      <c r="N87" s="7">
        <f t="shared" si="40"/>
        <v>0</v>
      </c>
      <c r="O87" s="11"/>
      <c r="P87" s="6">
        <v>0.5</v>
      </c>
      <c r="Q87" s="2"/>
      <c r="R87" s="7">
        <f t="shared" si="41"/>
        <v>2.5911029329683899E-7</v>
      </c>
      <c r="S87" s="2"/>
      <c r="T87" s="6">
        <v>0.47</v>
      </c>
      <c r="U87" s="2"/>
      <c r="V87" s="7">
        <f t="shared" si="42"/>
        <v>2.0757718467224803E-7</v>
      </c>
      <c r="W87" s="2"/>
      <c r="X87" s="6">
        <f t="shared" si="43"/>
        <v>3.0000000000000027E-2</v>
      </c>
      <c r="Y87" s="2"/>
      <c r="Z87" s="7">
        <f t="shared" si="44"/>
        <v>6.3829787234042618E-2</v>
      </c>
    </row>
    <row r="88" spans="1:26" s="29" customFormat="1" outlineLevel="1" collapsed="1" x14ac:dyDescent="0.25">
      <c r="A88" s="27"/>
      <c r="B88" s="14" t="str">
        <f>CONCATENATE("     ","General                                           ")</f>
        <v xml:space="preserve">     General                                           </v>
      </c>
      <c r="C88" s="14"/>
      <c r="D88" s="1">
        <f>SUM(OSRRefD22_7x_0)</f>
        <v>-1500</v>
      </c>
      <c r="E88" s="1"/>
      <c r="F88" s="5">
        <f t="shared" ref="F88:F94" si="45">IF(D$12=0,0,D88/D$12)</f>
        <v>-3.8019994715220739E-3</v>
      </c>
      <c r="G88" s="1"/>
      <c r="H88" s="1">
        <f>SUM(OSRRefH22_7x_0)</f>
        <v>-71.84</v>
      </c>
      <c r="I88" s="1"/>
      <c r="J88" s="5">
        <f t="shared" ref="J88:J94" si="46">IF(H$12=0,0,H88/H$12)</f>
        <v>-1.6132836482092184E-4</v>
      </c>
      <c r="K88" s="1"/>
      <c r="L88" s="1">
        <f t="shared" ref="L88:L94" si="47">+D88-H88</f>
        <v>-1428.16</v>
      </c>
      <c r="M88" s="1"/>
      <c r="N88" s="5">
        <f t="shared" ref="N88:N94" si="48">IF(H88=0,0,L88/H88)</f>
        <v>19.879732739420934</v>
      </c>
      <c r="O88" s="14"/>
      <c r="P88" s="1">
        <f>SUM(OSRRefP22_7x_0)</f>
        <v>-1492.16</v>
      </c>
      <c r="Q88" s="1"/>
      <c r="R88" s="5">
        <f t="shared" ref="R88:R94" si="49">IF(P$12=0,0,P88/P$12)</f>
        <v>-7.732680304916226E-4</v>
      </c>
      <c r="S88" s="1"/>
      <c r="T88" s="1">
        <f>SUM(OSRRefT22_7x_0)</f>
        <v>-648.41999999999996</v>
      </c>
      <c r="U88" s="1"/>
      <c r="V88" s="5">
        <f t="shared" ref="V88:V94" si="50">IF(T$12=0,0,T88/T$12)</f>
        <v>-2.8637701720250866E-4</v>
      </c>
      <c r="W88" s="1"/>
      <c r="X88" s="1">
        <f t="shared" ref="X88:X94" si="51">+P88-T88</f>
        <v>-843.74000000000012</v>
      </c>
      <c r="Y88" s="1"/>
      <c r="Z88" s="5">
        <f t="shared" ref="Z88:Z94" si="52">IF(T88=0,0,X88/T88)</f>
        <v>1.3012245149748622</v>
      </c>
    </row>
    <row r="89" spans="1:26" s="24" customFormat="1" hidden="1" outlineLevel="2" x14ac:dyDescent="0.25">
      <c r="A89" s="28"/>
      <c r="B89" s="11" t="str">
        <f>CONCATENATE("          ", "6279", " - ", "GENERAL EXPENSE")</f>
        <v xml:space="preserve">          6279 - GENERAL EXPENSE</v>
      </c>
      <c r="C89" s="11"/>
      <c r="D89" s="6">
        <v>-1500</v>
      </c>
      <c r="E89" s="2"/>
      <c r="F89" s="7">
        <f t="shared" si="45"/>
        <v>-3.8019994715220739E-3</v>
      </c>
      <c r="G89" s="2"/>
      <c r="H89" s="6">
        <v>-71.84</v>
      </c>
      <c r="I89" s="2"/>
      <c r="J89" s="7">
        <f t="shared" si="46"/>
        <v>-1.6132836482092184E-4</v>
      </c>
      <c r="K89" s="2"/>
      <c r="L89" s="6">
        <f t="shared" si="47"/>
        <v>-1428.16</v>
      </c>
      <c r="M89" s="2"/>
      <c r="N89" s="7">
        <f t="shared" si="48"/>
        <v>19.879732739420934</v>
      </c>
      <c r="O89" s="11"/>
      <c r="P89" s="6">
        <v>-1492.16</v>
      </c>
      <c r="Q89" s="2"/>
      <c r="R89" s="7">
        <f t="shared" si="49"/>
        <v>-7.732680304916226E-4</v>
      </c>
      <c r="S89" s="2"/>
      <c r="T89" s="6">
        <v>-648.41999999999996</v>
      </c>
      <c r="U89" s="2"/>
      <c r="V89" s="7">
        <f t="shared" si="50"/>
        <v>-2.8637701720250866E-4</v>
      </c>
      <c r="W89" s="2"/>
      <c r="X89" s="6">
        <f t="shared" si="51"/>
        <v>-843.74000000000012</v>
      </c>
      <c r="Y89" s="2"/>
      <c r="Z89" s="7">
        <f t="shared" si="52"/>
        <v>1.3012245149748622</v>
      </c>
    </row>
    <row r="90" spans="1:26" s="29" customFormat="1" outlineLevel="1" collapsed="1" x14ac:dyDescent="0.25">
      <c r="A90" s="27"/>
      <c r="B90" s="14" t="str">
        <f>CONCATENATE("     ","Inventory Adjustment                              ")</f>
        <v xml:space="preserve">     Inventory Adjustment                              </v>
      </c>
      <c r="C90" s="14"/>
      <c r="D90" s="1">
        <f>SUM(OSRRefD22_8x_0)</f>
        <v>1000</v>
      </c>
      <c r="E90" s="1"/>
      <c r="F90" s="5">
        <f t="shared" si="45"/>
        <v>2.5346663143480494E-3</v>
      </c>
      <c r="G90" s="1"/>
      <c r="H90" s="1">
        <f>SUM(OSRRefH22_8x_0)</f>
        <v>6950</v>
      </c>
      <c r="I90" s="1"/>
      <c r="J90" s="5">
        <f t="shared" si="46"/>
        <v>1.5607351552135395E-2</v>
      </c>
      <c r="K90" s="1"/>
      <c r="L90" s="1">
        <f t="shared" si="47"/>
        <v>-5950</v>
      </c>
      <c r="M90" s="1"/>
      <c r="N90" s="5">
        <f t="shared" si="48"/>
        <v>-0.85611510791366907</v>
      </c>
      <c r="O90" s="14"/>
      <c r="P90" s="1">
        <f>SUM(OSRRefP22_8x_0)</f>
        <v>3000</v>
      </c>
      <c r="Q90" s="1"/>
      <c r="R90" s="5">
        <f t="shared" si="49"/>
        <v>1.554661759781034E-3</v>
      </c>
      <c r="S90" s="1"/>
      <c r="T90" s="1">
        <f>SUM(OSRRefT22_8x_0)</f>
        <v>20850</v>
      </c>
      <c r="U90" s="1"/>
      <c r="V90" s="5">
        <f t="shared" si="50"/>
        <v>9.2084772349284496E-3</v>
      </c>
      <c r="W90" s="1"/>
      <c r="X90" s="1">
        <f t="shared" si="51"/>
        <v>-17850</v>
      </c>
      <c r="Y90" s="1"/>
      <c r="Z90" s="5">
        <f t="shared" si="52"/>
        <v>-0.85611510791366907</v>
      </c>
    </row>
    <row r="91" spans="1:26" s="24" customFormat="1" hidden="1" outlineLevel="2" x14ac:dyDescent="0.25">
      <c r="A91" s="28"/>
      <c r="B91" s="11" t="str">
        <f>CONCATENATE("          ", "6408", " - ", "INVENTORY ADJUSTMENT")</f>
        <v xml:space="preserve">          6408 - INVENTORY ADJUSTMENT</v>
      </c>
      <c r="C91" s="11"/>
      <c r="D91" s="6">
        <v>1000</v>
      </c>
      <c r="E91" s="2"/>
      <c r="F91" s="7">
        <f t="shared" si="45"/>
        <v>2.5346663143480494E-3</v>
      </c>
      <c r="G91" s="2"/>
      <c r="H91" s="6">
        <v>6950</v>
      </c>
      <c r="I91" s="2"/>
      <c r="J91" s="7">
        <f t="shared" si="46"/>
        <v>1.5607351552135395E-2</v>
      </c>
      <c r="K91" s="2"/>
      <c r="L91" s="6">
        <f t="shared" si="47"/>
        <v>-5950</v>
      </c>
      <c r="M91" s="2"/>
      <c r="N91" s="7">
        <f t="shared" si="48"/>
        <v>-0.85611510791366907</v>
      </c>
      <c r="O91" s="11"/>
      <c r="P91" s="6">
        <v>3000</v>
      </c>
      <c r="Q91" s="2"/>
      <c r="R91" s="7">
        <f t="shared" si="49"/>
        <v>1.554661759781034E-3</v>
      </c>
      <c r="S91" s="2"/>
      <c r="T91" s="6">
        <v>20850</v>
      </c>
      <c r="U91" s="2"/>
      <c r="V91" s="7">
        <f t="shared" si="50"/>
        <v>9.2084772349284496E-3</v>
      </c>
      <c r="W91" s="2"/>
      <c r="X91" s="6">
        <f t="shared" si="51"/>
        <v>-17850</v>
      </c>
      <c r="Y91" s="2"/>
      <c r="Z91" s="7">
        <f t="shared" si="52"/>
        <v>-0.85611510791366907</v>
      </c>
    </row>
    <row r="92" spans="1:26" s="29" customFormat="1" outlineLevel="1" collapsed="1" x14ac:dyDescent="0.25">
      <c r="A92" s="27"/>
      <c r="B92" s="14" t="str">
        <f>CONCATENATE("     ","Repair and Maintenance                            ")</f>
        <v xml:space="preserve">     Repair and Maintenance                            </v>
      </c>
      <c r="C92" s="14"/>
      <c r="D92" s="1">
        <f>SUM(OSRRefD22_9x_0)</f>
        <v>20.78</v>
      </c>
      <c r="E92" s="1"/>
      <c r="F92" s="5">
        <f t="shared" si="45"/>
        <v>5.2670366012152466E-5</v>
      </c>
      <c r="G92" s="1"/>
      <c r="H92" s="1">
        <f>SUM(OSRRefH22_9x_0)</f>
        <v>103.45</v>
      </c>
      <c r="I92" s="1"/>
      <c r="J92" s="5">
        <f t="shared" si="46"/>
        <v>2.3231374360696498E-4</v>
      </c>
      <c r="K92" s="1"/>
      <c r="L92" s="1">
        <f t="shared" si="47"/>
        <v>-82.67</v>
      </c>
      <c r="M92" s="1"/>
      <c r="N92" s="5">
        <f t="shared" si="48"/>
        <v>-0.79913001449975829</v>
      </c>
      <c r="O92" s="14"/>
      <c r="P92" s="1">
        <f>SUM(OSRRefP22_9x_0)</f>
        <v>70.2</v>
      </c>
      <c r="Q92" s="1"/>
      <c r="R92" s="5">
        <f t="shared" si="49"/>
        <v>3.6379085178876199E-5</v>
      </c>
      <c r="S92" s="1"/>
      <c r="T92" s="1">
        <f>SUM(OSRRefT22_9x_0)</f>
        <v>327.90999999999997</v>
      </c>
      <c r="U92" s="1"/>
      <c r="V92" s="5">
        <f t="shared" si="50"/>
        <v>1.4482262686356777E-4</v>
      </c>
      <c r="W92" s="1"/>
      <c r="X92" s="1">
        <f t="shared" si="51"/>
        <v>-257.70999999999998</v>
      </c>
      <c r="Y92" s="1"/>
      <c r="Z92" s="5">
        <f t="shared" si="52"/>
        <v>-0.78591686743313716</v>
      </c>
    </row>
    <row r="93" spans="1:26" s="24" customFormat="1" hidden="1" outlineLevel="2" x14ac:dyDescent="0.25">
      <c r="A93" s="28"/>
      <c r="B93" s="11" t="str">
        <f>CONCATENATE("          ", "6373", " - ", "MAINTENANCE CONTRACTS")</f>
        <v xml:space="preserve">          6373 - MAINTENANCE CONTRACTS</v>
      </c>
      <c r="C93" s="11"/>
      <c r="D93" s="6">
        <v>20.78</v>
      </c>
      <c r="E93" s="2"/>
      <c r="F93" s="7">
        <f t="shared" si="45"/>
        <v>5.2670366012152466E-5</v>
      </c>
      <c r="G93" s="2"/>
      <c r="H93" s="6">
        <v>25.45</v>
      </c>
      <c r="I93" s="2"/>
      <c r="J93" s="7">
        <f t="shared" si="46"/>
        <v>5.7152100288035368E-5</v>
      </c>
      <c r="K93" s="2"/>
      <c r="L93" s="6">
        <f t="shared" si="47"/>
        <v>-4.6699999999999982</v>
      </c>
      <c r="M93" s="2"/>
      <c r="N93" s="7">
        <f t="shared" si="48"/>
        <v>-0.18349705304518657</v>
      </c>
      <c r="O93" s="11"/>
      <c r="P93" s="6">
        <v>70.2</v>
      </c>
      <c r="Q93" s="2"/>
      <c r="R93" s="7">
        <f t="shared" si="49"/>
        <v>3.6379085178876199E-5</v>
      </c>
      <c r="S93" s="2"/>
      <c r="T93" s="6">
        <v>93.91</v>
      </c>
      <c r="U93" s="2"/>
      <c r="V93" s="7">
        <f t="shared" si="50"/>
        <v>4.1475688111852795E-5</v>
      </c>
      <c r="W93" s="2"/>
      <c r="X93" s="6">
        <f t="shared" si="51"/>
        <v>-23.709999999999994</v>
      </c>
      <c r="Y93" s="2"/>
      <c r="Z93" s="7">
        <f t="shared" si="52"/>
        <v>-0.25247577467788301</v>
      </c>
    </row>
    <row r="94" spans="1:26" s="24" customFormat="1" hidden="1" outlineLevel="2" x14ac:dyDescent="0.25">
      <c r="A94" s="28"/>
      <c r="B94" s="11" t="str">
        <f>CONCATENATE("          ", "6375", " - ", "OUTSIDE REPAIRS &amp; MAINTENANCE")</f>
        <v xml:space="preserve">          6375 - OUTSIDE REPAIRS &amp; MAINTENANCE</v>
      </c>
      <c r="C94" s="11"/>
      <c r="D94" s="6"/>
      <c r="E94" s="2"/>
      <c r="F94" s="7">
        <f t="shared" si="45"/>
        <v>0</v>
      </c>
      <c r="G94" s="2"/>
      <c r="H94" s="6">
        <v>78</v>
      </c>
      <c r="I94" s="2"/>
      <c r="J94" s="7">
        <f t="shared" si="46"/>
        <v>1.7516164331892961E-4</v>
      </c>
      <c r="K94" s="2"/>
      <c r="L94" s="6">
        <f t="shared" si="47"/>
        <v>-78</v>
      </c>
      <c r="M94" s="2"/>
      <c r="N94" s="7">
        <f t="shared" si="48"/>
        <v>-1</v>
      </c>
      <c r="O94" s="11"/>
      <c r="P94" s="6"/>
      <c r="Q94" s="2"/>
      <c r="R94" s="7">
        <f t="shared" si="49"/>
        <v>0</v>
      </c>
      <c r="S94" s="2"/>
      <c r="T94" s="6">
        <v>234</v>
      </c>
      <c r="U94" s="2"/>
      <c r="V94" s="7">
        <f t="shared" si="50"/>
        <v>1.0334693875171498E-4</v>
      </c>
      <c r="W94" s="2"/>
      <c r="X94" s="6">
        <f t="shared" si="51"/>
        <v>-234</v>
      </c>
      <c r="Y94" s="2"/>
      <c r="Z94" s="7">
        <f t="shared" si="52"/>
        <v>-1</v>
      </c>
    </row>
    <row r="95" spans="1:26" s="29" customFormat="1" outlineLevel="1" collapsed="1" x14ac:dyDescent="0.25">
      <c r="A95" s="27"/>
      <c r="B95" s="14" t="str">
        <f>CONCATENATE("     ","Subscriptions &amp; Dues                              ")</f>
        <v xml:space="preserve">     Subscriptions &amp; Dues                              </v>
      </c>
      <c r="C95" s="14"/>
      <c r="D95" s="1">
        <f>SUM(OSRRefD22_10x_0)</f>
        <v>250</v>
      </c>
      <c r="E95" s="1"/>
      <c r="F95" s="5">
        <f t="shared" ref="F95:F100" si="53">IF(D$12=0,0,D95/D$12)</f>
        <v>6.3366657858701235E-4</v>
      </c>
      <c r="G95" s="1"/>
      <c r="H95" s="1">
        <f>SUM(OSRRefH22_10x_0)</f>
        <v>250</v>
      </c>
      <c r="I95" s="1"/>
      <c r="J95" s="5">
        <f t="shared" ref="J95:J100" si="54">IF(H$12=0,0,H95/H$12)</f>
        <v>5.614155234581077E-4</v>
      </c>
      <c r="K95" s="1"/>
      <c r="L95" s="1">
        <f t="shared" ref="L95:L100" si="55">+D95-H95</f>
        <v>0</v>
      </c>
      <c r="M95" s="1"/>
      <c r="N95" s="5">
        <f t="shared" ref="N95:N100" si="56">IF(H95=0,0,L95/H95)</f>
        <v>0</v>
      </c>
      <c r="O95" s="14"/>
      <c r="P95" s="1">
        <f>SUM(OSRRefP22_10x_0)</f>
        <v>788.85</v>
      </c>
      <c r="Q95" s="1"/>
      <c r="R95" s="5">
        <f t="shared" ref="R95:R100" si="57">IF(P$12=0,0,P95/P$12)</f>
        <v>4.0879830973442288E-4</v>
      </c>
      <c r="S95" s="1"/>
      <c r="T95" s="1">
        <f>SUM(OSRRefT22_10x_0)</f>
        <v>772.1</v>
      </c>
      <c r="U95" s="1"/>
      <c r="V95" s="5">
        <f t="shared" ref="V95:V100" si="58">IF(T$12=0,0,T95/T$12)</f>
        <v>3.4100073252221855E-4</v>
      </c>
      <c r="W95" s="1"/>
      <c r="X95" s="1">
        <f t="shared" ref="X95:X100" si="59">+P95-T95</f>
        <v>16.75</v>
      </c>
      <c r="Y95" s="1"/>
      <c r="Z95" s="5">
        <f t="shared" ref="Z95:Z100" si="60">IF(T95=0,0,X95/T95)</f>
        <v>2.1694081077580623E-2</v>
      </c>
    </row>
    <row r="96" spans="1:26" s="24" customFormat="1" hidden="1" outlineLevel="2" x14ac:dyDescent="0.25">
      <c r="A96" s="28"/>
      <c r="B96" s="11" t="str">
        <f>CONCATENATE("          ", "6258", " - ", "MEMBERSHIP DUES")</f>
        <v xml:space="preserve">          6258 - MEMBERSHIP DUES</v>
      </c>
      <c r="C96" s="11"/>
      <c r="D96" s="6">
        <v>250</v>
      </c>
      <c r="E96" s="2"/>
      <c r="F96" s="7">
        <f t="shared" si="53"/>
        <v>6.3366657858701235E-4</v>
      </c>
      <c r="G96" s="2"/>
      <c r="H96" s="6">
        <v>250</v>
      </c>
      <c r="I96" s="2"/>
      <c r="J96" s="7">
        <f t="shared" si="54"/>
        <v>5.614155234581077E-4</v>
      </c>
      <c r="K96" s="2"/>
      <c r="L96" s="6">
        <f t="shared" si="55"/>
        <v>0</v>
      </c>
      <c r="M96" s="2"/>
      <c r="N96" s="7">
        <f t="shared" si="56"/>
        <v>0</v>
      </c>
      <c r="O96" s="11"/>
      <c r="P96" s="6">
        <v>788.85</v>
      </c>
      <c r="Q96" s="2"/>
      <c r="R96" s="7">
        <f t="shared" si="57"/>
        <v>4.0879830973442288E-4</v>
      </c>
      <c r="S96" s="2"/>
      <c r="T96" s="6">
        <v>772.1</v>
      </c>
      <c r="U96" s="2"/>
      <c r="V96" s="7">
        <f t="shared" si="58"/>
        <v>3.4100073252221855E-4</v>
      </c>
      <c r="W96" s="2"/>
      <c r="X96" s="6">
        <f t="shared" si="59"/>
        <v>16.75</v>
      </c>
      <c r="Y96" s="2"/>
      <c r="Z96" s="7">
        <f t="shared" si="60"/>
        <v>2.1694081077580623E-2</v>
      </c>
    </row>
    <row r="97" spans="1:26" s="29" customFormat="1" outlineLevel="1" collapsed="1" x14ac:dyDescent="0.25">
      <c r="A97" s="27"/>
      <c r="B97" s="14" t="str">
        <f>CONCATENATE("     ","Supplies                                          ")</f>
        <v xml:space="preserve">     Supplies                                          </v>
      </c>
      <c r="C97" s="14"/>
      <c r="D97" s="1">
        <f>SUM(OSRRefD22_11x_0)</f>
        <v>149.59</v>
      </c>
      <c r="E97" s="1"/>
      <c r="F97" s="5">
        <f t="shared" si="53"/>
        <v>3.7916073396332471E-4</v>
      </c>
      <c r="G97" s="1"/>
      <c r="H97" s="1">
        <f>SUM(OSRRefH22_11x_0)</f>
        <v>2334.79</v>
      </c>
      <c r="I97" s="1"/>
      <c r="J97" s="5">
        <f t="shared" si="54"/>
        <v>5.2431494000590214E-3</v>
      </c>
      <c r="K97" s="1"/>
      <c r="L97" s="1">
        <f t="shared" si="55"/>
        <v>-2185.1999999999998</v>
      </c>
      <c r="M97" s="1"/>
      <c r="N97" s="5">
        <f t="shared" si="56"/>
        <v>-0.93592999798697096</v>
      </c>
      <c r="O97" s="14"/>
      <c r="P97" s="1">
        <f>SUM(OSRRefP22_11x_0)</f>
        <v>7349.1399999999994</v>
      </c>
      <c r="Q97" s="1"/>
      <c r="R97" s="5">
        <f t="shared" si="57"/>
        <v>3.8084756417590625E-3</v>
      </c>
      <c r="S97" s="1"/>
      <c r="T97" s="1">
        <f>SUM(OSRRefT22_11x_0)</f>
        <v>6210.1100000000006</v>
      </c>
      <c r="U97" s="1"/>
      <c r="V97" s="5">
        <f t="shared" si="58"/>
        <v>2.7427173410744135E-3</v>
      </c>
      <c r="W97" s="1"/>
      <c r="X97" s="1">
        <f t="shared" si="59"/>
        <v>1139.0299999999988</v>
      </c>
      <c r="Y97" s="1"/>
      <c r="Z97" s="5">
        <f t="shared" si="60"/>
        <v>0.18341543064454555</v>
      </c>
    </row>
    <row r="98" spans="1:26" s="24" customFormat="1" hidden="1" outlineLevel="2" x14ac:dyDescent="0.25">
      <c r="A98" s="28"/>
      <c r="B98" s="11" t="str">
        <f>CONCATENATE("          ", "6241", " - ", "OFFICE EXPENSE")</f>
        <v xml:space="preserve">          6241 - OFFICE EXPENSE</v>
      </c>
      <c r="C98" s="11"/>
      <c r="D98" s="6">
        <v>132.74</v>
      </c>
      <c r="E98" s="2"/>
      <c r="F98" s="7">
        <f t="shared" si="53"/>
        <v>3.3645160656656009E-4</v>
      </c>
      <c r="G98" s="2"/>
      <c r="H98" s="6">
        <v>81.349999999999994</v>
      </c>
      <c r="I98" s="2"/>
      <c r="J98" s="7">
        <f t="shared" si="54"/>
        <v>1.8268461133326826E-4</v>
      </c>
      <c r="K98" s="2"/>
      <c r="L98" s="6">
        <f t="shared" si="55"/>
        <v>51.390000000000015</v>
      </c>
      <c r="M98" s="2"/>
      <c r="N98" s="7">
        <f t="shared" si="56"/>
        <v>0.63171481253841444</v>
      </c>
      <c r="O98" s="11"/>
      <c r="P98" s="6">
        <v>2337.8200000000002</v>
      </c>
      <c r="Q98" s="2"/>
      <c r="R98" s="7">
        <f t="shared" si="57"/>
        <v>1.2115064517504324E-3</v>
      </c>
      <c r="S98" s="2"/>
      <c r="T98" s="6">
        <v>392.13</v>
      </c>
      <c r="U98" s="2"/>
      <c r="V98" s="7">
        <f t="shared" si="58"/>
        <v>1.731856200543162E-4</v>
      </c>
      <c r="W98" s="2"/>
      <c r="X98" s="6">
        <f t="shared" si="59"/>
        <v>1945.69</v>
      </c>
      <c r="Y98" s="2"/>
      <c r="Z98" s="7">
        <f t="shared" si="60"/>
        <v>4.9618493866829878</v>
      </c>
    </row>
    <row r="99" spans="1:26" s="24" customFormat="1" hidden="1" outlineLevel="2" x14ac:dyDescent="0.25">
      <c r="A99" s="28"/>
      <c r="B99" s="11" t="str">
        <f>CONCATENATE("          ", "6245", " - ", "PRINTING")</f>
        <v xml:space="preserve">          6245 - PRINTING</v>
      </c>
      <c r="C99" s="11"/>
      <c r="D99" s="6"/>
      <c r="E99" s="2"/>
      <c r="F99" s="7">
        <f t="shared" si="53"/>
        <v>0</v>
      </c>
      <c r="G99" s="2"/>
      <c r="H99" s="6"/>
      <c r="I99" s="2"/>
      <c r="J99" s="7">
        <f t="shared" si="54"/>
        <v>0</v>
      </c>
      <c r="K99" s="2"/>
      <c r="L99" s="6">
        <f t="shared" si="55"/>
        <v>0</v>
      </c>
      <c r="M99" s="2"/>
      <c r="N99" s="7">
        <f t="shared" si="56"/>
        <v>0</v>
      </c>
      <c r="O99" s="11"/>
      <c r="P99" s="6">
        <v>4978.08</v>
      </c>
      <c r="Q99" s="2"/>
      <c r="R99" s="7">
        <f t="shared" si="57"/>
        <v>2.5797435377102568E-3</v>
      </c>
      <c r="S99" s="2"/>
      <c r="T99" s="6">
        <v>509.8</v>
      </c>
      <c r="U99" s="2"/>
      <c r="V99" s="7">
        <f t="shared" si="58"/>
        <v>2.2515499733172776E-4</v>
      </c>
      <c r="W99" s="2"/>
      <c r="X99" s="6">
        <f t="shared" si="59"/>
        <v>4468.28</v>
      </c>
      <c r="Y99" s="2"/>
      <c r="Z99" s="7">
        <f t="shared" si="60"/>
        <v>8.7647704982346006</v>
      </c>
    </row>
    <row r="100" spans="1:26" s="24" customFormat="1" hidden="1" outlineLevel="2" x14ac:dyDescent="0.25">
      <c r="A100" s="28"/>
      <c r="B100" s="11" t="str">
        <f>CONCATENATE("          ", "6247", " - ", "STORE SUPPLIES")</f>
        <v xml:space="preserve">          6247 - STORE SUPPLIES</v>
      </c>
      <c r="C100" s="11"/>
      <c r="D100" s="6">
        <v>16.850000000000001</v>
      </c>
      <c r="E100" s="2"/>
      <c r="F100" s="7">
        <f t="shared" si="53"/>
        <v>4.2709127396764633E-5</v>
      </c>
      <c r="G100" s="2"/>
      <c r="H100" s="6">
        <v>2253.44</v>
      </c>
      <c r="I100" s="2"/>
      <c r="J100" s="7">
        <f t="shared" si="54"/>
        <v>5.0604647887257537E-3</v>
      </c>
      <c r="K100" s="2"/>
      <c r="L100" s="6">
        <f t="shared" si="55"/>
        <v>-2236.59</v>
      </c>
      <c r="M100" s="2"/>
      <c r="N100" s="7">
        <f t="shared" si="56"/>
        <v>-0.9925225433115592</v>
      </c>
      <c r="O100" s="11"/>
      <c r="P100" s="6">
        <v>33.24</v>
      </c>
      <c r="Q100" s="2"/>
      <c r="R100" s="7">
        <f t="shared" si="57"/>
        <v>1.722565229837386E-5</v>
      </c>
      <c r="S100" s="2"/>
      <c r="T100" s="6">
        <v>5308.18</v>
      </c>
      <c r="U100" s="2"/>
      <c r="V100" s="7">
        <f t="shared" si="58"/>
        <v>2.3443767236883697E-3</v>
      </c>
      <c r="W100" s="2"/>
      <c r="X100" s="6">
        <f t="shared" si="59"/>
        <v>-5274.9400000000005</v>
      </c>
      <c r="Y100" s="2"/>
      <c r="Z100" s="7">
        <f t="shared" si="60"/>
        <v>-0.99373796668537995</v>
      </c>
    </row>
    <row r="101" spans="1:26" s="29" customFormat="1" outlineLevel="1" collapsed="1" x14ac:dyDescent="0.25">
      <c r="A101" s="27"/>
      <c r="B101" s="14" t="str">
        <f>CONCATENATE("     ","Telephone/Data Lines                              ")</f>
        <v xml:space="preserve">     Telephone/Data Lines                              </v>
      </c>
      <c r="C101" s="14"/>
      <c r="D101" s="1">
        <f>SUM(OSRRefD22_12x_0)</f>
        <v>2045</v>
      </c>
      <c r="E101" s="1"/>
      <c r="F101" s="5">
        <f t="shared" ref="F101:F103" si="61">IF(D$12=0,0,D101/D$12)</f>
        <v>5.1833926128417611E-3</v>
      </c>
      <c r="G101" s="1"/>
      <c r="H101" s="1">
        <f>SUM(OSRRefH22_12x_0)</f>
        <v>1250</v>
      </c>
      <c r="I101" s="1"/>
      <c r="J101" s="5">
        <f t="shared" ref="J101:J103" si="62">IF(H$12=0,0,H101/H$12)</f>
        <v>2.8070776172905388E-3</v>
      </c>
      <c r="K101" s="1"/>
      <c r="L101" s="1">
        <f t="shared" ref="L101:L103" si="63">+D101-H101</f>
        <v>795</v>
      </c>
      <c r="M101" s="1"/>
      <c r="N101" s="5">
        <f t="shared" ref="N101:N103" si="64">IF(H101=0,0,L101/H101)</f>
        <v>0.63600000000000001</v>
      </c>
      <c r="O101" s="14"/>
      <c r="P101" s="1">
        <f>SUM(OSRRefP22_12x_0)</f>
        <v>3399.5</v>
      </c>
      <c r="Q101" s="1"/>
      <c r="R101" s="5">
        <f t="shared" ref="R101:R103" si="65">IF(P$12=0,0,P101/P$12)</f>
        <v>1.7616908841252084E-3</v>
      </c>
      <c r="S101" s="1"/>
      <c r="T101" s="1">
        <f>SUM(OSRRefT22_12x_0)</f>
        <v>2610.1999999999998</v>
      </c>
      <c r="U101" s="1"/>
      <c r="V101" s="5">
        <f t="shared" ref="V101:V103" si="66">IF(T$12=0,0,T101/T$12)</f>
        <v>1.152804186024472E-3</v>
      </c>
      <c r="W101" s="1"/>
      <c r="X101" s="1">
        <f t="shared" ref="X101:X103" si="67">+P101-T101</f>
        <v>789.30000000000018</v>
      </c>
      <c r="Y101" s="1"/>
      <c r="Z101" s="5">
        <f t="shared" ref="Z101:Z103" si="68">IF(T101=0,0,X101/T101)</f>
        <v>0.30239062140832129</v>
      </c>
    </row>
    <row r="102" spans="1:26" s="24" customFormat="1" hidden="1" outlineLevel="2" x14ac:dyDescent="0.25">
      <c r="A102" s="28"/>
      <c r="B102" s="11" t="str">
        <f>CONCATENATE("          ", "6303", " - ", "DATA PHONE LINES")</f>
        <v xml:space="preserve">          6303 - DATA PHONE LINES</v>
      </c>
      <c r="C102" s="11"/>
      <c r="D102" s="6">
        <v>295</v>
      </c>
      <c r="E102" s="2"/>
      <c r="F102" s="7">
        <f t="shared" si="61"/>
        <v>7.4772656273267458E-4</v>
      </c>
      <c r="G102" s="2"/>
      <c r="H102" s="6"/>
      <c r="I102" s="2"/>
      <c r="J102" s="7">
        <f t="shared" si="62"/>
        <v>0</v>
      </c>
      <c r="K102" s="2"/>
      <c r="L102" s="6">
        <f t="shared" si="63"/>
        <v>295</v>
      </c>
      <c r="M102" s="2"/>
      <c r="N102" s="7">
        <f t="shared" si="64"/>
        <v>0</v>
      </c>
      <c r="O102" s="11"/>
      <c r="P102" s="6">
        <v>885</v>
      </c>
      <c r="Q102" s="2"/>
      <c r="R102" s="7">
        <f t="shared" si="65"/>
        <v>4.5862521913540502E-4</v>
      </c>
      <c r="S102" s="2"/>
      <c r="T102" s="6">
        <v>590</v>
      </c>
      <c r="U102" s="2"/>
      <c r="V102" s="7">
        <f t="shared" si="66"/>
        <v>2.6057561480133265E-4</v>
      </c>
      <c r="W102" s="2"/>
      <c r="X102" s="6">
        <f t="shared" si="67"/>
        <v>295</v>
      </c>
      <c r="Y102" s="2"/>
      <c r="Z102" s="7">
        <f t="shared" si="68"/>
        <v>0.5</v>
      </c>
    </row>
    <row r="103" spans="1:26" s="24" customFormat="1" hidden="1" outlineLevel="2" x14ac:dyDescent="0.25">
      <c r="A103" s="28"/>
      <c r="B103" s="11" t="str">
        <f>CONCATENATE("          ", "6309", " - ", "TELEPHONE")</f>
        <v xml:space="preserve">          6309 - TELEPHONE</v>
      </c>
      <c r="C103" s="11"/>
      <c r="D103" s="6">
        <v>1750</v>
      </c>
      <c r="E103" s="2"/>
      <c r="F103" s="7">
        <f t="shared" si="61"/>
        <v>4.4356660501090866E-3</v>
      </c>
      <c r="G103" s="2"/>
      <c r="H103" s="6">
        <v>1250</v>
      </c>
      <c r="I103" s="2"/>
      <c r="J103" s="7">
        <f t="shared" si="62"/>
        <v>2.8070776172905388E-3</v>
      </c>
      <c r="K103" s="2"/>
      <c r="L103" s="6">
        <f t="shared" si="63"/>
        <v>500</v>
      </c>
      <c r="M103" s="2"/>
      <c r="N103" s="7">
        <f t="shared" si="64"/>
        <v>0.4</v>
      </c>
      <c r="O103" s="11"/>
      <c r="P103" s="6">
        <v>2514.5</v>
      </c>
      <c r="Q103" s="2"/>
      <c r="R103" s="7">
        <f t="shared" si="65"/>
        <v>1.3030656649898034E-3</v>
      </c>
      <c r="S103" s="2"/>
      <c r="T103" s="6">
        <v>2020.2</v>
      </c>
      <c r="U103" s="2"/>
      <c r="V103" s="7">
        <f t="shared" si="66"/>
        <v>8.9222857122313933E-4</v>
      </c>
      <c r="W103" s="2"/>
      <c r="X103" s="6">
        <f t="shared" si="67"/>
        <v>494.29999999999995</v>
      </c>
      <c r="Y103" s="2"/>
      <c r="Z103" s="7">
        <f t="shared" si="68"/>
        <v>0.24467874467874465</v>
      </c>
    </row>
    <row r="104" spans="1:26" s="29" customFormat="1" outlineLevel="1" collapsed="1" x14ac:dyDescent="0.25">
      <c r="A104" s="27"/>
      <c r="B104" s="14" t="str">
        <f>CONCATENATE("     ","Training                                          ")</f>
        <v xml:space="preserve">     Training                                          </v>
      </c>
      <c r="C104" s="14"/>
      <c r="D104" s="1">
        <f>SUM(OSRRefD22_13x_0)</f>
        <v>0</v>
      </c>
      <c r="E104" s="1"/>
      <c r="F104" s="5">
        <f t="shared" ref="F104:F107" si="69">IF(D$12=0,0,D104/D$12)</f>
        <v>0</v>
      </c>
      <c r="G104" s="1"/>
      <c r="H104" s="1">
        <f>SUM(OSRRefH22_13x_0)</f>
        <v>0</v>
      </c>
      <c r="I104" s="1"/>
      <c r="J104" s="5">
        <f t="shared" ref="J104:J107" si="70">IF(H$12=0,0,H104/H$12)</f>
        <v>0</v>
      </c>
      <c r="K104" s="1"/>
      <c r="L104" s="1">
        <f t="shared" ref="L104:L107" si="71">+D104-H104</f>
        <v>0</v>
      </c>
      <c r="M104" s="1"/>
      <c r="N104" s="5">
        <f t="shared" ref="N104:N107" si="72">IF(H104=0,0,L104/H104)</f>
        <v>0</v>
      </c>
      <c r="O104" s="14"/>
      <c r="P104" s="1">
        <f>SUM(OSRRefP22_13x_0)</f>
        <v>547.47</v>
      </c>
      <c r="Q104" s="1"/>
      <c r="R104" s="5">
        <f t="shared" ref="R104:R107" si="73">IF(P$12=0,0,P104/P$12)</f>
        <v>2.8371022454244091E-4</v>
      </c>
      <c r="S104" s="1"/>
      <c r="T104" s="1">
        <f>SUM(OSRRefT22_13x_0)</f>
        <v>-1265.6600000000001</v>
      </c>
      <c r="U104" s="1"/>
      <c r="V104" s="5">
        <f t="shared" ref="V104:V107" si="74">IF(T$12=0,0,T104/T$12)</f>
        <v>-5.5898327564314349E-4</v>
      </c>
      <c r="W104" s="1"/>
      <c r="X104" s="1">
        <f t="shared" ref="X104:X107" si="75">+P104-T104</f>
        <v>1813.13</v>
      </c>
      <c r="Y104" s="1"/>
      <c r="Z104" s="5">
        <f t="shared" ref="Z104:Z107" si="76">IF(T104=0,0,X104/T104)</f>
        <v>-1.4325569268207892</v>
      </c>
    </row>
    <row r="105" spans="1:26" s="24" customFormat="1" hidden="1" outlineLevel="2" x14ac:dyDescent="0.25">
      <c r="A105" s="28"/>
      <c r="B105" s="11" t="str">
        <f>CONCATENATE("          ", "6376", " - ", "TRAINING")</f>
        <v xml:space="preserve">          6376 - TRAINING</v>
      </c>
      <c r="C105" s="11"/>
      <c r="D105" s="6"/>
      <c r="E105" s="2"/>
      <c r="F105" s="7">
        <f t="shared" si="69"/>
        <v>0</v>
      </c>
      <c r="G105" s="2"/>
      <c r="H105" s="6"/>
      <c r="I105" s="2"/>
      <c r="J105" s="7">
        <f t="shared" si="70"/>
        <v>0</v>
      </c>
      <c r="K105" s="2"/>
      <c r="L105" s="6">
        <f t="shared" si="71"/>
        <v>0</v>
      </c>
      <c r="M105" s="2"/>
      <c r="N105" s="7">
        <f t="shared" si="72"/>
        <v>0</v>
      </c>
      <c r="O105" s="11"/>
      <c r="P105" s="6">
        <v>547.47</v>
      </c>
      <c r="Q105" s="2"/>
      <c r="R105" s="7">
        <f t="shared" si="73"/>
        <v>2.8371022454244091E-4</v>
      </c>
      <c r="S105" s="2"/>
      <c r="T105" s="6">
        <v>-1265.6600000000001</v>
      </c>
      <c r="U105" s="2"/>
      <c r="V105" s="7">
        <f t="shared" si="74"/>
        <v>-5.5898327564314349E-4</v>
      </c>
      <c r="W105" s="2"/>
      <c r="X105" s="6">
        <f t="shared" si="75"/>
        <v>1813.13</v>
      </c>
      <c r="Y105" s="2"/>
      <c r="Z105" s="7">
        <f t="shared" si="76"/>
        <v>-1.4325569268207892</v>
      </c>
    </row>
    <row r="106" spans="1:26" s="29" customFormat="1" outlineLevel="1" collapsed="1" x14ac:dyDescent="0.25">
      <c r="A106" s="27"/>
      <c r="B106" s="14" t="str">
        <f>CONCATENATE("     ","Travel                                            ")</f>
        <v xml:space="preserve">     Travel                                            </v>
      </c>
      <c r="C106" s="14"/>
      <c r="D106" s="1">
        <f>SUM(OSRRefD22_14x_0)</f>
        <v>0</v>
      </c>
      <c r="E106" s="1"/>
      <c r="F106" s="5">
        <f t="shared" si="69"/>
        <v>0</v>
      </c>
      <c r="G106" s="1"/>
      <c r="H106" s="1">
        <f>SUM(OSRRefH22_14x_0)</f>
        <v>-35.21</v>
      </c>
      <c r="I106" s="1"/>
      <c r="J106" s="5">
        <f t="shared" si="70"/>
        <v>-7.9069762323839902E-5</v>
      </c>
      <c r="K106" s="1"/>
      <c r="L106" s="1">
        <f t="shared" si="71"/>
        <v>35.21</v>
      </c>
      <c r="M106" s="1"/>
      <c r="N106" s="5">
        <f t="shared" si="72"/>
        <v>-1</v>
      </c>
      <c r="O106" s="14"/>
      <c r="P106" s="1">
        <f>SUM(OSRRefP22_14x_0)</f>
        <v>0</v>
      </c>
      <c r="Q106" s="1"/>
      <c r="R106" s="5">
        <f t="shared" si="73"/>
        <v>0</v>
      </c>
      <c r="S106" s="1"/>
      <c r="T106" s="1">
        <f>SUM(OSRRefT22_14x_0)</f>
        <v>68.27</v>
      </c>
      <c r="U106" s="1"/>
      <c r="V106" s="5">
        <f t="shared" si="74"/>
        <v>3.0151690207605049E-5</v>
      </c>
      <c r="W106" s="1"/>
      <c r="X106" s="1">
        <f t="shared" si="75"/>
        <v>-68.27</v>
      </c>
      <c r="Y106" s="1"/>
      <c r="Z106" s="5">
        <f t="shared" si="76"/>
        <v>-1</v>
      </c>
    </row>
    <row r="107" spans="1:26" s="24" customFormat="1" hidden="1" outlineLevel="2" x14ac:dyDescent="0.25">
      <c r="A107" s="28"/>
      <c r="B107" s="11" t="str">
        <f>CONCATENATE("          ", "6292", " - ", "TRAVEL/CONFERENCE")</f>
        <v xml:space="preserve">          6292 - TRAVEL/CONFERENCE</v>
      </c>
      <c r="C107" s="11"/>
      <c r="D107" s="6"/>
      <c r="E107" s="2"/>
      <c r="F107" s="7">
        <f t="shared" si="69"/>
        <v>0</v>
      </c>
      <c r="G107" s="2"/>
      <c r="H107" s="6">
        <v>-35.21</v>
      </c>
      <c r="I107" s="2"/>
      <c r="J107" s="7">
        <f t="shared" si="70"/>
        <v>-7.9069762323839902E-5</v>
      </c>
      <c r="K107" s="2"/>
      <c r="L107" s="6">
        <f t="shared" si="71"/>
        <v>35.21</v>
      </c>
      <c r="M107" s="2"/>
      <c r="N107" s="7">
        <f t="shared" si="72"/>
        <v>-1</v>
      </c>
      <c r="O107" s="11"/>
      <c r="P107" s="6"/>
      <c r="Q107" s="2"/>
      <c r="R107" s="7">
        <f t="shared" si="73"/>
        <v>0</v>
      </c>
      <c r="S107" s="2"/>
      <c r="T107" s="6">
        <v>68.27</v>
      </c>
      <c r="U107" s="2"/>
      <c r="V107" s="7">
        <f t="shared" si="74"/>
        <v>3.0151690207605049E-5</v>
      </c>
      <c r="W107" s="2"/>
      <c r="X107" s="6">
        <f t="shared" si="75"/>
        <v>-68.27</v>
      </c>
      <c r="Y107" s="2"/>
      <c r="Z107" s="7">
        <f t="shared" si="76"/>
        <v>-1</v>
      </c>
    </row>
    <row r="108" spans="1:26" s="53" customFormat="1" x14ac:dyDescent="0.25">
      <c r="A108" s="37"/>
      <c r="B108" s="37"/>
      <c r="C108" s="37"/>
      <c r="D108" s="1"/>
      <c r="E108" s="1"/>
      <c r="F108" s="5"/>
      <c r="G108" s="1"/>
      <c r="H108" s="1"/>
      <c r="I108" s="1"/>
      <c r="J108" s="5"/>
      <c r="K108" s="1"/>
      <c r="L108" s="1"/>
      <c r="M108" s="1"/>
      <c r="N108" s="5"/>
      <c r="O108" s="37"/>
      <c r="P108" s="1"/>
      <c r="Q108" s="1"/>
      <c r="R108" s="5"/>
      <c r="S108" s="1"/>
      <c r="T108" s="1"/>
      <c r="U108" s="1"/>
      <c r="V108" s="5"/>
      <c r="W108" s="1"/>
      <c r="X108" s="1"/>
      <c r="Y108" s="1"/>
      <c r="Z108" s="5"/>
    </row>
    <row r="109" spans="1:26" s="23" customFormat="1" collapsed="1" x14ac:dyDescent="0.25">
      <c r="A109" s="10"/>
      <c r="B109" s="25" t="s">
        <v>0</v>
      </c>
      <c r="C109" s="10"/>
      <c r="D109" s="4">
        <f>SUM(OSRRefD25x_0)</f>
        <v>95057.069999999992</v>
      </c>
      <c r="E109" s="4"/>
      <c r="F109" s="12">
        <f t="shared" ref="F109:F112" si="77">IF(D$12=0,0,D109/D$12)</f>
        <v>0.2409379532696245</v>
      </c>
      <c r="G109" s="4"/>
      <c r="H109" s="4">
        <f>SUM(OSRRefH25x_0)</f>
        <v>34844.32</v>
      </c>
      <c r="I109" s="4"/>
      <c r="J109" s="12">
        <f t="shared" ref="J109:J112" si="78">IF(H$12=0,0,H109/H$12)</f>
        <v>7.8248568609367256E-2</v>
      </c>
      <c r="K109" s="4"/>
      <c r="L109" s="4">
        <f t="shared" ref="L109:L112" si="79">+D109-H109</f>
        <v>60212.749999999993</v>
      </c>
      <c r="M109" s="4"/>
      <c r="N109" s="12">
        <f t="shared" ref="N109:N112" si="80">IF(H109=0,0,L109/H109)</f>
        <v>1.7280506550278494</v>
      </c>
      <c r="O109" s="10"/>
      <c r="P109" s="4">
        <f>SUM(OSRRefP25x_0)</f>
        <v>97383.17</v>
      </c>
      <c r="Q109" s="4"/>
      <c r="R109" s="12">
        <f t="shared" ref="R109:R112" si="81">IF(P$12=0,0,P109/P$12)</f>
        <v>5.0465963481751863E-2</v>
      </c>
      <c r="S109" s="4"/>
      <c r="T109" s="4">
        <f>SUM(OSRRefT25x_0)</f>
        <v>42069.83</v>
      </c>
      <c r="U109" s="4"/>
      <c r="V109" s="12">
        <f t="shared" ref="V109:V112" si="82">IF(T$12=0,0,T109/T$12)</f>
        <v>1.8580291214978895E-2</v>
      </c>
      <c r="W109" s="4"/>
      <c r="X109" s="4">
        <f t="shared" ref="X109:X112" si="83">+P109-T109</f>
        <v>55313.34</v>
      </c>
      <c r="Y109" s="4"/>
      <c r="Z109" s="12">
        <f t="shared" ref="Z109:Z112" si="84">IF(T109=0,0,X109/T109)</f>
        <v>1.314798277055077</v>
      </c>
    </row>
    <row r="110" spans="1:26" s="24" customFormat="1" hidden="1" outlineLevel="1" x14ac:dyDescent="0.25">
      <c r="A110" s="44"/>
      <c r="B110" s="11" t="str">
        <f>CONCATENATE("          ", "9150", " - ", "MISC. INCOME")</f>
        <v xml:space="preserve">          9150 - MISC. INCOME</v>
      </c>
      <c r="C110" s="11"/>
      <c r="D110" s="2">
        <f>--6747.28</f>
        <v>6747.28</v>
      </c>
      <c r="E110" s="2"/>
      <c r="F110" s="19">
        <f t="shared" si="77"/>
        <v>1.7102103329474306E-2</v>
      </c>
      <c r="G110" s="2"/>
      <c r="H110" s="2">
        <f>--34299.77</f>
        <v>34299.769999999997</v>
      </c>
      <c r="I110" s="2"/>
      <c r="J110" s="19">
        <f t="shared" si="78"/>
        <v>7.702569331617079E-2</v>
      </c>
      <c r="K110" s="2"/>
      <c r="L110" s="2">
        <f t="shared" si="79"/>
        <v>-27552.489999999998</v>
      </c>
      <c r="M110" s="2"/>
      <c r="N110" s="19">
        <f t="shared" si="80"/>
        <v>-0.80328497829577283</v>
      </c>
      <c r="O110" s="11"/>
      <c r="P110" s="2">
        <f>--9065.95</f>
        <v>9065.9500000000007</v>
      </c>
      <c r="Q110" s="2"/>
      <c r="R110" s="19">
        <f t="shared" si="81"/>
        <v>4.6981619270289555E-3</v>
      </c>
      <c r="S110" s="2"/>
      <c r="T110" s="2">
        <f>--40560.5</f>
        <v>40560.5</v>
      </c>
      <c r="U110" s="2"/>
      <c r="V110" s="19">
        <f t="shared" si="82"/>
        <v>1.79136902104228E-2</v>
      </c>
      <c r="W110" s="2"/>
      <c r="X110" s="2">
        <f t="shared" si="83"/>
        <v>-31494.55</v>
      </c>
      <c r="Y110" s="2"/>
      <c r="Z110" s="19">
        <f t="shared" si="84"/>
        <v>-0.77648327806609874</v>
      </c>
    </row>
    <row r="111" spans="1:26" s="24" customFormat="1" hidden="1" outlineLevel="1" x14ac:dyDescent="0.25">
      <c r="A111" s="44"/>
      <c r="B111" s="11" t="str">
        <f>CONCATENATE("          ", "9151", " - ", "MISC. INCOME")</f>
        <v xml:space="preserve">          9151 - MISC. INCOME</v>
      </c>
      <c r="C111" s="11"/>
      <c r="D111" s="2">
        <f>--87676.2</f>
        <v>87676.2</v>
      </c>
      <c r="E111" s="2"/>
      <c r="F111" s="19">
        <f t="shared" si="77"/>
        <v>0.22222991071004244</v>
      </c>
      <c r="G111" s="2"/>
      <c r="H111" s="2">
        <f>0</f>
        <v>0</v>
      </c>
      <c r="I111" s="2"/>
      <c r="J111" s="19">
        <f t="shared" si="78"/>
        <v>0</v>
      </c>
      <c r="K111" s="2"/>
      <c r="L111" s="2">
        <f t="shared" si="79"/>
        <v>87676.2</v>
      </c>
      <c r="M111" s="2"/>
      <c r="N111" s="19">
        <f t="shared" si="80"/>
        <v>0</v>
      </c>
      <c r="O111" s="11"/>
      <c r="P111" s="2">
        <f>--87676.2</f>
        <v>87676.2</v>
      </c>
      <c r="Q111" s="2"/>
      <c r="R111" s="19">
        <f t="shared" si="81"/>
        <v>4.543561179430463E-2</v>
      </c>
      <c r="S111" s="2"/>
      <c r="T111" s="2">
        <f>0</f>
        <v>0</v>
      </c>
      <c r="U111" s="2"/>
      <c r="V111" s="19">
        <f t="shared" si="82"/>
        <v>0</v>
      </c>
      <c r="W111" s="2"/>
      <c r="X111" s="2">
        <f t="shared" si="83"/>
        <v>87676.2</v>
      </c>
      <c r="Y111" s="2"/>
      <c r="Z111" s="19">
        <f t="shared" si="84"/>
        <v>0</v>
      </c>
    </row>
    <row r="112" spans="1:26" s="24" customFormat="1" hidden="1" outlineLevel="1" x14ac:dyDescent="0.25">
      <c r="A112" s="44"/>
      <c r="B112" s="11" t="str">
        <f>CONCATENATE("          ", "9152", " - ", "MISC. INCOME")</f>
        <v xml:space="preserve">          9152 - MISC. INCOME</v>
      </c>
      <c r="C112" s="11"/>
      <c r="D112" s="2">
        <f>--633.59</f>
        <v>633.59</v>
      </c>
      <c r="E112" s="2"/>
      <c r="F112" s="19">
        <f t="shared" si="77"/>
        <v>1.6059392301077807E-3</v>
      </c>
      <c r="G112" s="2"/>
      <c r="H112" s="2">
        <f>--544.55</f>
        <v>544.54999999999995</v>
      </c>
      <c r="I112" s="2"/>
      <c r="J112" s="19">
        <f t="shared" si="78"/>
        <v>1.2228752931964502E-3</v>
      </c>
      <c r="K112" s="2"/>
      <c r="L112" s="2">
        <f t="shared" si="79"/>
        <v>89.040000000000077</v>
      </c>
      <c r="M112" s="2"/>
      <c r="N112" s="19">
        <f t="shared" si="80"/>
        <v>0.16351115600036742</v>
      </c>
      <c r="O112" s="11"/>
      <c r="P112" s="2">
        <f>--641.02</f>
        <v>641.02</v>
      </c>
      <c r="Q112" s="2"/>
      <c r="R112" s="19">
        <f t="shared" si="81"/>
        <v>3.3218976041827949E-4</v>
      </c>
      <c r="S112" s="2"/>
      <c r="T112" s="2">
        <f>--1509.33</f>
        <v>1509.33</v>
      </c>
      <c r="U112" s="2"/>
      <c r="V112" s="19">
        <f t="shared" si="82"/>
        <v>6.6660100455609385E-4</v>
      </c>
      <c r="W112" s="2"/>
      <c r="X112" s="2">
        <f t="shared" si="83"/>
        <v>-868.31</v>
      </c>
      <c r="Y112" s="2"/>
      <c r="Z112" s="19">
        <f t="shared" si="84"/>
        <v>-0.57529499844301779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10"/>
      <c r="B114" s="26" t="s">
        <v>3</v>
      </c>
      <c r="C114" s="26"/>
      <c r="D114" s="21">
        <f>+D57-D59+D109</f>
        <v>175272.12</v>
      </c>
      <c r="E114" s="13"/>
      <c r="F114" s="20">
        <f>IF(D$12=0,0,D114/D$12)</f>
        <v>0.44425633840836903</v>
      </c>
      <c r="G114" s="13"/>
      <c r="H114" s="21">
        <f>+H57-H59+H109</f>
        <v>89629.969999999958</v>
      </c>
      <c r="I114" s="13"/>
      <c r="J114" s="20">
        <f>IF(H$12=0,0,H114/H$12)</f>
        <v>0.20127862610033787</v>
      </c>
      <c r="K114" s="15"/>
      <c r="L114" s="21">
        <f>+D114-H114</f>
        <v>85642.150000000038</v>
      </c>
      <c r="M114" s="15"/>
      <c r="N114" s="20">
        <f>IF(H114=0,0,L114/H114)</f>
        <v>0.95550796234786284</v>
      </c>
      <c r="O114" s="25"/>
      <c r="P114" s="21">
        <f>+P57-P59+P109</f>
        <v>516190.68999999977</v>
      </c>
      <c r="Q114" s="13"/>
      <c r="R114" s="20">
        <f>IF(P$12=0,0,P114/P$12)</f>
        <v>0.26750064216599528</v>
      </c>
      <c r="S114" s="13"/>
      <c r="T114" s="21">
        <f>+T57-T59+T109</f>
        <v>471781.51000000053</v>
      </c>
      <c r="U114" s="13"/>
      <c r="V114" s="20">
        <f>IF(T$12=0,0,T114/T$12)</f>
        <v>0.20836399494940883</v>
      </c>
      <c r="W114" s="15"/>
      <c r="X114" s="21">
        <f>+P114-T114</f>
        <v>44409.179999999236</v>
      </c>
      <c r="Y114" s="15"/>
      <c r="Z114" s="20">
        <f>IF(T114=0,0,X114/T114)</f>
        <v>9.4130819158214113E-2</v>
      </c>
    </row>
    <row r="115" spans="1:26" x14ac:dyDescent="0.2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51"/>
      <c r="B116" s="10" t="s">
        <v>13</v>
      </c>
      <c r="C116" s="10"/>
      <c r="D116" s="4">
        <v>15867.9</v>
      </c>
      <c r="E116" s="4"/>
      <c r="F116" s="12">
        <f>IF(D$12=0,0,D116/D$12)</f>
        <v>4.021983160944341E-2</v>
      </c>
      <c r="G116" s="4"/>
      <c r="H116" s="4">
        <v>15466.58</v>
      </c>
      <c r="I116" s="4"/>
      <c r="J116" s="12">
        <f>IF(H$12=0,0,H116/H$12)</f>
        <v>3.4732712427226801E-2</v>
      </c>
      <c r="K116" s="4"/>
      <c r="L116" s="4">
        <f>+D116-H116</f>
        <v>401.31999999999971</v>
      </c>
      <c r="M116" s="4"/>
      <c r="N116" s="12">
        <f>IF(H116=0,0,L116/H116)</f>
        <v>2.5947559188909231E-2</v>
      </c>
      <c r="O116" s="10"/>
      <c r="P116" s="4">
        <v>207273.22</v>
      </c>
      <c r="Q116" s="4"/>
      <c r="R116" s="12">
        <f>IF(P$12=0,0,P116/P$12)</f>
        <v>0.10741324965356047</v>
      </c>
      <c r="S116" s="4"/>
      <c r="T116" s="4">
        <v>201169.22</v>
      </c>
      <c r="U116" s="4"/>
      <c r="V116" s="12">
        <f>IF(T$12=0,0,T116/T$12)</f>
        <v>8.8847107085770413E-2</v>
      </c>
      <c r="W116" s="4"/>
      <c r="X116" s="4">
        <f>+P116-T116</f>
        <v>6104</v>
      </c>
      <c r="Y116" s="4"/>
      <c r="Z116" s="12">
        <f>IF(T116=0,0,X116/T116)</f>
        <v>3.0342614044037153E-2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6" t="s">
        <v>4</v>
      </c>
      <c r="C118" s="26"/>
      <c r="D118" s="35">
        <f>+D114-D116</f>
        <v>159404.22</v>
      </c>
      <c r="E118" s="13"/>
      <c r="F118" s="30">
        <f>IF(D$12=0,0,D118/D$12)</f>
        <v>0.40403650679892561</v>
      </c>
      <c r="G118" s="13"/>
      <c r="H118" s="35">
        <f>+H114-H116</f>
        <v>74163.389999999956</v>
      </c>
      <c r="I118" s="13"/>
      <c r="J118" s="30">
        <f>IF(H$12=0,0,H118/H$12)</f>
        <v>0.16654591367311108</v>
      </c>
      <c r="K118" s="15"/>
      <c r="L118" s="35">
        <f>D118-H118</f>
        <v>85240.830000000045</v>
      </c>
      <c r="M118" s="15"/>
      <c r="N118" s="30">
        <f>IF(H118=0,0,L118/H118)</f>
        <v>1.1493653405002131</v>
      </c>
      <c r="O118" s="25"/>
      <c r="P118" s="35">
        <f>+P114-P116</f>
        <v>308917.46999999974</v>
      </c>
      <c r="Q118" s="13"/>
      <c r="R118" s="30">
        <f>IF(P$12=0,0,P118/P$12)</f>
        <v>0.16008739251243478</v>
      </c>
      <c r="S118" s="13"/>
      <c r="T118" s="35">
        <f>+T114-T116</f>
        <v>270612.2900000005</v>
      </c>
      <c r="U118" s="13"/>
      <c r="V118" s="30">
        <f>IF(T$12=0,0,T118/T$12)</f>
        <v>0.1195168878636384</v>
      </c>
      <c r="W118" s="15"/>
      <c r="X118" s="35">
        <f>P118-T118</f>
        <v>38305.179999999236</v>
      </c>
      <c r="Y118" s="15"/>
      <c r="Z118" s="30">
        <f>IF(T118=0,0,X118/T118)</f>
        <v>0.14155003824844453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6" t="s">
        <v>5</v>
      </c>
      <c r="C121" s="26"/>
      <c r="D121" s="36">
        <f>SUM(D118:D120)</f>
        <v>159404.22</v>
      </c>
      <c r="E121" s="13"/>
      <c r="F121" s="31">
        <f>IF(D$12=0,0,D121/D$12)</f>
        <v>0.40403650679892561</v>
      </c>
      <c r="G121" s="13"/>
      <c r="H121" s="36">
        <f>SUM(H118:H120)</f>
        <v>74163.389999999956</v>
      </c>
      <c r="I121" s="13"/>
      <c r="J121" s="31">
        <f>IF(H$12=0,0,H121/H$12)</f>
        <v>0.16654591367311108</v>
      </c>
      <c r="K121" s="15"/>
      <c r="L121" s="36">
        <f>+D121-H121</f>
        <v>85240.830000000045</v>
      </c>
      <c r="M121" s="15"/>
      <c r="N121" s="31">
        <f>IF(H121=0,0,L121/H121)</f>
        <v>1.1493653405002131</v>
      </c>
      <c r="O121" s="25"/>
      <c r="P121" s="36">
        <f>SUM(P118:P120)</f>
        <v>308917.46999999974</v>
      </c>
      <c r="Q121" s="13"/>
      <c r="R121" s="31">
        <f>IF(P$12=0,0,P121/P$12)</f>
        <v>0.16008739251243478</v>
      </c>
      <c r="S121" s="13"/>
      <c r="T121" s="36">
        <f>SUM(T118:T120)</f>
        <v>270612.2900000005</v>
      </c>
      <c r="U121" s="13"/>
      <c r="V121" s="31">
        <f>IF(T$12=0,0,T121/T$12)</f>
        <v>0.1195168878636384</v>
      </c>
      <c r="W121" s="15"/>
      <c r="X121" s="36">
        <f>+P121-T121</f>
        <v>38305.179999999236</v>
      </c>
      <c r="Y121" s="15"/>
      <c r="Z121" s="31">
        <f>IF(T121=0,0,X121/T121)</f>
        <v>0.14155003824844453</v>
      </c>
    </row>
    <row r="122" spans="1:26" ht="15.75" thickTop="1" x14ac:dyDescent="0.25">
      <c r="A122" s="9"/>
      <c r="C122" s="9"/>
      <c r="D122" s="18"/>
      <c r="E122" s="18"/>
      <c r="G122" s="18"/>
      <c r="H122" s="18"/>
      <c r="I122" s="18"/>
      <c r="J122" s="42"/>
      <c r="K122" s="18"/>
      <c r="L122" s="18"/>
      <c r="M122" s="18"/>
      <c r="P122" s="18"/>
      <c r="Q122" s="18"/>
      <c r="R122" s="42"/>
      <c r="S122" s="18"/>
      <c r="T122" s="18"/>
      <c r="U122" s="18"/>
      <c r="V122" s="42"/>
      <c r="W122" s="18"/>
      <c r="X122" s="18"/>
    </row>
    <row r="123" spans="1:26" x14ac:dyDescent="0.25">
      <c r="A123" s="9"/>
      <c r="B123" s="55">
        <v>43756.462978124997</v>
      </c>
      <c r="D123" s="18"/>
      <c r="E123" s="18"/>
      <c r="G123" s="18"/>
      <c r="H123" s="18"/>
      <c r="I123" s="18"/>
      <c r="J123" s="42"/>
      <c r="K123" s="18"/>
      <c r="L123" s="18"/>
      <c r="M123" s="18"/>
      <c r="P123" s="18"/>
      <c r="Q123" s="18"/>
      <c r="R123" s="42"/>
      <c r="S123" s="18"/>
      <c r="T123" s="18"/>
      <c r="U123" s="18"/>
      <c r="V123" s="42"/>
      <c r="W123" s="18"/>
      <c r="X123" s="18"/>
    </row>
    <row r="124" spans="1:26" x14ac:dyDescent="0.25">
      <c r="A124" s="9"/>
      <c r="B124" s="56" t="s">
        <v>313</v>
      </c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A125" s="9"/>
      <c r="B125" s="57"/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","324", " - ", "Textbook Rental")</f>
        <v>Department 324 - Textbook Rental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183381.88</v>
      </c>
      <c r="E12" s="4"/>
      <c r="F12" s="12"/>
      <c r="G12" s="4"/>
      <c r="H12" s="4">
        <f>SUM(OSRRefH13x_0)</f>
        <v>215113.13</v>
      </c>
      <c r="I12" s="4"/>
      <c r="J12" s="12"/>
      <c r="K12" s="4"/>
      <c r="L12" s="4">
        <f t="shared" ref="L12:L15" si="0">+D12-H12</f>
        <v>-31731.25</v>
      </c>
      <c r="M12" s="4"/>
      <c r="N12" s="12">
        <f t="shared" ref="N12:N15" si="1">IF(H12=0,0,L12/H12)</f>
        <v>-0.14750959181338674</v>
      </c>
      <c r="O12" s="10"/>
      <c r="P12" s="4">
        <f>SUM(OSRRefP13x_0)</f>
        <v>890046.51</v>
      </c>
      <c r="Q12" s="4"/>
      <c r="R12" s="12"/>
      <c r="S12" s="4"/>
      <c r="T12" s="4">
        <f>SUM(OSRRefT13x_0)</f>
        <v>1062147.22</v>
      </c>
      <c r="U12" s="4"/>
      <c r="V12" s="12"/>
      <c r="W12" s="4"/>
      <c r="X12" s="4">
        <f t="shared" ref="X12:X15" si="2">+P12-T12</f>
        <v>-172100.70999999996</v>
      </c>
      <c r="Y12" s="4"/>
      <c r="Z12" s="12">
        <f t="shared" ref="Z12:Z15" si="3">IF(T12=0,0,X12/T12)</f>
        <v>-0.16203093766982696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--69591.88</f>
        <v>69591.88</v>
      </c>
      <c r="E13" s="2"/>
      <c r="F13" s="19"/>
      <c r="G13" s="2"/>
      <c r="H13" s="2">
        <f>--80906.15</f>
        <v>80906.149999999994</v>
      </c>
      <c r="I13" s="2"/>
      <c r="J13" s="19"/>
      <c r="K13" s="2"/>
      <c r="L13" s="2">
        <f t="shared" si="0"/>
        <v>-11314.26999999999</v>
      </c>
      <c r="M13" s="2"/>
      <c r="N13" s="19">
        <f t="shared" si="1"/>
        <v>-0.13984437524217863</v>
      </c>
      <c r="O13" s="11"/>
      <c r="P13" s="2">
        <f>--251705.61</f>
        <v>251705.61</v>
      </c>
      <c r="Q13" s="2"/>
      <c r="R13" s="19"/>
      <c r="S13" s="2"/>
      <c r="T13" s="2">
        <f>--300936.29</f>
        <v>300936.28999999998</v>
      </c>
      <c r="U13" s="2"/>
      <c r="V13" s="19"/>
      <c r="W13" s="2"/>
      <c r="X13" s="2">
        <f t="shared" si="2"/>
        <v>-49230.679999999993</v>
      </c>
      <c r="Y13" s="2"/>
      <c r="Z13" s="19">
        <f t="shared" si="3"/>
        <v>-0.16359170241648155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--47636.66</f>
        <v>47636.66</v>
      </c>
      <c r="E14" s="2"/>
      <c r="F14" s="19"/>
      <c r="G14" s="2"/>
      <c r="H14" s="2">
        <f>--59777.73</f>
        <v>59777.73</v>
      </c>
      <c r="I14" s="2"/>
      <c r="J14" s="19"/>
      <c r="K14" s="2"/>
      <c r="L14" s="2">
        <f t="shared" si="0"/>
        <v>-12141.07</v>
      </c>
      <c r="M14" s="2"/>
      <c r="N14" s="19">
        <f t="shared" si="1"/>
        <v>-0.20310356381883352</v>
      </c>
      <c r="O14" s="11"/>
      <c r="P14" s="2">
        <f>--306673.13</f>
        <v>306673.13</v>
      </c>
      <c r="Q14" s="2"/>
      <c r="R14" s="19"/>
      <c r="S14" s="2"/>
      <c r="T14" s="2">
        <f>--375722.52</f>
        <v>375722.52</v>
      </c>
      <c r="U14" s="2"/>
      <c r="V14" s="19"/>
      <c r="W14" s="2"/>
      <c r="X14" s="2">
        <f t="shared" si="2"/>
        <v>-69049.390000000014</v>
      </c>
      <c r="Y14" s="2"/>
      <c r="Z14" s="19">
        <f t="shared" si="3"/>
        <v>-0.18377761865325509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--66153.34</f>
        <v>66153.34</v>
      </c>
      <c r="E15" s="2"/>
      <c r="F15" s="19"/>
      <c r="G15" s="2"/>
      <c r="H15" s="2">
        <f>--74429.25</f>
        <v>74429.25</v>
      </c>
      <c r="I15" s="2"/>
      <c r="J15" s="19"/>
      <c r="K15" s="2"/>
      <c r="L15" s="2">
        <f t="shared" si="0"/>
        <v>-8275.9100000000035</v>
      </c>
      <c r="M15" s="2"/>
      <c r="N15" s="19">
        <f t="shared" si="1"/>
        <v>-0.11119163500908585</v>
      </c>
      <c r="O15" s="11"/>
      <c r="P15" s="2">
        <f>--331667.77</f>
        <v>331667.77</v>
      </c>
      <c r="Q15" s="2"/>
      <c r="R15" s="19"/>
      <c r="S15" s="2"/>
      <c r="T15" s="2">
        <f>--385488.41</f>
        <v>385488.41</v>
      </c>
      <c r="U15" s="2"/>
      <c r="V15" s="19"/>
      <c r="W15" s="2"/>
      <c r="X15" s="2">
        <f t="shared" si="2"/>
        <v>-53820.639999999956</v>
      </c>
      <c r="Y15" s="2"/>
      <c r="Z15" s="19">
        <f t="shared" si="3"/>
        <v>-0.13961675268006102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139639.65000000002</v>
      </c>
      <c r="E17" s="4"/>
      <c r="F17" s="12">
        <f t="shared" ref="F17:F19" si="4">IF(D$12=0,0,D17/D$12)</f>
        <v>0.76146918114265172</v>
      </c>
      <c r="G17" s="4"/>
      <c r="H17" s="4">
        <f>SUM(OSRRefH16x_0)</f>
        <v>167646.12</v>
      </c>
      <c r="I17" s="4"/>
      <c r="J17" s="12">
        <f t="shared" ref="J17:J19" si="5">IF(H$12=0,0,H17/H$12)</f>
        <v>0.7793393178742738</v>
      </c>
      <c r="K17" s="4"/>
      <c r="L17" s="4">
        <f t="shared" ref="L17:L19" si="6">+D17-H17</f>
        <v>-28006.469999999972</v>
      </c>
      <c r="M17" s="4"/>
      <c r="N17" s="12">
        <f t="shared" ref="N17:N19" si="7">IF(H17=0,0,L17/H17)</f>
        <v>-0.16705707236171033</v>
      </c>
      <c r="O17" s="10"/>
      <c r="P17" s="4">
        <f>SUM(OSRRefP16x_0)</f>
        <v>674360.63</v>
      </c>
      <c r="Q17" s="4"/>
      <c r="R17" s="12">
        <f t="shared" ref="R17:R19" si="8">IF(P$12=0,0,P17/P$12)</f>
        <v>0.75766897844473313</v>
      </c>
      <c r="S17" s="4"/>
      <c r="T17" s="4">
        <f>SUM(OSRRefT16x_0)</f>
        <v>786498.35999999987</v>
      </c>
      <c r="U17" s="4"/>
      <c r="V17" s="12">
        <f t="shared" ref="V17:V19" si="9">IF(T$12=0,0,T17/T$12)</f>
        <v>0.74047961072665602</v>
      </c>
      <c r="W17" s="4"/>
      <c r="X17" s="4">
        <f t="shared" ref="X17:X19" si="10">+P17-T17</f>
        <v>-112137.72999999986</v>
      </c>
      <c r="Y17" s="4"/>
      <c r="Z17" s="12">
        <f t="shared" ref="Z17:Z19" si="11">IF(T17=0,0,X17/T17)</f>
        <v>-0.1425784664064651</v>
      </c>
    </row>
    <row r="18" spans="1:26" s="24" customFormat="1" hidden="1" outlineLevel="1" x14ac:dyDescent="0.25">
      <c r="A18" s="44"/>
      <c r="B18" s="11" t="str">
        <f>CONCATENATE("          ", "5001", " - ", "PURCHASES @ COST-NEW TEXT")</f>
        <v xml:space="preserve">          5001 - PURCHASES @ COST-NEW TEXT</v>
      </c>
      <c r="C18" s="11"/>
      <c r="D18" s="2">
        <v>84729.400000000009</v>
      </c>
      <c r="E18" s="2"/>
      <c r="F18" s="19">
        <f t="shared" si="4"/>
        <v>0.46203801596973487</v>
      </c>
      <c r="G18" s="2"/>
      <c r="H18" s="2">
        <v>98658.790000000008</v>
      </c>
      <c r="I18" s="2"/>
      <c r="J18" s="19">
        <f t="shared" si="5"/>
        <v>0.45863676475722337</v>
      </c>
      <c r="K18" s="2"/>
      <c r="L18" s="2">
        <f t="shared" si="6"/>
        <v>-13929.39</v>
      </c>
      <c r="M18" s="2"/>
      <c r="N18" s="19">
        <f t="shared" si="7"/>
        <v>-0.14118752115244873</v>
      </c>
      <c r="O18" s="11"/>
      <c r="P18" s="2">
        <v>302957.5</v>
      </c>
      <c r="Q18" s="2"/>
      <c r="R18" s="19">
        <f t="shared" si="8"/>
        <v>0.34038389746621217</v>
      </c>
      <c r="S18" s="2"/>
      <c r="T18" s="2">
        <v>351675.91</v>
      </c>
      <c r="U18" s="2"/>
      <c r="V18" s="19">
        <f t="shared" si="9"/>
        <v>0.33109902599001295</v>
      </c>
      <c r="W18" s="2"/>
      <c r="X18" s="2">
        <f t="shared" si="10"/>
        <v>-48718.409999999974</v>
      </c>
      <c r="Y18" s="2"/>
      <c r="Z18" s="19">
        <f t="shared" si="11"/>
        <v>-0.13853212180498795</v>
      </c>
    </row>
    <row r="19" spans="1:26" s="24" customFormat="1" hidden="1" outlineLevel="1" x14ac:dyDescent="0.25">
      <c r="A19" s="44"/>
      <c r="B19" s="11" t="str">
        <f>CONCATENATE("          ", "5002", " - ", "PURCHASES @ COST-USED TEXT")</f>
        <v xml:space="preserve">          5002 - PURCHASES @ COST-USED TEXT</v>
      </c>
      <c r="C19" s="11"/>
      <c r="D19" s="2">
        <v>54910.25</v>
      </c>
      <c r="E19" s="2"/>
      <c r="F19" s="19">
        <f t="shared" si="4"/>
        <v>0.29943116517291674</v>
      </c>
      <c r="G19" s="2"/>
      <c r="H19" s="2">
        <v>68987.33</v>
      </c>
      <c r="I19" s="2"/>
      <c r="J19" s="19">
        <f t="shared" si="5"/>
        <v>0.32070255311705054</v>
      </c>
      <c r="K19" s="2"/>
      <c r="L19" s="2">
        <f t="shared" si="6"/>
        <v>-14077.080000000002</v>
      </c>
      <c r="M19" s="2"/>
      <c r="N19" s="19">
        <f t="shared" si="7"/>
        <v>-0.20405312105860599</v>
      </c>
      <c r="O19" s="11"/>
      <c r="P19" s="2">
        <v>371403.13</v>
      </c>
      <c r="Q19" s="2"/>
      <c r="R19" s="19">
        <f t="shared" si="8"/>
        <v>0.41728508097852102</v>
      </c>
      <c r="S19" s="2"/>
      <c r="T19" s="2">
        <v>434822.44999999995</v>
      </c>
      <c r="U19" s="2"/>
      <c r="V19" s="19">
        <f t="shared" si="9"/>
        <v>0.40938058473664318</v>
      </c>
      <c r="W19" s="2"/>
      <c r="X19" s="2">
        <f t="shared" si="10"/>
        <v>-63419.319999999949</v>
      </c>
      <c r="Y19" s="2"/>
      <c r="Z19" s="19">
        <f t="shared" si="11"/>
        <v>-0.14585107093711458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6</v>
      </c>
      <c r="C21" s="26"/>
      <c r="D21" s="21">
        <f>D12-D17</f>
        <v>43742.229999999981</v>
      </c>
      <c r="E21" s="13"/>
      <c r="F21" s="20">
        <f>IF(D$12=0,0,D21/D$12)</f>
        <v>0.23853081885734828</v>
      </c>
      <c r="G21" s="13"/>
      <c r="H21" s="21">
        <f>H12-H17</f>
        <v>47467.010000000009</v>
      </c>
      <c r="I21" s="13"/>
      <c r="J21" s="20">
        <f>IF(H$12=0,0,H21/H$12)</f>
        <v>0.22066068212572615</v>
      </c>
      <c r="K21" s="15"/>
      <c r="L21" s="21">
        <f>+D21-H21</f>
        <v>-3724.7800000000279</v>
      </c>
      <c r="M21" s="15"/>
      <c r="N21" s="20">
        <f>IF(H21=0,0,L21/H21)</f>
        <v>-7.8470921172410626E-2</v>
      </c>
      <c r="O21" s="25"/>
      <c r="P21" s="21">
        <f>P12-P17</f>
        <v>215685.88</v>
      </c>
      <c r="Q21" s="13"/>
      <c r="R21" s="20">
        <f>IF(P$12=0,0,P21/P$12)</f>
        <v>0.24233102155526681</v>
      </c>
      <c r="S21" s="13"/>
      <c r="T21" s="21">
        <f>T12-T17</f>
        <v>275648.8600000001</v>
      </c>
      <c r="U21" s="13"/>
      <c r="V21" s="20">
        <f>IF(T$12=0,0,T21/T$12)</f>
        <v>0.25952038927334398</v>
      </c>
      <c r="W21" s="15"/>
      <c r="X21" s="21">
        <f>+P21-T21</f>
        <v>-59962.980000000098</v>
      </c>
      <c r="Y21" s="15"/>
      <c r="Z21" s="20">
        <f>IF(T21=0,0,X21/T21)</f>
        <v>-0.21753393066816992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2">
        <f>SUM(OSRRefD22x_0)</f>
        <v>0</v>
      </c>
      <c r="E23" s="22"/>
      <c r="F23" s="34">
        <f t="shared" ref="F23:F25" si="12">IF(D$12=0,0,D23/D$12)</f>
        <v>0</v>
      </c>
      <c r="G23" s="22"/>
      <c r="H23" s="22">
        <f>SUM(OSRRefH22x_0)</f>
        <v>0</v>
      </c>
      <c r="I23" s="22"/>
      <c r="J23" s="34">
        <f t="shared" ref="J23:J25" si="13">IF(H$12=0,0,H23/H$12)</f>
        <v>0</v>
      </c>
      <c r="K23" s="4"/>
      <c r="L23" s="22">
        <f t="shared" ref="L23:L25" si="14">+D23-H23</f>
        <v>0</v>
      </c>
      <c r="M23" s="4"/>
      <c r="N23" s="34">
        <f t="shared" ref="N23:N25" si="15">IF(H23=0,0,L23/H23)</f>
        <v>0</v>
      </c>
      <c r="O23" s="10"/>
      <c r="P23" s="22">
        <f>SUM(OSRRefP22x_0)</f>
        <v>0</v>
      </c>
      <c r="Q23" s="22"/>
      <c r="R23" s="34">
        <f t="shared" ref="R23:R25" si="16">IF(P$12=0,0,P23/P$12)</f>
        <v>0</v>
      </c>
      <c r="S23" s="22"/>
      <c r="T23" s="22">
        <f>SUM(OSRRefT22x_0)</f>
        <v>45</v>
      </c>
      <c r="U23" s="22"/>
      <c r="V23" s="34">
        <f t="shared" ref="V23:V25" si="17">IF(T$12=0,0,T23/T$12)</f>
        <v>4.2367008219444381E-5</v>
      </c>
      <c r="W23" s="4"/>
      <c r="X23" s="22">
        <f t="shared" ref="X23:X25" si="18">+P23-T23</f>
        <v>-45</v>
      </c>
      <c r="Y23" s="4"/>
      <c r="Z23" s="34">
        <f t="shared" ref="Z23:Z25" si="19">IF(T23=0,0,X23/T23)</f>
        <v>-1</v>
      </c>
    </row>
    <row r="24" spans="1:26" s="29" customFormat="1" outlineLevel="1" collapsed="1" x14ac:dyDescent="0.25">
      <c r="A24" s="27"/>
      <c r="B24" s="14" t="str">
        <f>CONCATENATE("     ","Supplies                                          ")</f>
        <v xml:space="preserve">     Supplies                                          </v>
      </c>
      <c r="C24" s="14"/>
      <c r="D24" s="1">
        <f>SUM(OSRRefD22_0x_0)</f>
        <v>0</v>
      </c>
      <c r="E24" s="1"/>
      <c r="F24" s="5">
        <f t="shared" si="12"/>
        <v>0</v>
      </c>
      <c r="G24" s="1"/>
      <c r="H24" s="1">
        <f>SUM(OSRRefH22_0x_0)</f>
        <v>0</v>
      </c>
      <c r="I24" s="1"/>
      <c r="J24" s="5">
        <f t="shared" si="13"/>
        <v>0</v>
      </c>
      <c r="K24" s="1"/>
      <c r="L24" s="1">
        <f t="shared" si="14"/>
        <v>0</v>
      </c>
      <c r="M24" s="1"/>
      <c r="N24" s="5">
        <f t="shared" si="15"/>
        <v>0</v>
      </c>
      <c r="O24" s="14"/>
      <c r="P24" s="1">
        <f>SUM(OSRRefP22_0x_0)</f>
        <v>0</v>
      </c>
      <c r="Q24" s="1"/>
      <c r="R24" s="5">
        <f t="shared" si="16"/>
        <v>0</v>
      </c>
      <c r="S24" s="1"/>
      <c r="T24" s="1">
        <f>SUM(OSRRefT22_0x_0)</f>
        <v>45</v>
      </c>
      <c r="U24" s="1"/>
      <c r="V24" s="5">
        <f t="shared" si="17"/>
        <v>4.2367008219444381E-5</v>
      </c>
      <c r="W24" s="1"/>
      <c r="X24" s="1">
        <f t="shared" si="18"/>
        <v>-45</v>
      </c>
      <c r="Y24" s="1"/>
      <c r="Z24" s="5">
        <f t="shared" si="19"/>
        <v>-1</v>
      </c>
    </row>
    <row r="25" spans="1:26" s="24" customFormat="1" hidden="1" outlineLevel="2" x14ac:dyDescent="0.25">
      <c r="A25" s="28"/>
      <c r="B25" s="11" t="str">
        <f>CONCATENATE("          ", "6241", " - ", "OFFICE EXPENSE")</f>
        <v xml:space="preserve">          6241 - OFFICE EXPENSE</v>
      </c>
      <c r="C25" s="11"/>
      <c r="D25" s="6"/>
      <c r="E25" s="2"/>
      <c r="F25" s="7">
        <f t="shared" si="12"/>
        <v>0</v>
      </c>
      <c r="G25" s="2"/>
      <c r="H25" s="6"/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/>
      <c r="Q25" s="2"/>
      <c r="R25" s="7">
        <f t="shared" si="16"/>
        <v>0</v>
      </c>
      <c r="S25" s="2"/>
      <c r="T25" s="6">
        <v>45</v>
      </c>
      <c r="U25" s="2"/>
      <c r="V25" s="7">
        <f t="shared" si="17"/>
        <v>4.2367008219444381E-5</v>
      </c>
      <c r="W25" s="2"/>
      <c r="X25" s="6">
        <f t="shared" si="18"/>
        <v>-45</v>
      </c>
      <c r="Y25" s="2"/>
      <c r="Z25" s="7">
        <f t="shared" si="19"/>
        <v>-1</v>
      </c>
    </row>
    <row r="26" spans="1:26" s="53" customFormat="1" x14ac:dyDescent="0.25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5" t="s">
        <v>0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6" t="s">
        <v>3</v>
      </c>
      <c r="C29" s="26"/>
      <c r="D29" s="21">
        <f>+D21-D23+D27</f>
        <v>43742.229999999981</v>
      </c>
      <c r="E29" s="13"/>
      <c r="F29" s="20">
        <f>IF(D$12=0,0,D29/D$12)</f>
        <v>0.23853081885734828</v>
      </c>
      <c r="G29" s="13"/>
      <c r="H29" s="21">
        <f>+H21-H23+H27</f>
        <v>47467.010000000009</v>
      </c>
      <c r="I29" s="13"/>
      <c r="J29" s="20">
        <f>IF(H$12=0,0,H29/H$12)</f>
        <v>0.22066068212572615</v>
      </c>
      <c r="K29" s="15"/>
      <c r="L29" s="21">
        <f>+D29-H29</f>
        <v>-3724.7800000000279</v>
      </c>
      <c r="M29" s="15"/>
      <c r="N29" s="20">
        <f>IF(H29=0,0,L29/H29)</f>
        <v>-7.8470921172410626E-2</v>
      </c>
      <c r="O29" s="25"/>
      <c r="P29" s="21">
        <f>+P21-P23+P27</f>
        <v>215685.88</v>
      </c>
      <c r="Q29" s="13"/>
      <c r="R29" s="20">
        <f>IF(P$12=0,0,P29/P$12)</f>
        <v>0.24233102155526681</v>
      </c>
      <c r="S29" s="13"/>
      <c r="T29" s="21">
        <f>+T21-T23+T27</f>
        <v>275603.8600000001</v>
      </c>
      <c r="U29" s="13"/>
      <c r="V29" s="20">
        <f>IF(T$12=0,0,T29/T$12)</f>
        <v>0.25947802226512451</v>
      </c>
      <c r="W29" s="15"/>
      <c r="X29" s="21">
        <f>+P29-T29</f>
        <v>-59917.980000000098</v>
      </c>
      <c r="Y29" s="15"/>
      <c r="Z29" s="20">
        <f>IF(T29=0,0,X29/T29)</f>
        <v>-0.2174061713068898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51"/>
      <c r="B31" s="10" t="s">
        <v>13</v>
      </c>
      <c r="C31" s="10"/>
      <c r="D31" s="4">
        <v>7494.6</v>
      </c>
      <c r="E31" s="4"/>
      <c r="F31" s="12">
        <f>IF(D$12=0,0,D31/D$12)</f>
        <v>4.0868814301609296E-2</v>
      </c>
      <c r="G31" s="4"/>
      <c r="H31" s="4">
        <v>7890.53</v>
      </c>
      <c r="I31" s="4"/>
      <c r="J31" s="12">
        <f>IF(H$12=0,0,H31/H$12)</f>
        <v>3.6680838589443605E-2</v>
      </c>
      <c r="K31" s="4"/>
      <c r="L31" s="4">
        <f>+D31-H31</f>
        <v>-395.92999999999938</v>
      </c>
      <c r="M31" s="4"/>
      <c r="N31" s="12">
        <f>IF(H31=0,0,L31/H31)</f>
        <v>-5.0177871448432408E-2</v>
      </c>
      <c r="O31" s="10"/>
      <c r="P31" s="4">
        <v>95602.790000000008</v>
      </c>
      <c r="Q31" s="4"/>
      <c r="R31" s="12">
        <f>IF(P$12=0,0,P31/P$12)</f>
        <v>0.10741325192095862</v>
      </c>
      <c r="S31" s="4"/>
      <c r="T31" s="4">
        <v>94368.71</v>
      </c>
      <c r="U31" s="4"/>
      <c r="V31" s="12">
        <f>IF(T$12=0,0,T31/T$12)</f>
        <v>8.8847109160630308E-2</v>
      </c>
      <c r="W31" s="4"/>
      <c r="X31" s="4">
        <f>+P31-T31</f>
        <v>1234.0800000000017</v>
      </c>
      <c r="Y31" s="4"/>
      <c r="Z31" s="12">
        <f>IF(T31=0,0,X31/T31)</f>
        <v>1.3077215954313689E-2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6" t="s">
        <v>4</v>
      </c>
      <c r="C33" s="26"/>
      <c r="D33" s="35">
        <f>+D29-D31</f>
        <v>36247.629999999983</v>
      </c>
      <c r="E33" s="13"/>
      <c r="F33" s="30">
        <f>IF(D$12=0,0,D33/D$12)</f>
        <v>0.19766200455573898</v>
      </c>
      <c r="G33" s="13"/>
      <c r="H33" s="35">
        <f>+H29-H31</f>
        <v>39576.48000000001</v>
      </c>
      <c r="I33" s="13"/>
      <c r="J33" s="30">
        <f>IF(H$12=0,0,H33/H$12)</f>
        <v>0.18397984353628255</v>
      </c>
      <c r="K33" s="15"/>
      <c r="L33" s="35">
        <f>D33-H33</f>
        <v>-3328.8500000000276</v>
      </c>
      <c r="M33" s="15"/>
      <c r="N33" s="30">
        <f>IF(H33=0,0,L33/H33)</f>
        <v>-8.4111826013835156E-2</v>
      </c>
      <c r="O33" s="25"/>
      <c r="P33" s="35">
        <f>+P29-P31</f>
        <v>120083.09</v>
      </c>
      <c r="Q33" s="13"/>
      <c r="R33" s="30">
        <f>IF(P$12=0,0,P33/P$12)</f>
        <v>0.13491776963430821</v>
      </c>
      <c r="S33" s="13"/>
      <c r="T33" s="35">
        <f>+T29-T31</f>
        <v>181235.15000000008</v>
      </c>
      <c r="U33" s="13"/>
      <c r="V33" s="30">
        <f>IF(T$12=0,0,T33/T$12)</f>
        <v>0.17063091310449421</v>
      </c>
      <c r="W33" s="15"/>
      <c r="X33" s="35">
        <f>P33-T33</f>
        <v>-61152.060000000085</v>
      </c>
      <c r="Y33" s="15"/>
      <c r="Z33" s="30">
        <f>IF(T33=0,0,X33/T33)</f>
        <v>-0.33741832089415358</v>
      </c>
    </row>
    <row r="34" spans="1:26" ht="15.75" thickTop="1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>
        <f>SUM(D33:D35)</f>
        <v>36247.629999999983</v>
      </c>
      <c r="E36" s="13"/>
      <c r="F36" s="31">
        <f>IF(D$12=0,0,D36/D$12)</f>
        <v>0.19766200455573898</v>
      </c>
      <c r="G36" s="13"/>
      <c r="H36" s="36">
        <f>SUM(H33:H35)</f>
        <v>39576.48000000001</v>
      </c>
      <c r="I36" s="13"/>
      <c r="J36" s="31">
        <f>IF(H$12=0,0,H36/H$12)</f>
        <v>0.18397984353628255</v>
      </c>
      <c r="K36" s="15"/>
      <c r="L36" s="36">
        <f>+D36-H36</f>
        <v>-3328.8500000000276</v>
      </c>
      <c r="M36" s="15"/>
      <c r="N36" s="31">
        <f>IF(H36=0,0,L36/H36)</f>
        <v>-8.4111826013835156E-2</v>
      </c>
      <c r="O36" s="25"/>
      <c r="P36" s="36">
        <f>SUM(P33:P35)</f>
        <v>120083.09</v>
      </c>
      <c r="Q36" s="13"/>
      <c r="R36" s="31">
        <f>IF(P$12=0,0,P36/P$12)</f>
        <v>0.13491776963430821</v>
      </c>
      <c r="S36" s="13"/>
      <c r="T36" s="36">
        <f>SUM(T33:T35)</f>
        <v>181235.15000000008</v>
      </c>
      <c r="U36" s="13"/>
      <c r="V36" s="31">
        <f>IF(T$12=0,0,T36/T$12)</f>
        <v>0.17063091310449421</v>
      </c>
      <c r="W36" s="15"/>
      <c r="X36" s="36">
        <f>+P36-T36</f>
        <v>-61152.060000000085</v>
      </c>
      <c r="Y36" s="15"/>
      <c r="Z36" s="31">
        <f>IF(T36=0,0,X36/T36)</f>
        <v>-0.33741832089415358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>
        <v>43756.463178240738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s">
        <v>313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5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302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304831.60000000015</v>
      </c>
      <c r="E12" s="4"/>
      <c r="F12" s="12"/>
      <c r="G12" s="4"/>
      <c r="H12" s="4">
        <f>SUM(OSRRefH13x_0)</f>
        <v>274094.63</v>
      </c>
      <c r="I12" s="4"/>
      <c r="J12" s="12"/>
      <c r="K12" s="4"/>
      <c r="L12" s="4">
        <f t="shared" ref="L12:L41" si="0">+D12-H12</f>
        <v>30736.970000000147</v>
      </c>
      <c r="M12" s="4"/>
      <c r="N12" s="12">
        <f t="shared" ref="N12:N41" si="1">IF(H12=0,0,L12/H12)</f>
        <v>0.11213999340300883</v>
      </c>
      <c r="O12" s="10"/>
      <c r="P12" s="4">
        <f>SUM(OSRRefP13x_0)</f>
        <v>859583.44000000018</v>
      </c>
      <c r="Q12" s="4"/>
      <c r="R12" s="12"/>
      <c r="S12" s="4"/>
      <c r="T12" s="4">
        <f>SUM(OSRRefT13x_0)</f>
        <v>761521.28000000026</v>
      </c>
      <c r="U12" s="4"/>
      <c r="V12" s="12"/>
      <c r="W12" s="4"/>
      <c r="X12" s="4">
        <f t="shared" ref="X12:X41" si="2">+P12-T12</f>
        <v>98062.159999999916</v>
      </c>
      <c r="Y12" s="4"/>
      <c r="Z12" s="12">
        <f t="shared" ref="Z12:Z41" si="3">IF(T12=0,0,X12/T12)</f>
        <v>0.12877139822015202</v>
      </c>
    </row>
    <row r="13" spans="1:26" s="24" customFormat="1" hidden="1" outlineLevel="1" x14ac:dyDescent="0.25">
      <c r="A13" s="44"/>
      <c r="B13" s="11" t="str">
        <f>CONCATENATE("          ", "4025", " - ", "TAXABLE SALES-TEST FORMS")</f>
        <v xml:space="preserve">          4025 - TAXABLE SALES-TEST FORMS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--14.49</f>
        <v>14.49</v>
      </c>
      <c r="U13" s="2"/>
      <c r="V13" s="19"/>
      <c r="W13" s="2"/>
      <c r="X13" s="2">
        <f t="shared" si="2"/>
        <v>-14.49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--19.16</f>
        <v>19.16</v>
      </c>
      <c r="E14" s="2"/>
      <c r="F14" s="19"/>
      <c r="G14" s="2"/>
      <c r="H14" s="2">
        <f>--19.99</f>
        <v>19.989999999999998</v>
      </c>
      <c r="I14" s="2"/>
      <c r="J14" s="19"/>
      <c r="K14" s="2"/>
      <c r="L14" s="2">
        <f t="shared" si="0"/>
        <v>-0.82999999999999829</v>
      </c>
      <c r="M14" s="2"/>
      <c r="N14" s="19">
        <f t="shared" si="1"/>
        <v>-4.1520760380190015E-2</v>
      </c>
      <c r="O14" s="11"/>
      <c r="P14" s="2">
        <f>--83.72</f>
        <v>83.72</v>
      </c>
      <c r="Q14" s="2"/>
      <c r="R14" s="19"/>
      <c r="S14" s="2"/>
      <c r="T14" s="2">
        <f>--70.65</f>
        <v>70.650000000000006</v>
      </c>
      <c r="U14" s="2"/>
      <c r="V14" s="19"/>
      <c r="W14" s="2"/>
      <c r="X14" s="2">
        <f t="shared" si="2"/>
        <v>13.069999999999993</v>
      </c>
      <c r="Y14" s="2"/>
      <c r="Z14" s="19">
        <f t="shared" si="3"/>
        <v>0.18499646142958234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--7.48</f>
        <v>7.48</v>
      </c>
      <c r="E15" s="2"/>
      <c r="F15" s="19"/>
      <c r="G15" s="2"/>
      <c r="H15" s="2">
        <f>--10.28</f>
        <v>10.28</v>
      </c>
      <c r="I15" s="2"/>
      <c r="J15" s="19"/>
      <c r="K15" s="2"/>
      <c r="L15" s="2">
        <f t="shared" si="0"/>
        <v>-2.7999999999999989</v>
      </c>
      <c r="M15" s="2"/>
      <c r="N15" s="19">
        <f t="shared" si="1"/>
        <v>-0.27237354085603105</v>
      </c>
      <c r="O15" s="11"/>
      <c r="P15" s="2">
        <f>--47.91</f>
        <v>47.91</v>
      </c>
      <c r="Q15" s="2"/>
      <c r="R15" s="19"/>
      <c r="S15" s="2"/>
      <c r="T15" s="2">
        <f>--294.47</f>
        <v>294.47000000000003</v>
      </c>
      <c r="U15" s="2"/>
      <c r="V15" s="19"/>
      <c r="W15" s="2"/>
      <c r="X15" s="2">
        <f t="shared" si="2"/>
        <v>-246.56000000000003</v>
      </c>
      <c r="Y15" s="2"/>
      <c r="Z15" s="19">
        <f t="shared" si="3"/>
        <v>-0.8373009135056203</v>
      </c>
    </row>
    <row r="16" spans="1:26" s="24" customFormat="1" hidden="1" outlineLevel="1" x14ac:dyDescent="0.25">
      <c r="A16" s="44"/>
      <c r="B16" s="11" t="str">
        <f>CONCATENATE("          ", "4034", " - ", "TAXABLE SALES-SODA")</f>
        <v xml:space="preserve">          4034 - TAXABLE SALES-SODA</v>
      </c>
      <c r="C16" s="11"/>
      <c r="D16" s="2">
        <f>0</f>
        <v>0</v>
      </c>
      <c r="E16" s="2"/>
      <c r="F16" s="19"/>
      <c r="G16" s="2"/>
      <c r="H16" s="2">
        <f>--7</f>
        <v>7</v>
      </c>
      <c r="I16" s="2"/>
      <c r="J16" s="19"/>
      <c r="K16" s="2"/>
      <c r="L16" s="2">
        <f t="shared" si="0"/>
        <v>-7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--40.25</f>
        <v>40.25</v>
      </c>
      <c r="U16" s="2"/>
      <c r="V16" s="19"/>
      <c r="W16" s="2"/>
      <c r="X16" s="2">
        <f t="shared" si="2"/>
        <v>-40.25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--243145.84</f>
        <v>243145.84</v>
      </c>
      <c r="E17" s="2"/>
      <c r="F17" s="19"/>
      <c r="G17" s="2"/>
      <c r="H17" s="2">
        <f>--213321</f>
        <v>213321</v>
      </c>
      <c r="I17" s="2"/>
      <c r="J17" s="19"/>
      <c r="K17" s="2"/>
      <c r="L17" s="2">
        <f t="shared" si="0"/>
        <v>29824.839999999997</v>
      </c>
      <c r="M17" s="2"/>
      <c r="N17" s="19">
        <f t="shared" si="1"/>
        <v>0.13981202038242835</v>
      </c>
      <c r="O17" s="11"/>
      <c r="P17" s="2">
        <f>--632899.52</f>
        <v>632899.52</v>
      </c>
      <c r="Q17" s="2"/>
      <c r="R17" s="19"/>
      <c r="S17" s="2"/>
      <c r="T17" s="2">
        <f>--543157.35</f>
        <v>543157.35</v>
      </c>
      <c r="U17" s="2"/>
      <c r="V17" s="19"/>
      <c r="W17" s="2"/>
      <c r="X17" s="2">
        <f t="shared" si="2"/>
        <v>89742.170000000042</v>
      </c>
      <c r="Y17" s="2"/>
      <c r="Z17" s="19">
        <f t="shared" si="3"/>
        <v>0.16522315310655383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--29013.8</f>
        <v>29013.8</v>
      </c>
      <c r="E18" s="2"/>
      <c r="F18" s="19"/>
      <c r="G18" s="2"/>
      <c r="H18" s="2">
        <f>--31799.86</f>
        <v>31799.86</v>
      </c>
      <c r="I18" s="2"/>
      <c r="J18" s="19"/>
      <c r="K18" s="2"/>
      <c r="L18" s="2">
        <f t="shared" si="0"/>
        <v>-2786.0600000000013</v>
      </c>
      <c r="M18" s="2"/>
      <c r="N18" s="19">
        <f t="shared" si="1"/>
        <v>-8.7612335400218788E-2</v>
      </c>
      <c r="O18" s="11"/>
      <c r="P18" s="2">
        <f>--106338.41</f>
        <v>106338.41</v>
      </c>
      <c r="Q18" s="2"/>
      <c r="R18" s="19"/>
      <c r="S18" s="2"/>
      <c r="T18" s="2">
        <f>--101539.26</f>
        <v>101539.26</v>
      </c>
      <c r="U18" s="2"/>
      <c r="V18" s="19"/>
      <c r="W18" s="2"/>
      <c r="X18" s="2">
        <f t="shared" si="2"/>
        <v>4799.1500000000087</v>
      </c>
      <c r="Y18" s="2"/>
      <c r="Z18" s="19">
        <f t="shared" si="3"/>
        <v>4.7263984393819777E-2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--27398.4</f>
        <v>27398.400000000001</v>
      </c>
      <c r="E19" s="2"/>
      <c r="F19" s="19"/>
      <c r="G19" s="2"/>
      <c r="H19" s="2">
        <f>--22964.71</f>
        <v>22964.71</v>
      </c>
      <c r="I19" s="2"/>
      <c r="J19" s="19"/>
      <c r="K19" s="2"/>
      <c r="L19" s="2">
        <f t="shared" si="0"/>
        <v>4433.6900000000023</v>
      </c>
      <c r="M19" s="2"/>
      <c r="N19" s="19">
        <f t="shared" si="1"/>
        <v>0.1930653598499612</v>
      </c>
      <c r="O19" s="11"/>
      <c r="P19" s="2">
        <f>--75360.38</f>
        <v>75360.38</v>
      </c>
      <c r="Q19" s="2"/>
      <c r="R19" s="19"/>
      <c r="S19" s="2"/>
      <c r="T19" s="2">
        <f>--53153</f>
        <v>53153</v>
      </c>
      <c r="U19" s="2"/>
      <c r="V19" s="19"/>
      <c r="W19" s="2"/>
      <c r="X19" s="2">
        <f t="shared" si="2"/>
        <v>22207.380000000005</v>
      </c>
      <c r="Y19" s="2"/>
      <c r="Z19" s="19">
        <f t="shared" si="3"/>
        <v>0.41780106485052593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--253.89</f>
        <v>253.89</v>
      </c>
      <c r="E20" s="2"/>
      <c r="F20" s="19"/>
      <c r="G20" s="2"/>
      <c r="H20" s="2">
        <f>--255.22</f>
        <v>255.22</v>
      </c>
      <c r="I20" s="2"/>
      <c r="J20" s="19"/>
      <c r="K20" s="2"/>
      <c r="L20" s="2">
        <f t="shared" si="0"/>
        <v>-1.3300000000000125</v>
      </c>
      <c r="M20" s="2"/>
      <c r="N20" s="19">
        <f t="shared" si="1"/>
        <v>-5.2111903455842505E-3</v>
      </c>
      <c r="O20" s="11"/>
      <c r="P20" s="2">
        <f>--362.08</f>
        <v>362.08</v>
      </c>
      <c r="Q20" s="2"/>
      <c r="R20" s="19"/>
      <c r="S20" s="2"/>
      <c r="T20" s="2">
        <f>--462.13</f>
        <v>462.13</v>
      </c>
      <c r="U20" s="2"/>
      <c r="V20" s="19"/>
      <c r="W20" s="2"/>
      <c r="X20" s="2">
        <f t="shared" si="2"/>
        <v>-100.05000000000001</v>
      </c>
      <c r="Y20" s="2"/>
      <c r="Z20" s="19">
        <f t="shared" si="3"/>
        <v>-0.2164975223421981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--6451.34</f>
        <v>6451.34</v>
      </c>
      <c r="E21" s="2"/>
      <c r="F21" s="19"/>
      <c r="G21" s="2"/>
      <c r="H21" s="2">
        <f>--7404.65</f>
        <v>7404.65</v>
      </c>
      <c r="I21" s="2"/>
      <c r="J21" s="19"/>
      <c r="K21" s="2"/>
      <c r="L21" s="2">
        <f t="shared" si="0"/>
        <v>-953.30999999999949</v>
      </c>
      <c r="M21" s="2"/>
      <c r="N21" s="19">
        <f t="shared" si="1"/>
        <v>-0.12874477524258399</v>
      </c>
      <c r="O21" s="11"/>
      <c r="P21" s="2">
        <f>--28228.41</f>
        <v>28228.41</v>
      </c>
      <c r="Q21" s="2"/>
      <c r="R21" s="19"/>
      <c r="S21" s="2"/>
      <c r="T21" s="2">
        <f>--30810.43</f>
        <v>30810.43</v>
      </c>
      <c r="U21" s="2"/>
      <c r="V21" s="19"/>
      <c r="W21" s="2"/>
      <c r="X21" s="2">
        <f t="shared" si="2"/>
        <v>-2582.0200000000004</v>
      </c>
      <c r="Y21" s="2"/>
      <c r="Z21" s="19">
        <f t="shared" si="3"/>
        <v>-8.3803439289876852E-2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>--5803.07</f>
        <v>5803.07</v>
      </c>
      <c r="E22" s="2"/>
      <c r="F22" s="19"/>
      <c r="G22" s="2"/>
      <c r="H22" s="2">
        <f>--5627.36</f>
        <v>5627.36</v>
      </c>
      <c r="I22" s="2"/>
      <c r="J22" s="19"/>
      <c r="K22" s="2"/>
      <c r="L22" s="2">
        <f t="shared" si="0"/>
        <v>175.71000000000004</v>
      </c>
      <c r="M22" s="2"/>
      <c r="N22" s="19">
        <f t="shared" si="1"/>
        <v>3.1224233032896429E-2</v>
      </c>
      <c r="O22" s="11"/>
      <c r="P22" s="2">
        <f>--31327.11</f>
        <v>31327.11</v>
      </c>
      <c r="Q22" s="2"/>
      <c r="R22" s="19"/>
      <c r="S22" s="2"/>
      <c r="T22" s="2">
        <f>--48586.84</f>
        <v>48586.84</v>
      </c>
      <c r="U22" s="2"/>
      <c r="V22" s="19"/>
      <c r="W22" s="2"/>
      <c r="X22" s="2">
        <f t="shared" si="2"/>
        <v>-17259.729999999996</v>
      </c>
      <c r="Y22" s="2"/>
      <c r="Z22" s="19">
        <f t="shared" si="3"/>
        <v>-0.35523466848224738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>0</f>
        <v>0</v>
      </c>
      <c r="E23" s="2"/>
      <c r="F23" s="19"/>
      <c r="G23" s="2"/>
      <c r="H23" s="2">
        <f t="shared" ref="H23:H24" si="4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>--6.93</f>
        <v>6.93</v>
      </c>
      <c r="E24" s="2"/>
      <c r="F24" s="19"/>
      <c r="G24" s="2"/>
      <c r="H24" s="2">
        <f t="shared" si="4"/>
        <v>0</v>
      </c>
      <c r="I24" s="2"/>
      <c r="J24" s="19"/>
      <c r="K24" s="2"/>
      <c r="L24" s="2">
        <f t="shared" si="0"/>
        <v>6.93</v>
      </c>
      <c r="M24" s="2"/>
      <c r="N24" s="19">
        <f t="shared" si="1"/>
        <v>0</v>
      </c>
      <c r="O24" s="11"/>
      <c r="P24" s="2">
        <f>--23.76</f>
        <v>23.76</v>
      </c>
      <c r="Q24" s="2"/>
      <c r="R24" s="19"/>
      <c r="S24" s="2"/>
      <c r="T24" s="2">
        <f>--10.89</f>
        <v>10.89</v>
      </c>
      <c r="U24" s="2"/>
      <c r="V24" s="19"/>
      <c r="W24" s="2"/>
      <c r="X24" s="2">
        <f t="shared" si="2"/>
        <v>12.870000000000001</v>
      </c>
      <c r="Y24" s="2"/>
      <c r="Z24" s="19">
        <f t="shared" si="3"/>
        <v>1.1818181818181819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--19.5</f>
        <v>19.5</v>
      </c>
      <c r="E25" s="2"/>
      <c r="F25" s="19"/>
      <c r="G25" s="2"/>
      <c r="H25" s="2">
        <f>--6</f>
        <v>6</v>
      </c>
      <c r="I25" s="2"/>
      <c r="J25" s="19"/>
      <c r="K25" s="2"/>
      <c r="L25" s="2">
        <f t="shared" si="0"/>
        <v>13.5</v>
      </c>
      <c r="M25" s="2"/>
      <c r="N25" s="19">
        <f t="shared" si="1"/>
        <v>2.25</v>
      </c>
      <c r="O25" s="11"/>
      <c r="P25" s="2">
        <f>--73.5</f>
        <v>73.5</v>
      </c>
      <c r="Q25" s="2"/>
      <c r="R25" s="19"/>
      <c r="S25" s="2"/>
      <c r="T25" s="2">
        <f>--42</f>
        <v>42</v>
      </c>
      <c r="U25" s="2"/>
      <c r="V25" s="19"/>
      <c r="W25" s="2"/>
      <c r="X25" s="2">
        <f t="shared" si="2"/>
        <v>31.5</v>
      </c>
      <c r="Y25" s="2"/>
      <c r="Z25" s="19">
        <f t="shared" si="3"/>
        <v>0.75</v>
      </c>
    </row>
    <row r="26" spans="1:26" s="24" customFormat="1" hidden="1" outlineLevel="1" x14ac:dyDescent="0.25">
      <c r="A26" s="44"/>
      <c r="B26" s="11" t="str">
        <f>CONCATENATE("          ", "4140", " - ", "NON-TAXABLE SALES-LOGO CLOTHIN")</f>
        <v xml:space="preserve">          4140 - NON-TAXABLE SALES-LOGO CLOTHIN</v>
      </c>
      <c r="C26" s="11"/>
      <c r="D26" s="2">
        <f>--3114.74</f>
        <v>3114.74</v>
      </c>
      <c r="E26" s="2"/>
      <c r="F26" s="19"/>
      <c r="G26" s="2"/>
      <c r="H26" s="2">
        <f>--2646.49</f>
        <v>2646.49</v>
      </c>
      <c r="I26" s="2"/>
      <c r="J26" s="19"/>
      <c r="K26" s="2"/>
      <c r="L26" s="2">
        <f t="shared" si="0"/>
        <v>468.25</v>
      </c>
      <c r="M26" s="2"/>
      <c r="N26" s="19">
        <f t="shared" si="1"/>
        <v>0.1769324652653137</v>
      </c>
      <c r="O26" s="11"/>
      <c r="P26" s="2">
        <f>--8257.7</f>
        <v>8257.7000000000007</v>
      </c>
      <c r="Q26" s="2"/>
      <c r="R26" s="19"/>
      <c r="S26" s="2"/>
      <c r="T26" s="2">
        <f>--7904.3</f>
        <v>7904.3</v>
      </c>
      <c r="U26" s="2"/>
      <c r="V26" s="19"/>
      <c r="W26" s="2"/>
      <c r="X26" s="2">
        <f t="shared" si="2"/>
        <v>353.40000000000055</v>
      </c>
      <c r="Y26" s="2"/>
      <c r="Z26" s="19">
        <f t="shared" si="3"/>
        <v>4.470984147868888E-2</v>
      </c>
    </row>
    <row r="27" spans="1:26" s="24" customFormat="1" hidden="1" outlineLevel="1" x14ac:dyDescent="0.25">
      <c r="A27" s="44"/>
      <c r="B27" s="11" t="str">
        <f>CONCATENATE("          ", "4141", " - ", "NON-TAXABLE SALES-LOGO GIFTS")</f>
        <v xml:space="preserve">          4141 - NON-TAXABLE SALES-LOGO GIFTS</v>
      </c>
      <c r="C27" s="11"/>
      <c r="D27" s="2">
        <f>--144.99</f>
        <v>144.99</v>
      </c>
      <c r="E27" s="2"/>
      <c r="F27" s="19"/>
      <c r="G27" s="2"/>
      <c r="H27" s="2">
        <f>--205.09</f>
        <v>205.09</v>
      </c>
      <c r="I27" s="2"/>
      <c r="J27" s="19"/>
      <c r="K27" s="2"/>
      <c r="L27" s="2">
        <f t="shared" si="0"/>
        <v>-60.099999999999994</v>
      </c>
      <c r="M27" s="2"/>
      <c r="N27" s="19">
        <f t="shared" si="1"/>
        <v>-0.29304207908722996</v>
      </c>
      <c r="O27" s="11"/>
      <c r="P27" s="2">
        <f>--661.89</f>
        <v>661.89</v>
      </c>
      <c r="Q27" s="2"/>
      <c r="R27" s="19"/>
      <c r="S27" s="2"/>
      <c r="T27" s="2">
        <f>--540.84</f>
        <v>540.84</v>
      </c>
      <c r="U27" s="2"/>
      <c r="V27" s="19"/>
      <c r="W27" s="2"/>
      <c r="X27" s="2">
        <f t="shared" si="2"/>
        <v>121.04999999999995</v>
      </c>
      <c r="Y27" s="2"/>
      <c r="Z27" s="19">
        <f t="shared" si="3"/>
        <v>0.22381850454848004</v>
      </c>
    </row>
    <row r="28" spans="1:26" s="24" customFormat="1" hidden="1" outlineLevel="1" x14ac:dyDescent="0.25">
      <c r="A28" s="44"/>
      <c r="B28" s="11" t="str">
        <f>CONCATENATE("          ", "4142", " - ", "NON-TAXABLE SALES-EVERYDAY GIF")</f>
        <v xml:space="preserve">          4142 - NON-TAXABLE SALES-EVERYDAY GIF</v>
      </c>
      <c r="C28" s="11"/>
      <c r="D28" s="2">
        <f>--526.9</f>
        <v>526.9</v>
      </c>
      <c r="E28" s="2"/>
      <c r="F28" s="19"/>
      <c r="G28" s="2"/>
      <c r="H28" s="2">
        <f>--53.77</f>
        <v>53.77</v>
      </c>
      <c r="I28" s="2"/>
      <c r="J28" s="19"/>
      <c r="K28" s="2"/>
      <c r="L28" s="2">
        <f t="shared" si="0"/>
        <v>473.13</v>
      </c>
      <c r="M28" s="2"/>
      <c r="N28" s="19">
        <f t="shared" si="1"/>
        <v>8.7991445043704655</v>
      </c>
      <c r="O28" s="11"/>
      <c r="P28" s="2">
        <f>--935</f>
        <v>935</v>
      </c>
      <c r="Q28" s="2"/>
      <c r="R28" s="19"/>
      <c r="S28" s="2"/>
      <c r="T28" s="2">
        <f>--142.26</f>
        <v>142.26</v>
      </c>
      <c r="U28" s="2"/>
      <c r="V28" s="19"/>
      <c r="W28" s="2"/>
      <c r="X28" s="2">
        <f t="shared" si="2"/>
        <v>792.74</v>
      </c>
      <c r="Y28" s="2"/>
      <c r="Z28" s="19">
        <f t="shared" si="3"/>
        <v>5.5724729368761423</v>
      </c>
    </row>
    <row r="29" spans="1:26" s="24" customFormat="1" hidden="1" outlineLevel="1" x14ac:dyDescent="0.25">
      <c r="A29" s="44"/>
      <c r="B29" s="11" t="str">
        <f>CONCATENATE("          ", "4144", " - ", "NON-TAXABLE SALES-ACCESSORIES")</f>
        <v xml:space="preserve">          4144 - NON-TAXABLE SALES-ACCESSORIES</v>
      </c>
      <c r="C29" s="11"/>
      <c r="D29" s="2">
        <f t="shared" ref="D29:D31" si="5">0</f>
        <v>0</v>
      </c>
      <c r="E29" s="2"/>
      <c r="F29" s="19"/>
      <c r="G29" s="2"/>
      <c r="H29" s="2">
        <f>--89.85</f>
        <v>89.85</v>
      </c>
      <c r="I29" s="2"/>
      <c r="J29" s="19"/>
      <c r="K29" s="2"/>
      <c r="L29" s="2">
        <f t="shared" si="0"/>
        <v>-89.85</v>
      </c>
      <c r="M29" s="2"/>
      <c r="N29" s="19">
        <f t="shared" si="1"/>
        <v>-1</v>
      </c>
      <c r="O29" s="11"/>
      <c r="P29" s="2">
        <f>--139.76</f>
        <v>139.76</v>
      </c>
      <c r="Q29" s="2"/>
      <c r="R29" s="19"/>
      <c r="S29" s="2"/>
      <c r="T29" s="2">
        <f>--174.75</f>
        <v>174.75</v>
      </c>
      <c r="U29" s="2"/>
      <c r="V29" s="19"/>
      <c r="W29" s="2"/>
      <c r="X29" s="2">
        <f t="shared" si="2"/>
        <v>-34.990000000000009</v>
      </c>
      <c r="Y29" s="2"/>
      <c r="Z29" s="19">
        <f t="shared" si="3"/>
        <v>-0.20022889842632338</v>
      </c>
    </row>
    <row r="30" spans="1:26" s="24" customFormat="1" hidden="1" outlineLevel="1" x14ac:dyDescent="0.25">
      <c r="A30" s="44"/>
      <c r="B30" s="11" t="str">
        <f>CONCATENATE("          ", "4145", " - ", "NON-TAXABLE SALES-SPECIAL ORDE")</f>
        <v xml:space="preserve">          4145 - NON-TAXABLE SALES-SPECIAL ORDE</v>
      </c>
      <c r="C30" s="11"/>
      <c r="D30" s="2">
        <f t="shared" si="5"/>
        <v>0</v>
      </c>
      <c r="E30" s="2"/>
      <c r="F30" s="19"/>
      <c r="G30" s="2"/>
      <c r="H30" s="2">
        <f t="shared" ref="H30:H31" si="6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--90</f>
        <v>90</v>
      </c>
      <c r="Q30" s="2"/>
      <c r="R30" s="19"/>
      <c r="S30" s="2"/>
      <c r="T30" s="2">
        <f>--201.75</f>
        <v>201.75</v>
      </c>
      <c r="U30" s="2"/>
      <c r="V30" s="19"/>
      <c r="W30" s="2"/>
      <c r="X30" s="2">
        <f t="shared" si="2"/>
        <v>-111.75</v>
      </c>
      <c r="Y30" s="2"/>
      <c r="Z30" s="19">
        <f t="shared" si="3"/>
        <v>-0.55390334572490707</v>
      </c>
    </row>
    <row r="31" spans="1:26" s="24" customFormat="1" hidden="1" outlineLevel="1" x14ac:dyDescent="0.25">
      <c r="A31" s="44"/>
      <c r="B31" s="11" t="str">
        <f>CONCATENATE("          ", "4227", " - ", "SALES RETURN TAXABLE-SCHOOL SU")</f>
        <v xml:space="preserve">          4227 - SALES RETURN TAXABLE-SCHOOL SU</v>
      </c>
      <c r="C31" s="11"/>
      <c r="D31" s="2">
        <f t="shared" si="5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-4.99</f>
        <v>-4.99</v>
      </c>
      <c r="U31" s="2"/>
      <c r="V31" s="19"/>
      <c r="W31" s="2"/>
      <c r="X31" s="2">
        <f t="shared" si="2"/>
        <v>4.99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"4240", " - ", "SALES RETURN TAXABLE-LOGO CLOT")</f>
        <v xml:space="preserve">          4240 - SALES RETURN TAXABLE-LOGO CLOT</v>
      </c>
      <c r="C32" s="11"/>
      <c r="D32" s="2">
        <f>-9538.49</f>
        <v>-9538.49</v>
      </c>
      <c r="E32" s="2"/>
      <c r="F32" s="19"/>
      <c r="G32" s="2"/>
      <c r="H32" s="2">
        <f>-8956.8</f>
        <v>-8956.7999999999993</v>
      </c>
      <c r="I32" s="2"/>
      <c r="J32" s="19"/>
      <c r="K32" s="2"/>
      <c r="L32" s="2">
        <f t="shared" si="0"/>
        <v>-581.69000000000051</v>
      </c>
      <c r="M32" s="2"/>
      <c r="N32" s="19">
        <f t="shared" si="1"/>
        <v>6.4943953197570625E-2</v>
      </c>
      <c r="O32" s="11"/>
      <c r="P32" s="2">
        <f>-20792.98</f>
        <v>-20792.98</v>
      </c>
      <c r="Q32" s="2"/>
      <c r="R32" s="19"/>
      <c r="S32" s="2"/>
      <c r="T32" s="2">
        <f>-20528.6</f>
        <v>-20528.599999999999</v>
      </c>
      <c r="U32" s="2"/>
      <c r="V32" s="19"/>
      <c r="W32" s="2"/>
      <c r="X32" s="2">
        <f t="shared" si="2"/>
        <v>-264.38000000000102</v>
      </c>
      <c r="Y32" s="2"/>
      <c r="Z32" s="19">
        <f t="shared" si="3"/>
        <v>1.2878618123008926E-2</v>
      </c>
    </row>
    <row r="33" spans="1:26" s="24" customFormat="1" hidden="1" outlineLevel="1" x14ac:dyDescent="0.25">
      <c r="A33" s="44"/>
      <c r="B33" s="11" t="str">
        <f>CONCATENATE("          ", "4241", " - ", "SALES RETURN TAXABLE-LOGO GIFT")</f>
        <v xml:space="preserve">          4241 - SALES RETURN TAXABLE-LOGO GIFT</v>
      </c>
      <c r="C33" s="11"/>
      <c r="D33" s="2">
        <f>-550.82</f>
        <v>-550.82000000000005</v>
      </c>
      <c r="E33" s="2"/>
      <c r="F33" s="19"/>
      <c r="G33" s="2"/>
      <c r="H33" s="2">
        <f>-691.33</f>
        <v>-691.33</v>
      </c>
      <c r="I33" s="2"/>
      <c r="J33" s="19"/>
      <c r="K33" s="2"/>
      <c r="L33" s="2">
        <f t="shared" si="0"/>
        <v>140.51</v>
      </c>
      <c r="M33" s="2"/>
      <c r="N33" s="19">
        <f t="shared" si="1"/>
        <v>-0.20324591728986155</v>
      </c>
      <c r="O33" s="11"/>
      <c r="P33" s="2">
        <f>-1777.13</f>
        <v>-1777.13</v>
      </c>
      <c r="Q33" s="2"/>
      <c r="R33" s="19"/>
      <c r="S33" s="2"/>
      <c r="T33" s="2">
        <f>-1874.64</f>
        <v>-1874.64</v>
      </c>
      <c r="U33" s="2"/>
      <c r="V33" s="19"/>
      <c r="W33" s="2"/>
      <c r="X33" s="2">
        <f t="shared" si="2"/>
        <v>97.509999999999991</v>
      </c>
      <c r="Y33" s="2"/>
      <c r="Z33" s="19">
        <f t="shared" si="3"/>
        <v>-5.2015320274826089E-2</v>
      </c>
    </row>
    <row r="34" spans="1:26" s="24" customFormat="1" hidden="1" outlineLevel="1" x14ac:dyDescent="0.25">
      <c r="A34" s="44"/>
      <c r="B34" s="11" t="str">
        <f>CONCATENATE("          ", "4242", " - ", "SALES RETURN TAXABLE-EVERYDAY")</f>
        <v xml:space="preserve">          4242 - SALES RETURN TAXABLE-EVERYDAY</v>
      </c>
      <c r="C34" s="11"/>
      <c r="D34" s="2">
        <f>-169.66</f>
        <v>-169.66</v>
      </c>
      <c r="E34" s="2"/>
      <c r="F34" s="19"/>
      <c r="G34" s="2"/>
      <c r="H34" s="2">
        <f>-316.56</f>
        <v>-316.56</v>
      </c>
      <c r="I34" s="2"/>
      <c r="J34" s="19"/>
      <c r="K34" s="2"/>
      <c r="L34" s="2">
        <f t="shared" si="0"/>
        <v>146.9</v>
      </c>
      <c r="M34" s="2"/>
      <c r="N34" s="19">
        <f t="shared" si="1"/>
        <v>-0.46405104877432402</v>
      </c>
      <c r="O34" s="11"/>
      <c r="P34" s="2">
        <f>-978.27</f>
        <v>-978.27</v>
      </c>
      <c r="Q34" s="2"/>
      <c r="R34" s="19"/>
      <c r="S34" s="2"/>
      <c r="T34" s="2">
        <f>-738.35</f>
        <v>-738.35</v>
      </c>
      <c r="U34" s="2"/>
      <c r="V34" s="19"/>
      <c r="W34" s="2"/>
      <c r="X34" s="2">
        <f t="shared" si="2"/>
        <v>-239.91999999999996</v>
      </c>
      <c r="Y34" s="2"/>
      <c r="Z34" s="19">
        <f t="shared" si="3"/>
        <v>0.32494074625854941</v>
      </c>
    </row>
    <row r="35" spans="1:26" s="24" customFormat="1" hidden="1" outlineLevel="1" x14ac:dyDescent="0.25">
      <c r="A35" s="44"/>
      <c r="B35" s="11" t="str">
        <f>CONCATENATE("          ", "4243", " - ", "SALES RETURN TAXABLE-CARDS")</f>
        <v xml:space="preserve">          4243 - SALES RETURN TAXABLE-CARDS</v>
      </c>
      <c r="C35" s="11"/>
      <c r="D35" s="2">
        <f>-4.5</f>
        <v>-4.5</v>
      </c>
      <c r="E35" s="2"/>
      <c r="F35" s="19"/>
      <c r="G35" s="2"/>
      <c r="H35" s="2">
        <f>-12.95</f>
        <v>-12.95</v>
      </c>
      <c r="I35" s="2"/>
      <c r="J35" s="19"/>
      <c r="K35" s="2"/>
      <c r="L35" s="2">
        <f t="shared" si="0"/>
        <v>8.4499999999999993</v>
      </c>
      <c r="M35" s="2"/>
      <c r="N35" s="19">
        <f t="shared" si="1"/>
        <v>-0.65250965250965254</v>
      </c>
      <c r="O35" s="11"/>
      <c r="P35" s="2">
        <f>-4.5</f>
        <v>-4.5</v>
      </c>
      <c r="Q35" s="2"/>
      <c r="R35" s="19"/>
      <c r="S35" s="2"/>
      <c r="T35" s="2">
        <f>-12.95</f>
        <v>-12.95</v>
      </c>
      <c r="U35" s="2"/>
      <c r="V35" s="19"/>
      <c r="W35" s="2"/>
      <c r="X35" s="2">
        <f t="shared" si="2"/>
        <v>8.4499999999999993</v>
      </c>
      <c r="Y35" s="2"/>
      <c r="Z35" s="19">
        <f t="shared" si="3"/>
        <v>-0.65250965250965254</v>
      </c>
    </row>
    <row r="36" spans="1:26" s="24" customFormat="1" hidden="1" outlineLevel="1" x14ac:dyDescent="0.25">
      <c r="A36" s="44"/>
      <c r="B36" s="11" t="str">
        <f>CONCATENATE("          ", "4244", " - ", "SALES RETURN TAXABLE-ACCESSORI")</f>
        <v xml:space="preserve">          4244 - SALES RETURN TAXABLE-ACCESSORI</v>
      </c>
      <c r="C36" s="11"/>
      <c r="D36" s="2">
        <f>-704.04</f>
        <v>-704.04</v>
      </c>
      <c r="E36" s="2"/>
      <c r="F36" s="19"/>
      <c r="G36" s="2"/>
      <c r="H36" s="2">
        <f>-264.1</f>
        <v>-264.10000000000002</v>
      </c>
      <c r="I36" s="2"/>
      <c r="J36" s="19"/>
      <c r="K36" s="2"/>
      <c r="L36" s="2">
        <f t="shared" si="0"/>
        <v>-439.93999999999994</v>
      </c>
      <c r="M36" s="2"/>
      <c r="N36" s="19">
        <f t="shared" si="1"/>
        <v>1.6658084059068532</v>
      </c>
      <c r="O36" s="11"/>
      <c r="P36" s="2">
        <f>-1254.51</f>
        <v>-1254.51</v>
      </c>
      <c r="Q36" s="2"/>
      <c r="R36" s="19"/>
      <c r="S36" s="2"/>
      <c r="T36" s="2">
        <f>-2023.36</f>
        <v>-2023.36</v>
      </c>
      <c r="U36" s="2"/>
      <c r="V36" s="19"/>
      <c r="W36" s="2"/>
      <c r="X36" s="2">
        <f t="shared" si="2"/>
        <v>768.84999999999991</v>
      </c>
      <c r="Y36" s="2"/>
      <c r="Z36" s="19">
        <f t="shared" si="3"/>
        <v>-0.37998675470504506</v>
      </c>
    </row>
    <row r="37" spans="1:26" s="24" customFormat="1" hidden="1" outlineLevel="1" x14ac:dyDescent="0.25">
      <c r="A37" s="44"/>
      <c r="B37" s="11" t="str">
        <f>CONCATENATE("          ", "4245", " - ", "SALES RETURN TAXABLE-SPECIAL O")</f>
        <v xml:space="preserve">          4245 - SALES RETURN TAXABLE-SPECIAL O</v>
      </c>
      <c r="C37" s="11"/>
      <c r="D37" s="2">
        <f>-71.98</f>
        <v>-71.98</v>
      </c>
      <c r="E37" s="2"/>
      <c r="F37" s="19"/>
      <c r="G37" s="2"/>
      <c r="H37" s="2">
        <f t="shared" ref="H37:H38" si="7">0</f>
        <v>0</v>
      </c>
      <c r="I37" s="2"/>
      <c r="J37" s="19"/>
      <c r="K37" s="2"/>
      <c r="L37" s="2">
        <f t="shared" si="0"/>
        <v>-71.98</v>
      </c>
      <c r="M37" s="2"/>
      <c r="N37" s="19">
        <f t="shared" si="1"/>
        <v>0</v>
      </c>
      <c r="O37" s="11"/>
      <c r="P37" s="2">
        <f>-91.96</f>
        <v>-91.96</v>
      </c>
      <c r="Q37" s="2"/>
      <c r="R37" s="19"/>
      <c r="S37" s="2"/>
      <c r="T37" s="2">
        <f>-174.85</f>
        <v>-174.85</v>
      </c>
      <c r="U37" s="2"/>
      <c r="V37" s="19"/>
      <c r="W37" s="2"/>
      <c r="X37" s="2">
        <f t="shared" si="2"/>
        <v>82.89</v>
      </c>
      <c r="Y37" s="2"/>
      <c r="Z37" s="19">
        <f t="shared" si="3"/>
        <v>-0.47406348298541606</v>
      </c>
    </row>
    <row r="38" spans="1:26" s="24" customFormat="1" hidden="1" outlineLevel="1" x14ac:dyDescent="0.25">
      <c r="A38" s="44"/>
      <c r="B38" s="11" t="str">
        <f>CONCATENATE("          ", "4295", " - ", "SALES RETURN TAXABLE-CUSTOMER")</f>
        <v xml:space="preserve">          4295 - SALES RETURN TAXABLE-CUSTOMER</v>
      </c>
      <c r="C38" s="11"/>
      <c r="D38" s="2">
        <f>0</f>
        <v>0</v>
      </c>
      <c r="E38" s="2"/>
      <c r="F38" s="19"/>
      <c r="G38" s="2"/>
      <c r="H38" s="2">
        <f t="shared" si="7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--0.99</f>
        <v>0.99</v>
      </c>
      <c r="Q38" s="2"/>
      <c r="R38" s="19"/>
      <c r="S38" s="2"/>
      <c r="T38" s="2">
        <f>0</f>
        <v>0</v>
      </c>
      <c r="U38" s="2"/>
      <c r="V38" s="19"/>
      <c r="W38" s="2"/>
      <c r="X38" s="2">
        <f t="shared" si="2"/>
        <v>0.99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"4340", " - ", "SALES RETURN NON TAXABLE-LOGO")</f>
        <v xml:space="preserve">          4340 - SALES RETURN NON TAXABLE-LOGO</v>
      </c>
      <c r="C39" s="11"/>
      <c r="D39" s="2">
        <f>-24.95</f>
        <v>-24.95</v>
      </c>
      <c r="E39" s="2"/>
      <c r="F39" s="19"/>
      <c r="G39" s="2"/>
      <c r="H39" s="2">
        <f>-34.95</f>
        <v>-34.950000000000003</v>
      </c>
      <c r="I39" s="2"/>
      <c r="J39" s="19"/>
      <c r="K39" s="2"/>
      <c r="L39" s="2">
        <f t="shared" si="0"/>
        <v>10.000000000000004</v>
      </c>
      <c r="M39" s="2"/>
      <c r="N39" s="19">
        <f t="shared" si="1"/>
        <v>-0.28612303290414887</v>
      </c>
      <c r="O39" s="11"/>
      <c r="P39" s="2">
        <f>-293.45</f>
        <v>-293.45</v>
      </c>
      <c r="Q39" s="2"/>
      <c r="R39" s="19"/>
      <c r="S39" s="2"/>
      <c r="T39" s="2">
        <f>-226.69</f>
        <v>-226.69</v>
      </c>
      <c r="U39" s="2"/>
      <c r="V39" s="19"/>
      <c r="W39" s="2"/>
      <c r="X39" s="2">
        <f t="shared" si="2"/>
        <v>-66.759999999999991</v>
      </c>
      <c r="Y39" s="2"/>
      <c r="Z39" s="19">
        <f t="shared" si="3"/>
        <v>0.29449909568132687</v>
      </c>
    </row>
    <row r="40" spans="1:26" s="24" customFormat="1" hidden="1" outlineLevel="1" x14ac:dyDescent="0.25">
      <c r="A40" s="44"/>
      <c r="B40" s="11" t="str">
        <f>CONCATENATE("          ", "4341", " - ", "SALES RETURN NON TAXABLE-LOGO")</f>
        <v xml:space="preserve">          4341 - SALES RETURN NON TAXABLE-LOGO</v>
      </c>
      <c r="C40" s="11"/>
      <c r="D40" s="2">
        <f>0</f>
        <v>0</v>
      </c>
      <c r="E40" s="2"/>
      <c r="F40" s="19"/>
      <c r="G40" s="2"/>
      <c r="H40" s="2">
        <f>-39.95</f>
        <v>-39.950000000000003</v>
      </c>
      <c r="I40" s="2"/>
      <c r="J40" s="19"/>
      <c r="K40" s="2"/>
      <c r="L40" s="2">
        <f t="shared" si="0"/>
        <v>39.950000000000003</v>
      </c>
      <c r="M40" s="2"/>
      <c r="N40" s="19">
        <f t="shared" si="1"/>
        <v>-1</v>
      </c>
      <c r="O40" s="11"/>
      <c r="P40" s="2">
        <f>-3.95</f>
        <v>-3.95</v>
      </c>
      <c r="Q40" s="2"/>
      <c r="R40" s="19"/>
      <c r="S40" s="2"/>
      <c r="T40" s="2">
        <f>-39.95</f>
        <v>-39.950000000000003</v>
      </c>
      <c r="U40" s="2"/>
      <c r="V40" s="19"/>
      <c r="W40" s="2"/>
      <c r="X40" s="2">
        <f t="shared" si="2"/>
        <v>36</v>
      </c>
      <c r="Y40" s="2"/>
      <c r="Z40" s="19">
        <f t="shared" si="3"/>
        <v>-0.90112640801001243</v>
      </c>
    </row>
    <row r="41" spans="1:26" s="24" customFormat="1" hidden="1" outlineLevel="1" x14ac:dyDescent="0.25">
      <c r="A41" s="44"/>
      <c r="B41" s="11" t="str">
        <f>CONCATENATE("          ", "4342", " - ", "SALES RETURN NON TAXABLE-EVERY")</f>
        <v xml:space="preserve">          4342 - SALES RETURN NON TAXABLE-EVERY</v>
      </c>
      <c r="C41" s="11"/>
      <c r="D41" s="2">
        <f>-10</f>
        <v>-10</v>
      </c>
      <c r="E41" s="2"/>
      <c r="F41" s="19"/>
      <c r="G41" s="2"/>
      <c r="H41" s="2">
        <f>0</f>
        <v>0</v>
      </c>
      <c r="I41" s="2"/>
      <c r="J41" s="19"/>
      <c r="K41" s="2"/>
      <c r="L41" s="2">
        <f t="shared" si="0"/>
        <v>-10</v>
      </c>
      <c r="M41" s="2"/>
      <c r="N41" s="19">
        <f t="shared" si="1"/>
        <v>0</v>
      </c>
      <c r="O41" s="11"/>
      <c r="P41" s="2">
        <f>-10</f>
        <v>-10</v>
      </c>
      <c r="Q41" s="2"/>
      <c r="R41" s="19"/>
      <c r="S41" s="2"/>
      <c r="T41" s="2">
        <f>0</f>
        <v>0</v>
      </c>
      <c r="U41" s="2"/>
      <c r="V41" s="19"/>
      <c r="W41" s="2"/>
      <c r="X41" s="2">
        <f t="shared" si="2"/>
        <v>-10</v>
      </c>
      <c r="Y41" s="2"/>
      <c r="Z41" s="19">
        <f t="shared" si="3"/>
        <v>0</v>
      </c>
    </row>
    <row r="42" spans="1:26" x14ac:dyDescent="0.25">
      <c r="A42" s="9"/>
      <c r="B42" s="10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collapsed="1" x14ac:dyDescent="0.25">
      <c r="A43" s="10"/>
      <c r="B43" s="25" t="s">
        <v>8</v>
      </c>
      <c r="C43" s="10"/>
      <c r="D43" s="4">
        <f>SUM(OSRRefD16x_0)</f>
        <v>137400.94</v>
      </c>
      <c r="E43" s="4"/>
      <c r="F43" s="12">
        <f t="shared" ref="F43:F65" si="8">IF(D$12=0,0,D43/D$12)</f>
        <v>0.4507437549125482</v>
      </c>
      <c r="G43" s="4"/>
      <c r="H43" s="4">
        <f>SUM(OSRRefH16x_0)</f>
        <v>128438.22999999997</v>
      </c>
      <c r="I43" s="4"/>
      <c r="J43" s="12">
        <f t="shared" ref="J43:J65" si="9">IF(H$12=0,0,H43/H$12)</f>
        <v>0.46859082937888991</v>
      </c>
      <c r="K43" s="4"/>
      <c r="L43" s="4">
        <f t="shared" ref="L43:L65" si="10">+D43-H43</f>
        <v>8962.7100000000355</v>
      </c>
      <c r="M43" s="4"/>
      <c r="N43" s="12">
        <f t="shared" ref="N43:N65" si="11">IF(H43=0,0,L43/H43)</f>
        <v>6.9782260312992769E-2</v>
      </c>
      <c r="O43" s="10"/>
      <c r="P43" s="4">
        <f>SUM(OSRRefP16x_0)</f>
        <v>390017.6100000001</v>
      </c>
      <c r="Q43" s="4"/>
      <c r="R43" s="12">
        <f t="shared" ref="R43:R65" si="12">IF(P$12=0,0,P43/P$12)</f>
        <v>0.45372862231966687</v>
      </c>
      <c r="S43" s="4"/>
      <c r="T43" s="4">
        <f>SUM(OSRRefT16x_0)</f>
        <v>355163.19999999995</v>
      </c>
      <c r="U43" s="4"/>
      <c r="V43" s="12">
        <f t="shared" ref="V43:V65" si="13">IF(T$12=0,0,T43/T$12)</f>
        <v>0.46638644162379789</v>
      </c>
      <c r="W43" s="4"/>
      <c r="X43" s="4">
        <f t="shared" ref="X43:X65" si="14">+P43-T43</f>
        <v>34854.410000000149</v>
      </c>
      <c r="Y43" s="4"/>
      <c r="Z43" s="12">
        <f t="shared" ref="Z43:Z65" si="15">IF(T43=0,0,X43/T43)</f>
        <v>9.8136321555837305E-2</v>
      </c>
    </row>
    <row r="44" spans="1:26" s="24" customFormat="1" hidden="1" outlineLevel="1" x14ac:dyDescent="0.25">
      <c r="A44" s="44"/>
      <c r="B44" s="11" t="str">
        <f>CONCATENATE("          ", "5025", " - ", "PURCHASES @ COST-TEST FORMS")</f>
        <v xml:space="preserve">          5025 - PURCHASES @ COST-TEST FORMS</v>
      </c>
      <c r="C44" s="11"/>
      <c r="D44" s="2"/>
      <c r="E44" s="2"/>
      <c r="F44" s="19">
        <f t="shared" si="8"/>
        <v>0</v>
      </c>
      <c r="G44" s="2"/>
      <c r="H44" s="2">
        <v>-1.8</v>
      </c>
      <c r="I44" s="2"/>
      <c r="J44" s="19">
        <f t="shared" si="9"/>
        <v>-6.567075028066037E-6</v>
      </c>
      <c r="K44" s="2"/>
      <c r="L44" s="2">
        <f t="shared" si="10"/>
        <v>1.8</v>
      </c>
      <c r="M44" s="2"/>
      <c r="N44" s="19">
        <f t="shared" si="11"/>
        <v>-1</v>
      </c>
      <c r="O44" s="11"/>
      <c r="P44" s="2"/>
      <c r="Q44" s="2"/>
      <c r="R44" s="19">
        <f t="shared" si="12"/>
        <v>0</v>
      </c>
      <c r="S44" s="2"/>
      <c r="T44" s="2">
        <v>13.2</v>
      </c>
      <c r="U44" s="2"/>
      <c r="V44" s="19">
        <f t="shared" si="13"/>
        <v>1.733372441017012E-5</v>
      </c>
      <c r="W44" s="2"/>
      <c r="X44" s="2">
        <f t="shared" si="14"/>
        <v>-13.2</v>
      </c>
      <c r="Y44" s="2"/>
      <c r="Z44" s="19">
        <f t="shared" si="15"/>
        <v>-1</v>
      </c>
    </row>
    <row r="45" spans="1:26" s="24" customFormat="1" hidden="1" outlineLevel="1" x14ac:dyDescent="0.25">
      <c r="A45" s="44"/>
      <c r="B45" s="11" t="str">
        <f>CONCATENATE("          ", "5026", " - ", "PURCHASES @ COST-WRITING INSTR")</f>
        <v xml:space="preserve">          5026 - PURCHASES @ COST-WRITING INSTR</v>
      </c>
      <c r="C45" s="11"/>
      <c r="D45" s="2">
        <v>-11.31</v>
      </c>
      <c r="E45" s="2"/>
      <c r="F45" s="19">
        <f t="shared" si="8"/>
        <v>-3.7102452632863507E-5</v>
      </c>
      <c r="G45" s="2"/>
      <c r="H45" s="2">
        <v>-10.1</v>
      </c>
      <c r="I45" s="2"/>
      <c r="J45" s="19">
        <f t="shared" si="9"/>
        <v>-3.6848587657481647E-5</v>
      </c>
      <c r="K45" s="2"/>
      <c r="L45" s="2">
        <f t="shared" si="10"/>
        <v>-1.2100000000000009</v>
      </c>
      <c r="M45" s="2"/>
      <c r="N45" s="19">
        <f t="shared" si="11"/>
        <v>0.11980198019801989</v>
      </c>
      <c r="O45" s="11"/>
      <c r="P45" s="2">
        <v>-64.930000000000007</v>
      </c>
      <c r="Q45" s="2"/>
      <c r="R45" s="19">
        <f t="shared" si="12"/>
        <v>-7.5536587815139842E-5</v>
      </c>
      <c r="S45" s="2"/>
      <c r="T45" s="2">
        <v>195.76</v>
      </c>
      <c r="U45" s="2"/>
      <c r="V45" s="19">
        <f t="shared" si="13"/>
        <v>2.5706438564658356E-4</v>
      </c>
      <c r="W45" s="2"/>
      <c r="X45" s="2">
        <f t="shared" si="14"/>
        <v>-260.69</v>
      </c>
      <c r="Y45" s="2"/>
      <c r="Z45" s="19">
        <f t="shared" si="15"/>
        <v>-1.3316816510012262</v>
      </c>
    </row>
    <row r="46" spans="1:26" s="24" customFormat="1" hidden="1" outlineLevel="1" x14ac:dyDescent="0.25">
      <c r="A46" s="44"/>
      <c r="B46" s="11" t="str">
        <f>CONCATENATE("          ", "5027", " - ", "PURCHASES @ COST-SCHOOL SUPPLI")</f>
        <v xml:space="preserve">          5027 - PURCHASES @ COST-SCHOOL SUPPLI</v>
      </c>
      <c r="C46" s="11"/>
      <c r="D46" s="2">
        <v>-35.06</v>
      </c>
      <c r="E46" s="2"/>
      <c r="F46" s="19">
        <f t="shared" si="8"/>
        <v>-1.1501432266208617E-4</v>
      </c>
      <c r="G46" s="2"/>
      <c r="H46" s="2">
        <v>-98.33</v>
      </c>
      <c r="I46" s="2"/>
      <c r="J46" s="19">
        <f t="shared" si="9"/>
        <v>-3.587447152831852E-4</v>
      </c>
      <c r="K46" s="2"/>
      <c r="L46" s="2">
        <f t="shared" si="10"/>
        <v>63.269999999999996</v>
      </c>
      <c r="M46" s="2"/>
      <c r="N46" s="19">
        <f t="shared" si="11"/>
        <v>-0.64344554052679748</v>
      </c>
      <c r="O46" s="11"/>
      <c r="P46" s="2">
        <v>28.46</v>
      </c>
      <c r="Q46" s="2"/>
      <c r="R46" s="19">
        <f t="shared" si="12"/>
        <v>3.3109060360678882E-5</v>
      </c>
      <c r="S46" s="2"/>
      <c r="T46" s="2">
        <v>516.53</v>
      </c>
      <c r="U46" s="2"/>
      <c r="V46" s="19">
        <f t="shared" si="13"/>
        <v>6.7828702042311911E-4</v>
      </c>
      <c r="W46" s="2"/>
      <c r="X46" s="2">
        <f t="shared" si="14"/>
        <v>-488.07</v>
      </c>
      <c r="Y46" s="2"/>
      <c r="Z46" s="19">
        <f t="shared" si="15"/>
        <v>-0.94490155460476644</v>
      </c>
    </row>
    <row r="47" spans="1:26" s="24" customFormat="1" hidden="1" outlineLevel="1" x14ac:dyDescent="0.25">
      <c r="A47" s="44"/>
      <c r="B47" s="11" t="str">
        <f>CONCATENATE("          ", "5034", " - ", "PURCHASES @ COST-SODA")</f>
        <v xml:space="preserve">          5034 - PURCHASES @ COST-SODA</v>
      </c>
      <c r="C47" s="11"/>
      <c r="D47" s="2"/>
      <c r="E47" s="2"/>
      <c r="F47" s="19">
        <f t="shared" si="8"/>
        <v>0</v>
      </c>
      <c r="G47" s="2"/>
      <c r="H47" s="2">
        <v>20.04</v>
      </c>
      <c r="I47" s="2"/>
      <c r="J47" s="19">
        <f t="shared" si="9"/>
        <v>7.3113435312468543E-5</v>
      </c>
      <c r="K47" s="2"/>
      <c r="L47" s="2">
        <f t="shared" si="10"/>
        <v>-20.04</v>
      </c>
      <c r="M47" s="2"/>
      <c r="N47" s="19">
        <f t="shared" si="11"/>
        <v>-1</v>
      </c>
      <c r="O47" s="11"/>
      <c r="P47" s="2"/>
      <c r="Q47" s="2"/>
      <c r="R47" s="19">
        <f t="shared" si="12"/>
        <v>0</v>
      </c>
      <c r="S47" s="2"/>
      <c r="T47" s="2">
        <v>10.8</v>
      </c>
      <c r="U47" s="2"/>
      <c r="V47" s="19">
        <f t="shared" si="13"/>
        <v>1.4182138153775555E-5</v>
      </c>
      <c r="W47" s="2"/>
      <c r="X47" s="2">
        <f t="shared" si="14"/>
        <v>-10.8</v>
      </c>
      <c r="Y47" s="2"/>
      <c r="Z47" s="19">
        <f t="shared" si="15"/>
        <v>-1</v>
      </c>
    </row>
    <row r="48" spans="1:26" s="24" customFormat="1" hidden="1" outlineLevel="1" x14ac:dyDescent="0.25">
      <c r="A48" s="44"/>
      <c r="B48" s="11" t="str">
        <f>CONCATENATE("          ", "5037", " - ", "PURCHASES @ COST-WATER")</f>
        <v xml:space="preserve">          5037 - PURCHASES @ COST-WATER</v>
      </c>
      <c r="C48" s="11"/>
      <c r="D48" s="2"/>
      <c r="E48" s="2"/>
      <c r="F48" s="19">
        <f t="shared" si="8"/>
        <v>0</v>
      </c>
      <c r="G48" s="2"/>
      <c r="H48" s="2">
        <v>16.64</v>
      </c>
      <c r="I48" s="2"/>
      <c r="J48" s="19">
        <f t="shared" si="9"/>
        <v>6.0708960259454921E-5</v>
      </c>
      <c r="K48" s="2"/>
      <c r="L48" s="2">
        <f t="shared" si="10"/>
        <v>-16.64</v>
      </c>
      <c r="M48" s="2"/>
      <c r="N48" s="19">
        <f t="shared" si="11"/>
        <v>-1</v>
      </c>
      <c r="O48" s="11"/>
      <c r="P48" s="2">
        <v>29.76</v>
      </c>
      <c r="Q48" s="2"/>
      <c r="R48" s="19">
        <f t="shared" si="12"/>
        <v>3.4621420812853252E-5</v>
      </c>
      <c r="S48" s="2"/>
      <c r="T48" s="2">
        <v>16.64</v>
      </c>
      <c r="U48" s="2"/>
      <c r="V48" s="19">
        <f t="shared" si="13"/>
        <v>2.1850998044335669E-5</v>
      </c>
      <c r="W48" s="2"/>
      <c r="X48" s="2">
        <f t="shared" si="14"/>
        <v>13.120000000000001</v>
      </c>
      <c r="Y48" s="2"/>
      <c r="Z48" s="19">
        <f t="shared" si="15"/>
        <v>0.78846153846153855</v>
      </c>
    </row>
    <row r="49" spans="1:26" s="24" customFormat="1" hidden="1" outlineLevel="1" x14ac:dyDescent="0.25">
      <c r="A49" s="44"/>
      <c r="B49" s="11" t="str">
        <f>CONCATENATE("          ", "5040", " - ", "PURCHASES @ COST-LOGO CLOTHING")</f>
        <v xml:space="preserve">          5040 - PURCHASES @ COST-LOGO CLOTHING</v>
      </c>
      <c r="C49" s="11"/>
      <c r="D49" s="2">
        <v>150282.89000000001</v>
      </c>
      <c r="E49" s="2"/>
      <c r="F49" s="19">
        <f t="shared" si="8"/>
        <v>0.49300298919140911</v>
      </c>
      <c r="G49" s="2"/>
      <c r="H49" s="2">
        <v>126875.2</v>
      </c>
      <c r="I49" s="2"/>
      <c r="J49" s="19">
        <f t="shared" si="9"/>
        <v>0.46288830977826889</v>
      </c>
      <c r="K49" s="2"/>
      <c r="L49" s="2">
        <f t="shared" si="10"/>
        <v>23407.690000000017</v>
      </c>
      <c r="M49" s="2"/>
      <c r="N49" s="19">
        <f t="shared" si="11"/>
        <v>0.1844938175466917</v>
      </c>
      <c r="O49" s="11"/>
      <c r="P49" s="2">
        <v>335851.86000000004</v>
      </c>
      <c r="Q49" s="2"/>
      <c r="R49" s="19">
        <f t="shared" si="12"/>
        <v>0.3907146698870792</v>
      </c>
      <c r="S49" s="2"/>
      <c r="T49" s="2">
        <v>295122.42</v>
      </c>
      <c r="U49" s="2"/>
      <c r="V49" s="19">
        <f t="shared" si="13"/>
        <v>0.38754323451079381</v>
      </c>
      <c r="W49" s="2"/>
      <c r="X49" s="2">
        <f t="shared" si="14"/>
        <v>40729.440000000061</v>
      </c>
      <c r="Y49" s="2"/>
      <c r="Z49" s="19">
        <f t="shared" si="15"/>
        <v>0.13800862706398268</v>
      </c>
    </row>
    <row r="50" spans="1:26" s="24" customFormat="1" hidden="1" outlineLevel="1" x14ac:dyDescent="0.25">
      <c r="A50" s="44"/>
      <c r="B50" s="11" t="str">
        <f>CONCATENATE("          ", "5041", " - ", "PURCHASES @ COST-LOGO GIFTS")</f>
        <v xml:space="preserve">          5041 - PURCHASES @ COST-LOGO GIFTS</v>
      </c>
      <c r="C50" s="11"/>
      <c r="D50" s="2">
        <v>14167.32</v>
      </c>
      <c r="E50" s="2"/>
      <c r="F50" s="19">
        <f t="shared" si="8"/>
        <v>4.6475890294838174E-2</v>
      </c>
      <c r="G50" s="2"/>
      <c r="H50" s="2">
        <v>2643.64</v>
      </c>
      <c r="I50" s="2"/>
      <c r="J50" s="19">
        <f t="shared" si="9"/>
        <v>9.6449901262202764E-3</v>
      </c>
      <c r="K50" s="2"/>
      <c r="L50" s="2">
        <f t="shared" si="10"/>
        <v>11523.68</v>
      </c>
      <c r="M50" s="2"/>
      <c r="N50" s="19">
        <f t="shared" si="11"/>
        <v>4.359020138899397</v>
      </c>
      <c r="O50" s="11"/>
      <c r="P50" s="2">
        <v>42696.480000000003</v>
      </c>
      <c r="Q50" s="2"/>
      <c r="R50" s="19">
        <f t="shared" si="12"/>
        <v>4.9671129076195322E-2</v>
      </c>
      <c r="S50" s="2"/>
      <c r="T50" s="2">
        <v>43498.54</v>
      </c>
      <c r="U50" s="2"/>
      <c r="V50" s="19">
        <f t="shared" si="13"/>
        <v>5.7120583682178899E-2</v>
      </c>
      <c r="W50" s="2"/>
      <c r="X50" s="2">
        <f t="shared" si="14"/>
        <v>-802.05999999999767</v>
      </c>
      <c r="Y50" s="2"/>
      <c r="Z50" s="19">
        <f t="shared" si="15"/>
        <v>-1.8438779784332938E-2</v>
      </c>
    </row>
    <row r="51" spans="1:26" s="24" customFormat="1" hidden="1" outlineLevel="1" x14ac:dyDescent="0.25">
      <c r="A51" s="44"/>
      <c r="B51" s="11" t="str">
        <f>CONCATENATE("          ", "5042", " - ", "PURCHASES @ COST-EVERYDAY GIFT")</f>
        <v xml:space="preserve">          5042 - PURCHASES @ COST-EVERYDAY GIFT</v>
      </c>
      <c r="C51" s="11"/>
      <c r="D51" s="2">
        <v>11559.46</v>
      </c>
      <c r="E51" s="2"/>
      <c r="F51" s="19">
        <f t="shared" si="8"/>
        <v>3.7920806110652551E-2</v>
      </c>
      <c r="G51" s="2"/>
      <c r="H51" s="2">
        <v>11737.22</v>
      </c>
      <c r="I51" s="2"/>
      <c r="J51" s="19">
        <f t="shared" si="9"/>
        <v>4.2821780200509578E-2</v>
      </c>
      <c r="K51" s="2"/>
      <c r="L51" s="2">
        <f t="shared" si="10"/>
        <v>-177.76000000000022</v>
      </c>
      <c r="M51" s="2"/>
      <c r="N51" s="19">
        <f t="shared" si="11"/>
        <v>-1.5144983224306968E-2</v>
      </c>
      <c r="O51" s="11"/>
      <c r="P51" s="2">
        <v>35291.68</v>
      </c>
      <c r="Q51" s="2"/>
      <c r="R51" s="19">
        <f t="shared" si="12"/>
        <v>4.1056723940610107E-2</v>
      </c>
      <c r="S51" s="2"/>
      <c r="T51" s="2">
        <v>35271.049999999996</v>
      </c>
      <c r="U51" s="2"/>
      <c r="V51" s="19">
        <f t="shared" si="13"/>
        <v>4.6316565178585664E-2</v>
      </c>
      <c r="W51" s="2"/>
      <c r="X51" s="2">
        <f t="shared" si="14"/>
        <v>20.630000000004657</v>
      </c>
      <c r="Y51" s="2"/>
      <c r="Z51" s="19">
        <f t="shared" si="15"/>
        <v>5.8489894687015719E-4</v>
      </c>
    </row>
    <row r="52" spans="1:26" s="24" customFormat="1" hidden="1" outlineLevel="1" x14ac:dyDescent="0.25">
      <c r="A52" s="44"/>
      <c r="B52" s="11" t="str">
        <f>CONCATENATE("          ", "5043", " - ", "PURCHASES @ COST-CARDS")</f>
        <v xml:space="preserve">          5043 - PURCHASES @ COST-CARDS</v>
      </c>
      <c r="C52" s="11"/>
      <c r="D52" s="2">
        <v>495.49</v>
      </c>
      <c r="E52" s="2"/>
      <c r="F52" s="19">
        <f t="shared" si="8"/>
        <v>1.6254548412959803E-3</v>
      </c>
      <c r="G52" s="2"/>
      <c r="H52" s="2">
        <v>674.24</v>
      </c>
      <c r="I52" s="2"/>
      <c r="J52" s="19">
        <f t="shared" si="9"/>
        <v>2.4598803705129135E-3</v>
      </c>
      <c r="K52" s="2"/>
      <c r="L52" s="2">
        <f t="shared" si="10"/>
        <v>-178.75</v>
      </c>
      <c r="M52" s="2"/>
      <c r="N52" s="19">
        <f t="shared" si="11"/>
        <v>-0.26511331276696726</v>
      </c>
      <c r="O52" s="11"/>
      <c r="P52" s="2">
        <v>1008.99</v>
      </c>
      <c r="Q52" s="2"/>
      <c r="R52" s="19">
        <f t="shared" si="12"/>
        <v>1.1738127481841667E-3</v>
      </c>
      <c r="S52" s="2"/>
      <c r="T52" s="2">
        <v>1138.05</v>
      </c>
      <c r="U52" s="2"/>
      <c r="V52" s="19">
        <f t="shared" si="13"/>
        <v>1.4944428079540989E-3</v>
      </c>
      <c r="W52" s="2"/>
      <c r="X52" s="2">
        <f t="shared" si="14"/>
        <v>-129.05999999999995</v>
      </c>
      <c r="Y52" s="2"/>
      <c r="Z52" s="19">
        <f t="shared" si="15"/>
        <v>-0.11340450771055749</v>
      </c>
    </row>
    <row r="53" spans="1:26" s="24" customFormat="1" hidden="1" outlineLevel="1" x14ac:dyDescent="0.25">
      <c r="A53" s="44"/>
      <c r="B53" s="11" t="str">
        <f>CONCATENATE("          ", "5044", " - ", "PURCHASES @ COST-ACCESSORIES")</f>
        <v xml:space="preserve">          5044 - PURCHASES @ COST-ACCESSORIES</v>
      </c>
      <c r="C53" s="11"/>
      <c r="D53" s="2">
        <v>2315.5300000000002</v>
      </c>
      <c r="E53" s="2"/>
      <c r="F53" s="19">
        <f t="shared" si="8"/>
        <v>7.5960956803690924E-3</v>
      </c>
      <c r="G53" s="2"/>
      <c r="H53" s="2">
        <v>5340.7</v>
      </c>
      <c r="I53" s="2"/>
      <c r="J53" s="19">
        <f t="shared" si="9"/>
        <v>1.9484876445773489E-2</v>
      </c>
      <c r="K53" s="2"/>
      <c r="L53" s="2">
        <f t="shared" si="10"/>
        <v>-3025.1699999999996</v>
      </c>
      <c r="M53" s="2"/>
      <c r="N53" s="19">
        <f t="shared" si="11"/>
        <v>-0.56643698391596597</v>
      </c>
      <c r="O53" s="11"/>
      <c r="P53" s="2">
        <v>20403.649999999998</v>
      </c>
      <c r="Q53" s="2"/>
      <c r="R53" s="19">
        <f t="shared" si="12"/>
        <v>2.3736671800005819E-2</v>
      </c>
      <c r="S53" s="2"/>
      <c r="T53" s="2">
        <v>13536.29</v>
      </c>
      <c r="U53" s="2"/>
      <c r="V53" s="19">
        <f t="shared" si="13"/>
        <v>1.7775327302738009E-2</v>
      </c>
      <c r="W53" s="2"/>
      <c r="X53" s="2">
        <f t="shared" si="14"/>
        <v>6867.3599999999969</v>
      </c>
      <c r="Y53" s="2"/>
      <c r="Z53" s="19">
        <f t="shared" si="15"/>
        <v>0.50732955632599452</v>
      </c>
    </row>
    <row r="54" spans="1:26" s="24" customFormat="1" hidden="1" outlineLevel="1" x14ac:dyDescent="0.25">
      <c r="A54" s="44"/>
      <c r="B54" s="11" t="str">
        <f>CONCATENATE("          ", "5045", " - ", "PURCHASES @ COST-SPECIAL ORDER")</f>
        <v xml:space="preserve">          5045 - PURCHASES @ COST-SPECIAL ORDER</v>
      </c>
      <c r="C54" s="11"/>
      <c r="D54" s="2">
        <v>4318.3999999999996</v>
      </c>
      <c r="E54" s="2"/>
      <c r="F54" s="19">
        <f t="shared" si="8"/>
        <v>1.4166510296176636E-2</v>
      </c>
      <c r="G54" s="2"/>
      <c r="H54" s="2">
        <v>3127.05</v>
      </c>
      <c r="I54" s="2"/>
      <c r="J54" s="19">
        <f t="shared" si="9"/>
        <v>1.1408651092507723E-2</v>
      </c>
      <c r="K54" s="2"/>
      <c r="L54" s="2">
        <f t="shared" si="10"/>
        <v>1191.3499999999995</v>
      </c>
      <c r="M54" s="2"/>
      <c r="N54" s="19">
        <f t="shared" si="11"/>
        <v>0.38098207575830234</v>
      </c>
      <c r="O54" s="11"/>
      <c r="P54" s="2">
        <v>24464.030000000002</v>
      </c>
      <c r="Q54" s="2"/>
      <c r="R54" s="19">
        <f t="shared" si="12"/>
        <v>2.8460331902159488E-2</v>
      </c>
      <c r="S54" s="2"/>
      <c r="T54" s="2">
        <v>33137.03</v>
      </c>
      <c r="U54" s="2"/>
      <c r="V54" s="19">
        <f t="shared" si="13"/>
        <v>4.3514253469056026E-2</v>
      </c>
      <c r="W54" s="2"/>
      <c r="X54" s="2">
        <f t="shared" si="14"/>
        <v>-8672.9999999999964</v>
      </c>
      <c r="Y54" s="2"/>
      <c r="Z54" s="19">
        <f t="shared" si="15"/>
        <v>-0.26173136216492537</v>
      </c>
    </row>
    <row r="55" spans="1:26" s="24" customFormat="1" hidden="1" outlineLevel="1" x14ac:dyDescent="0.25">
      <c r="A55" s="44"/>
      <c r="B55" s="11" t="str">
        <f>CONCATENATE("          ", "5083", " - ", "PURCHASES @ COST-COMPUTER EQUI")</f>
        <v xml:space="preserve">          5083 - PURCHASES @ COST-COMPUTER EQUI</v>
      </c>
      <c r="C55" s="11"/>
      <c r="D55" s="2"/>
      <c r="E55" s="2"/>
      <c r="F55" s="19">
        <f t="shared" si="8"/>
        <v>0</v>
      </c>
      <c r="G55" s="2"/>
      <c r="H55" s="2"/>
      <c r="I55" s="2"/>
      <c r="J55" s="19">
        <f t="shared" si="9"/>
        <v>0</v>
      </c>
      <c r="K55" s="2"/>
      <c r="L55" s="2">
        <f t="shared" si="10"/>
        <v>0</v>
      </c>
      <c r="M55" s="2"/>
      <c r="N55" s="19">
        <f t="shared" si="11"/>
        <v>0</v>
      </c>
      <c r="O55" s="11"/>
      <c r="P55" s="2">
        <v>39.950000000000003</v>
      </c>
      <c r="Q55" s="2"/>
      <c r="R55" s="19">
        <f t="shared" si="12"/>
        <v>4.6476000049512349E-5</v>
      </c>
      <c r="S55" s="2"/>
      <c r="T55" s="2">
        <v>15.8</v>
      </c>
      <c r="U55" s="2"/>
      <c r="V55" s="19">
        <f t="shared" si="13"/>
        <v>2.0747942854597571E-5</v>
      </c>
      <c r="W55" s="2"/>
      <c r="X55" s="2">
        <f t="shared" si="14"/>
        <v>24.150000000000002</v>
      </c>
      <c r="Y55" s="2"/>
      <c r="Z55" s="19">
        <f t="shared" si="15"/>
        <v>1.528481012658228</v>
      </c>
    </row>
    <row r="56" spans="1:26" s="24" customFormat="1" hidden="1" outlineLevel="1" x14ac:dyDescent="0.25">
      <c r="A56" s="44"/>
      <c r="B56" s="11" t="str">
        <f>CONCATENATE("          ", "5092", " - ", "PURCHASES @ COST-GRAD MERCH")</f>
        <v xml:space="preserve">          5092 - PURCHASES @ COST-GRAD MERCH</v>
      </c>
      <c r="C56" s="11"/>
      <c r="D56" s="2">
        <v>-12.95</v>
      </c>
      <c r="E56" s="2"/>
      <c r="F56" s="19">
        <f t="shared" si="8"/>
        <v>-4.2482472289618246E-5</v>
      </c>
      <c r="G56" s="2"/>
      <c r="H56" s="2"/>
      <c r="I56" s="2"/>
      <c r="J56" s="19">
        <f t="shared" si="9"/>
        <v>0</v>
      </c>
      <c r="K56" s="2"/>
      <c r="L56" s="2">
        <f t="shared" si="10"/>
        <v>-12.95</v>
      </c>
      <c r="M56" s="2"/>
      <c r="N56" s="19">
        <f t="shared" si="11"/>
        <v>0</v>
      </c>
      <c r="O56" s="11"/>
      <c r="P56" s="2">
        <v>-12.95</v>
      </c>
      <c r="Q56" s="2"/>
      <c r="R56" s="19">
        <f t="shared" si="12"/>
        <v>-1.5065436812044678E-5</v>
      </c>
      <c r="S56" s="2"/>
      <c r="T56" s="2"/>
      <c r="U56" s="2"/>
      <c r="V56" s="19">
        <f t="shared" si="13"/>
        <v>0</v>
      </c>
      <c r="W56" s="2"/>
      <c r="X56" s="2">
        <f t="shared" si="14"/>
        <v>-12.95</v>
      </c>
      <c r="Y56" s="2"/>
      <c r="Z56" s="19">
        <f t="shared" si="15"/>
        <v>0</v>
      </c>
    </row>
    <row r="57" spans="1:26" s="24" customFormat="1" hidden="1" outlineLevel="1" x14ac:dyDescent="0.25">
      <c r="A57" s="44"/>
      <c r="B57" s="11" t="str">
        <f>CONCATENATE("          ", "5095", " - ", "PURCHASES @ COST-CUSTOMER SERV")</f>
        <v xml:space="preserve">          5095 - PURCHASES @ COST-CUSTOMER SERV</v>
      </c>
      <c r="C57" s="11"/>
      <c r="D57" s="2"/>
      <c r="E57" s="2"/>
      <c r="F57" s="19">
        <f t="shared" si="8"/>
        <v>0</v>
      </c>
      <c r="G57" s="2"/>
      <c r="H57" s="2"/>
      <c r="I57" s="2"/>
      <c r="J57" s="19">
        <f t="shared" si="9"/>
        <v>0</v>
      </c>
      <c r="K57" s="2"/>
      <c r="L57" s="2">
        <f t="shared" si="10"/>
        <v>0</v>
      </c>
      <c r="M57" s="2"/>
      <c r="N57" s="19">
        <f t="shared" si="11"/>
        <v>0</v>
      </c>
      <c r="O57" s="11"/>
      <c r="P57" s="2">
        <v>-11.85</v>
      </c>
      <c r="Q57" s="2"/>
      <c r="R57" s="19">
        <f t="shared" si="12"/>
        <v>-1.3785747198666365E-5</v>
      </c>
      <c r="S57" s="2"/>
      <c r="T57" s="2"/>
      <c r="U57" s="2"/>
      <c r="V57" s="19">
        <f t="shared" si="13"/>
        <v>0</v>
      </c>
      <c r="W57" s="2"/>
      <c r="X57" s="2">
        <f t="shared" si="14"/>
        <v>-11.85</v>
      </c>
      <c r="Y57" s="2"/>
      <c r="Z57" s="19">
        <f t="shared" si="15"/>
        <v>0</v>
      </c>
    </row>
    <row r="58" spans="1:26" s="24" customFormat="1" hidden="1" outlineLevel="1" x14ac:dyDescent="0.25">
      <c r="A58" s="44"/>
      <c r="B58" s="11" t="str">
        <f>CONCATENATE("          ", "5200", " - ", "PURCHASES OFFSET")</f>
        <v xml:space="preserve">          5200 - PURCHASES OFFSET</v>
      </c>
      <c r="C58" s="11"/>
      <c r="D58" s="2">
        <v>-185971</v>
      </c>
      <c r="E58" s="2"/>
      <c r="F58" s="19">
        <f t="shared" si="8"/>
        <v>-0.61007782657703435</v>
      </c>
      <c r="G58" s="2"/>
      <c r="H58" s="2">
        <v>-154432</v>
      </c>
      <c r="I58" s="2"/>
      <c r="J58" s="19">
        <f t="shared" si="9"/>
        <v>-0.56342585040794124</v>
      </c>
      <c r="K58" s="2"/>
      <c r="L58" s="2">
        <f t="shared" si="10"/>
        <v>-31539</v>
      </c>
      <c r="M58" s="2"/>
      <c r="N58" s="19">
        <f t="shared" si="11"/>
        <v>0.20422580812266888</v>
      </c>
      <c r="O58" s="11"/>
      <c r="P58" s="2">
        <v>-466125</v>
      </c>
      <c r="Q58" s="2"/>
      <c r="R58" s="19">
        <f t="shared" si="12"/>
        <v>-0.54226847366905984</v>
      </c>
      <c r="S58" s="2"/>
      <c r="T58" s="2">
        <v>-432472</v>
      </c>
      <c r="U58" s="2"/>
      <c r="V58" s="19">
        <f t="shared" si="13"/>
        <v>-0.56790533811477972</v>
      </c>
      <c r="W58" s="2"/>
      <c r="X58" s="2">
        <f t="shared" si="14"/>
        <v>-33653</v>
      </c>
      <c r="Y58" s="2"/>
      <c r="Z58" s="19">
        <f t="shared" si="15"/>
        <v>7.7815442387021594E-2</v>
      </c>
    </row>
    <row r="59" spans="1:26" s="24" customFormat="1" hidden="1" outlineLevel="1" x14ac:dyDescent="0.25">
      <c r="A59" s="44"/>
      <c r="B59" s="11" t="str">
        <f>CONCATENATE("          ", "5300", " - ", "COG$ OFFSET")</f>
        <v xml:space="preserve">          5300 - COG$ OFFSET</v>
      </c>
      <c r="C59" s="11"/>
      <c r="D59" s="2">
        <v>137402</v>
      </c>
      <c r="E59" s="2"/>
      <c r="F59" s="19">
        <f t="shared" si="8"/>
        <v>0.45074723224232638</v>
      </c>
      <c r="G59" s="2"/>
      <c r="H59" s="2">
        <v>128439</v>
      </c>
      <c r="I59" s="2"/>
      <c r="J59" s="19">
        <f t="shared" si="9"/>
        <v>0.46859363862765208</v>
      </c>
      <c r="K59" s="2"/>
      <c r="L59" s="2">
        <f t="shared" si="10"/>
        <v>8963</v>
      </c>
      <c r="M59" s="2"/>
      <c r="N59" s="19">
        <f t="shared" si="11"/>
        <v>6.9784099845062633E-2</v>
      </c>
      <c r="O59" s="11"/>
      <c r="P59" s="2">
        <v>390020</v>
      </c>
      <c r="Q59" s="2"/>
      <c r="R59" s="19">
        <f t="shared" si="12"/>
        <v>0.45373140273619034</v>
      </c>
      <c r="S59" s="2"/>
      <c r="T59" s="2">
        <v>355164</v>
      </c>
      <c r="U59" s="2"/>
      <c r="V59" s="19">
        <f t="shared" si="13"/>
        <v>0.46638749215255004</v>
      </c>
      <c r="W59" s="2"/>
      <c r="X59" s="2">
        <f t="shared" si="14"/>
        <v>34856</v>
      </c>
      <c r="Y59" s="2"/>
      <c r="Z59" s="19">
        <f t="shared" si="15"/>
        <v>9.8140577310763477E-2</v>
      </c>
    </row>
    <row r="60" spans="1:26" s="24" customFormat="1" hidden="1" outlineLevel="1" x14ac:dyDescent="0.25">
      <c r="A60" s="44"/>
      <c r="B60" s="11" t="str">
        <f>CONCATENATE("          ", "5540", " - ", "FREIGHT-IN-LOGO CLOTHING")</f>
        <v xml:space="preserve">          5540 - FREIGHT-IN-LOGO CLOTHING</v>
      </c>
      <c r="C60" s="11"/>
      <c r="D60" s="2">
        <v>2672.92</v>
      </c>
      <c r="E60" s="2"/>
      <c r="F60" s="19">
        <f t="shared" si="8"/>
        <v>8.768513500568835E-3</v>
      </c>
      <c r="G60" s="2"/>
      <c r="H60" s="2">
        <v>2773.09</v>
      </c>
      <c r="I60" s="2"/>
      <c r="J60" s="19">
        <f t="shared" si="9"/>
        <v>1.0117272271988692E-2</v>
      </c>
      <c r="K60" s="2"/>
      <c r="L60" s="2">
        <f t="shared" si="10"/>
        <v>-100.17000000000007</v>
      </c>
      <c r="M60" s="2"/>
      <c r="N60" s="19">
        <f t="shared" si="11"/>
        <v>-3.6122159756805612E-2</v>
      </c>
      <c r="O60" s="11"/>
      <c r="P60" s="2">
        <v>5004.8599999999997</v>
      </c>
      <c r="Q60" s="2"/>
      <c r="R60" s="19">
        <f t="shared" si="12"/>
        <v>5.8224248712841634E-3</v>
      </c>
      <c r="S60" s="2"/>
      <c r="T60" s="2">
        <v>5693.24</v>
      </c>
      <c r="U60" s="2"/>
      <c r="V60" s="19">
        <f t="shared" si="13"/>
        <v>7.4761403909815857E-3</v>
      </c>
      <c r="W60" s="2"/>
      <c r="X60" s="2">
        <f t="shared" si="14"/>
        <v>-688.38000000000011</v>
      </c>
      <c r="Y60" s="2"/>
      <c r="Z60" s="19">
        <f t="shared" si="15"/>
        <v>-0.12091181822652833</v>
      </c>
    </row>
    <row r="61" spans="1:26" s="24" customFormat="1" hidden="1" outlineLevel="1" x14ac:dyDescent="0.25">
      <c r="A61" s="44"/>
      <c r="B61" s="11" t="str">
        <f>CONCATENATE("          ", "5541", " - ", "FREIGHT-IN-LOGO GIFTS")</f>
        <v xml:space="preserve">          5541 - FREIGHT-IN-LOGO GIFTS</v>
      </c>
      <c r="C61" s="11"/>
      <c r="D61" s="2">
        <v>97.6</v>
      </c>
      <c r="E61" s="2"/>
      <c r="F61" s="19">
        <f t="shared" si="8"/>
        <v>3.201767795727213E-4</v>
      </c>
      <c r="G61" s="2"/>
      <c r="H61" s="2">
        <v>929.59</v>
      </c>
      <c r="I61" s="2"/>
      <c r="J61" s="19">
        <f t="shared" si="9"/>
        <v>3.3914929307443929E-3</v>
      </c>
      <c r="K61" s="2"/>
      <c r="L61" s="2">
        <f t="shared" si="10"/>
        <v>-831.99</v>
      </c>
      <c r="M61" s="2"/>
      <c r="N61" s="19">
        <f t="shared" si="11"/>
        <v>-0.8950074764143332</v>
      </c>
      <c r="O61" s="11"/>
      <c r="P61" s="2">
        <v>818.01</v>
      </c>
      <c r="Q61" s="2"/>
      <c r="R61" s="19">
        <f t="shared" si="12"/>
        <v>9.516353642178121E-4</v>
      </c>
      <c r="S61" s="2"/>
      <c r="T61" s="2">
        <v>2171.12</v>
      </c>
      <c r="U61" s="2"/>
      <c r="V61" s="19">
        <f t="shared" si="13"/>
        <v>2.8510299804097388E-3</v>
      </c>
      <c r="W61" s="2"/>
      <c r="X61" s="2">
        <f t="shared" si="14"/>
        <v>-1353.11</v>
      </c>
      <c r="Y61" s="2"/>
      <c r="Z61" s="19">
        <f t="shared" si="15"/>
        <v>-0.62323132760971289</v>
      </c>
    </row>
    <row r="62" spans="1:26" s="24" customFormat="1" hidden="1" outlineLevel="1" x14ac:dyDescent="0.25">
      <c r="A62" s="44"/>
      <c r="B62" s="11" t="str">
        <f>CONCATENATE("          ", "5542", " - ", "FREIGHT-IN-EVERYDAY GIFTS")</f>
        <v xml:space="preserve">          5542 - FREIGHT-IN-EVERYDAY GIFTS</v>
      </c>
      <c r="C62" s="11"/>
      <c r="D62" s="2">
        <v>58.91</v>
      </c>
      <c r="E62" s="2"/>
      <c r="F62" s="19">
        <f t="shared" si="8"/>
        <v>1.9325424267037922E-4</v>
      </c>
      <c r="G62" s="2"/>
      <c r="H62" s="2">
        <v>54.74</v>
      </c>
      <c r="I62" s="2"/>
      <c r="J62" s="19">
        <f t="shared" si="9"/>
        <v>1.9971204835351938E-4</v>
      </c>
      <c r="K62" s="2"/>
      <c r="L62" s="2">
        <f t="shared" si="10"/>
        <v>4.1699999999999946</v>
      </c>
      <c r="M62" s="2"/>
      <c r="N62" s="19">
        <f t="shared" si="11"/>
        <v>7.6178297405918791E-2</v>
      </c>
      <c r="O62" s="11"/>
      <c r="P62" s="2">
        <v>171.68</v>
      </c>
      <c r="Q62" s="2"/>
      <c r="R62" s="19">
        <f t="shared" si="12"/>
        <v>1.9972464802253516E-4</v>
      </c>
      <c r="S62" s="2"/>
      <c r="T62" s="2">
        <v>477.53</v>
      </c>
      <c r="U62" s="2"/>
      <c r="V62" s="19">
        <f t="shared" si="13"/>
        <v>6.2707374375670739E-4</v>
      </c>
      <c r="W62" s="2"/>
      <c r="X62" s="2">
        <f t="shared" si="14"/>
        <v>-305.84999999999997</v>
      </c>
      <c r="Y62" s="2"/>
      <c r="Z62" s="19">
        <f t="shared" si="15"/>
        <v>-0.6404833204196595</v>
      </c>
    </row>
    <row r="63" spans="1:26" s="24" customFormat="1" hidden="1" outlineLevel="1" x14ac:dyDescent="0.25">
      <c r="A63" s="44"/>
      <c r="B63" s="11" t="str">
        <f>CONCATENATE("          ", "5543", " - ", "FREIGHT-IN-CARDS")</f>
        <v xml:space="preserve">          5543 - FREIGHT-IN-CARDS</v>
      </c>
      <c r="C63" s="11"/>
      <c r="D63" s="2"/>
      <c r="E63" s="2"/>
      <c r="F63" s="19">
        <f t="shared" si="8"/>
        <v>0</v>
      </c>
      <c r="G63" s="2"/>
      <c r="H63" s="2"/>
      <c r="I63" s="2"/>
      <c r="J63" s="19">
        <f t="shared" si="9"/>
        <v>0</v>
      </c>
      <c r="K63" s="2"/>
      <c r="L63" s="2">
        <f t="shared" si="10"/>
        <v>0</v>
      </c>
      <c r="M63" s="2"/>
      <c r="N63" s="19">
        <f t="shared" si="11"/>
        <v>0</v>
      </c>
      <c r="O63" s="11"/>
      <c r="P63" s="2">
        <v>4.58</v>
      </c>
      <c r="Q63" s="2"/>
      <c r="R63" s="19">
        <f t="shared" si="12"/>
        <v>5.3281622084297009E-6</v>
      </c>
      <c r="S63" s="2"/>
      <c r="T63" s="2"/>
      <c r="U63" s="2"/>
      <c r="V63" s="19">
        <f t="shared" si="13"/>
        <v>0</v>
      </c>
      <c r="W63" s="2"/>
      <c r="X63" s="2">
        <f t="shared" si="14"/>
        <v>4.58</v>
      </c>
      <c r="Y63" s="2"/>
      <c r="Z63" s="19">
        <f t="shared" si="15"/>
        <v>0</v>
      </c>
    </row>
    <row r="64" spans="1:26" s="24" customFormat="1" hidden="1" outlineLevel="1" x14ac:dyDescent="0.25">
      <c r="A64" s="44"/>
      <c r="B64" s="11" t="str">
        <f>CONCATENATE("          ", "5544", " - ", "FREIGHT-IN-ACCESSORIES")</f>
        <v xml:space="preserve">          5544 - FREIGHT-IN-ACCESSORIES</v>
      </c>
      <c r="C64" s="11"/>
      <c r="D64" s="2">
        <v>34.18</v>
      </c>
      <c r="E64" s="2"/>
      <c r="F64" s="19">
        <f t="shared" si="8"/>
        <v>1.1212748284626654E-4</v>
      </c>
      <c r="G64" s="2"/>
      <c r="H64" s="2">
        <v>317.79000000000002</v>
      </c>
      <c r="I64" s="2"/>
      <c r="J64" s="19">
        <f t="shared" si="9"/>
        <v>1.1594170962050589E-3</v>
      </c>
      <c r="K64" s="2"/>
      <c r="L64" s="2">
        <f t="shared" si="10"/>
        <v>-283.61</v>
      </c>
      <c r="M64" s="2"/>
      <c r="N64" s="19">
        <f t="shared" si="11"/>
        <v>-0.89244469618301392</v>
      </c>
      <c r="O64" s="11"/>
      <c r="P64" s="2">
        <v>135.84</v>
      </c>
      <c r="Q64" s="2"/>
      <c r="R64" s="19">
        <f t="shared" si="12"/>
        <v>1.5803003371028178E-4</v>
      </c>
      <c r="S64" s="2"/>
      <c r="T64" s="2">
        <v>470.64</v>
      </c>
      <c r="U64" s="2"/>
      <c r="V64" s="19">
        <f t="shared" si="13"/>
        <v>6.1802606487897462E-4</v>
      </c>
      <c r="W64" s="2"/>
      <c r="X64" s="2">
        <f t="shared" si="14"/>
        <v>-334.79999999999995</v>
      </c>
      <c r="Y64" s="2"/>
      <c r="Z64" s="19">
        <f t="shared" si="15"/>
        <v>-0.71137174910759804</v>
      </c>
    </row>
    <row r="65" spans="1:26" s="24" customFormat="1" hidden="1" outlineLevel="1" x14ac:dyDescent="0.25">
      <c r="A65" s="44"/>
      <c r="B65" s="11" t="str">
        <f>CONCATENATE("          ", "5545", " - ", "FREIGHT-IN-SPECIAL ORDERS")</f>
        <v xml:space="preserve">          5545 - FREIGHT-IN-SPECIAL ORDERS</v>
      </c>
      <c r="C65" s="11"/>
      <c r="D65" s="2">
        <v>26.56</v>
      </c>
      <c r="E65" s="2"/>
      <c r="F65" s="19">
        <f t="shared" si="8"/>
        <v>8.7130074441101206E-5</v>
      </c>
      <c r="G65" s="2"/>
      <c r="H65" s="2">
        <v>31.52</v>
      </c>
      <c r="I65" s="2"/>
      <c r="J65" s="19">
        <f t="shared" si="9"/>
        <v>1.1499678049146748E-4</v>
      </c>
      <c r="K65" s="2"/>
      <c r="L65" s="2">
        <f t="shared" si="10"/>
        <v>-4.9600000000000009</v>
      </c>
      <c r="M65" s="2"/>
      <c r="N65" s="19">
        <f t="shared" si="11"/>
        <v>-0.15736040609137059</v>
      </c>
      <c r="O65" s="11"/>
      <c r="P65" s="2">
        <v>262.51</v>
      </c>
      <c r="Q65" s="2"/>
      <c r="R65" s="19">
        <f t="shared" si="12"/>
        <v>3.0539210946176434E-4</v>
      </c>
      <c r="S65" s="2"/>
      <c r="T65" s="2">
        <v>1186.56</v>
      </c>
      <c r="U65" s="2"/>
      <c r="V65" s="19">
        <f t="shared" si="13"/>
        <v>1.558144245161474E-3</v>
      </c>
      <c r="W65" s="2"/>
      <c r="X65" s="2">
        <f t="shared" si="14"/>
        <v>-924.05</v>
      </c>
      <c r="Y65" s="2"/>
      <c r="Z65" s="19">
        <f t="shared" si="15"/>
        <v>-0.77876382146709822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6" t="s">
        <v>6</v>
      </c>
      <c r="C67" s="26"/>
      <c r="D67" s="21">
        <f>D12-D43</f>
        <v>167430.66000000015</v>
      </c>
      <c r="E67" s="13"/>
      <c r="F67" s="20">
        <f>IF(D$12=0,0,D67/D$12)</f>
        <v>0.54925624508745174</v>
      </c>
      <c r="G67" s="13"/>
      <c r="H67" s="21">
        <f>H12-H43</f>
        <v>145656.40000000002</v>
      </c>
      <c r="I67" s="13"/>
      <c r="J67" s="20">
        <f>IF(H$12=0,0,H67/H$12)</f>
        <v>0.53140917062111004</v>
      </c>
      <c r="K67" s="15"/>
      <c r="L67" s="21">
        <f>+D67-H67</f>
        <v>21774.260000000126</v>
      </c>
      <c r="M67" s="15"/>
      <c r="N67" s="20">
        <f>IF(H67=0,0,L67/H67)</f>
        <v>0.1494905819449068</v>
      </c>
      <c r="O67" s="25"/>
      <c r="P67" s="21">
        <f>P12-P43</f>
        <v>469565.83000000007</v>
      </c>
      <c r="Q67" s="13"/>
      <c r="R67" s="20">
        <f>IF(P$12=0,0,P67/P$12)</f>
        <v>0.54627137768033318</v>
      </c>
      <c r="S67" s="13"/>
      <c r="T67" s="21">
        <f>T12-T43</f>
        <v>406358.08000000031</v>
      </c>
      <c r="U67" s="13"/>
      <c r="V67" s="20">
        <f>IF(T$12=0,0,T67/T$12)</f>
        <v>0.53361355837620217</v>
      </c>
      <c r="W67" s="15"/>
      <c r="X67" s="21">
        <f>+P67-T67</f>
        <v>63207.749999999767</v>
      </c>
      <c r="Y67" s="15"/>
      <c r="Z67" s="20">
        <f>IF(T67=0,0,X67/T67)</f>
        <v>0.1555469255096385</v>
      </c>
    </row>
    <row r="68" spans="1:26" x14ac:dyDescent="0.25">
      <c r="A68" s="9"/>
      <c r="B68" s="10"/>
      <c r="C68" s="9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5" t="s">
        <v>9</v>
      </c>
      <c r="C69" s="10"/>
      <c r="D69" s="22">
        <f>SUM(OSRRefD22x_0)</f>
        <v>73781.83</v>
      </c>
      <c r="E69" s="22"/>
      <c r="F69" s="34">
        <f t="shared" ref="F69:F78" si="16">IF(D$12=0,0,D69/D$12)</f>
        <v>0.24204127787276636</v>
      </c>
      <c r="G69" s="22"/>
      <c r="H69" s="22">
        <f>SUM(OSRRefH22x_0)</f>
        <v>59055.570000000007</v>
      </c>
      <c r="I69" s="22"/>
      <c r="J69" s="34">
        <f t="shared" ref="J69:J78" si="17">IF(H$12=0,0,H69/H$12)</f>
        <v>0.2154568661195588</v>
      </c>
      <c r="K69" s="4"/>
      <c r="L69" s="22">
        <f t="shared" ref="L69:L78" si="18">+D69-H69</f>
        <v>14726.259999999995</v>
      </c>
      <c r="M69" s="4"/>
      <c r="N69" s="34">
        <f t="shared" ref="N69:N78" si="19">IF(H69=0,0,L69/H69)</f>
        <v>0.24936276120948445</v>
      </c>
      <c r="O69" s="10"/>
      <c r="P69" s="22">
        <f>SUM(OSRRefP22x_0)</f>
        <v>245620.31999999998</v>
      </c>
      <c r="Q69" s="22"/>
      <c r="R69" s="34">
        <f t="shared" ref="R69:R78" si="20">IF(P$12=0,0,P69/P$12)</f>
        <v>0.28574342939877939</v>
      </c>
      <c r="S69" s="22"/>
      <c r="T69" s="22">
        <f>SUM(OSRRefT22x_0)</f>
        <v>208411.56999999992</v>
      </c>
      <c r="U69" s="22"/>
      <c r="V69" s="34">
        <f t="shared" ref="V69:V78" si="21">IF(T$12=0,0,T69/T$12)</f>
        <v>0.27367793320233919</v>
      </c>
      <c r="W69" s="4"/>
      <c r="X69" s="22">
        <f t="shared" ref="X69:X78" si="22">+P69-T69</f>
        <v>37208.750000000058</v>
      </c>
      <c r="Y69" s="4"/>
      <c r="Z69" s="34">
        <f t="shared" ref="Z69:Z78" si="23">IF(T69=0,0,X69/T69)</f>
        <v>0.17853495369762856</v>
      </c>
    </row>
    <row r="70" spans="1:26" s="29" customFormat="1" outlineLevel="1" collapsed="1" x14ac:dyDescent="0.25">
      <c r="A70" s="27"/>
      <c r="B70" s="14" t="str">
        <f>CONCATENATE("     ","*Benefits                                         ")</f>
        <v xml:space="preserve">     *Benefits                                         </v>
      </c>
      <c r="C70" s="14"/>
      <c r="D70" s="1">
        <f>SUM(OSRRefD22_0x_0)</f>
        <v>7998.0699999999988</v>
      </c>
      <c r="E70" s="1"/>
      <c r="F70" s="5">
        <f t="shared" si="16"/>
        <v>2.623766696103683E-2</v>
      </c>
      <c r="G70" s="1"/>
      <c r="H70" s="1">
        <f>SUM(OSRRefH22_0x_0)</f>
        <v>6545.3500000000013</v>
      </c>
      <c r="I70" s="1"/>
      <c r="J70" s="5">
        <f t="shared" si="17"/>
        <v>2.3879891408306691E-2</v>
      </c>
      <c r="K70" s="1"/>
      <c r="L70" s="1">
        <f t="shared" si="18"/>
        <v>1452.7199999999975</v>
      </c>
      <c r="M70" s="1"/>
      <c r="N70" s="5">
        <f t="shared" si="19"/>
        <v>0.22194687831819493</v>
      </c>
      <c r="O70" s="14"/>
      <c r="P70" s="1">
        <f>SUM(OSRRefP22_0x_0)</f>
        <v>27255.350000000002</v>
      </c>
      <c r="Q70" s="1"/>
      <c r="R70" s="5">
        <f t="shared" si="20"/>
        <v>3.1707625730900538E-2</v>
      </c>
      <c r="S70" s="1"/>
      <c r="T70" s="1">
        <f>SUM(OSRRefT22_0x_0)</f>
        <v>23805.42</v>
      </c>
      <c r="U70" s="1"/>
      <c r="V70" s="5">
        <f t="shared" si="21"/>
        <v>3.1260347708208486E-2</v>
      </c>
      <c r="W70" s="1"/>
      <c r="X70" s="1">
        <f t="shared" si="22"/>
        <v>3449.9300000000039</v>
      </c>
      <c r="Y70" s="1"/>
      <c r="Z70" s="5">
        <f t="shared" si="23"/>
        <v>0.14492203876260129</v>
      </c>
    </row>
    <row r="71" spans="1:26" s="24" customFormat="1" hidden="1" outlineLevel="2" x14ac:dyDescent="0.25">
      <c r="A71" s="28"/>
      <c r="B71" s="11" t="str">
        <f>CONCATENATE("          ", "6111", " - ", "F.I.C.A.")</f>
        <v xml:space="preserve">          6111 - F.I.C.A.</v>
      </c>
      <c r="C71" s="11"/>
      <c r="D71" s="6">
        <v>1223.55</v>
      </c>
      <c r="E71" s="2"/>
      <c r="F71" s="7">
        <f t="shared" si="16"/>
        <v>4.0138555189160154E-3</v>
      </c>
      <c r="G71" s="2"/>
      <c r="H71" s="6">
        <v>1339.72</v>
      </c>
      <c r="I71" s="2"/>
      <c r="J71" s="7">
        <f t="shared" si="17"/>
        <v>4.8878009758892395E-3</v>
      </c>
      <c r="K71" s="2"/>
      <c r="L71" s="6">
        <f t="shared" si="18"/>
        <v>-116.17000000000007</v>
      </c>
      <c r="M71" s="2"/>
      <c r="N71" s="7">
        <f t="shared" si="19"/>
        <v>-8.6712148807213493E-2</v>
      </c>
      <c r="O71" s="11"/>
      <c r="P71" s="6">
        <v>6268.93</v>
      </c>
      <c r="Q71" s="2"/>
      <c r="R71" s="7">
        <f t="shared" si="20"/>
        <v>7.2929860072688223E-3</v>
      </c>
      <c r="S71" s="2"/>
      <c r="T71" s="6">
        <v>5663.25</v>
      </c>
      <c r="U71" s="2"/>
      <c r="V71" s="7">
        <f t="shared" si="21"/>
        <v>7.4367586943860555E-3</v>
      </c>
      <c r="W71" s="2"/>
      <c r="X71" s="6">
        <f t="shared" si="22"/>
        <v>605.68000000000029</v>
      </c>
      <c r="Y71" s="2"/>
      <c r="Z71" s="7">
        <f t="shared" si="23"/>
        <v>0.10694918995276569</v>
      </c>
    </row>
    <row r="72" spans="1:26" s="24" customFormat="1" hidden="1" outlineLevel="2" x14ac:dyDescent="0.25">
      <c r="A72" s="28"/>
      <c r="B72" s="11" t="str">
        <f>CONCATENATE("          ", "6112", " - ", "COMPENSATION INSURANCE")</f>
        <v xml:space="preserve">          6112 - COMPENSATION INSURANCE</v>
      </c>
      <c r="C72" s="11"/>
      <c r="D72" s="6">
        <v>672.19</v>
      </c>
      <c r="E72" s="2"/>
      <c r="F72" s="7">
        <f t="shared" si="16"/>
        <v>2.2051191543133969E-3</v>
      </c>
      <c r="G72" s="2"/>
      <c r="H72" s="6"/>
      <c r="I72" s="2"/>
      <c r="J72" s="7">
        <f t="shared" si="17"/>
        <v>0</v>
      </c>
      <c r="K72" s="2"/>
      <c r="L72" s="6">
        <f t="shared" si="18"/>
        <v>672.19</v>
      </c>
      <c r="M72" s="2"/>
      <c r="N72" s="7">
        <f t="shared" si="19"/>
        <v>0</v>
      </c>
      <c r="O72" s="11"/>
      <c r="P72" s="6">
        <v>1947.66</v>
      </c>
      <c r="Q72" s="2"/>
      <c r="R72" s="7">
        <f t="shared" si="20"/>
        <v>2.2658184294476399E-3</v>
      </c>
      <c r="S72" s="2"/>
      <c r="T72" s="6">
        <v>840.29</v>
      </c>
      <c r="U72" s="2"/>
      <c r="V72" s="7">
        <f t="shared" si="21"/>
        <v>1.1034360064107462E-3</v>
      </c>
      <c r="W72" s="2"/>
      <c r="X72" s="6">
        <f t="shared" si="22"/>
        <v>1107.3700000000001</v>
      </c>
      <c r="Y72" s="2"/>
      <c r="Z72" s="7">
        <f t="shared" si="23"/>
        <v>1.317842649561461</v>
      </c>
    </row>
    <row r="73" spans="1:26" s="24" customFormat="1" hidden="1" outlineLevel="2" x14ac:dyDescent="0.25">
      <c r="A73" s="28"/>
      <c r="B73" s="11" t="str">
        <f>CONCATENATE("          ", "6113", " - ", "GROUP INSURANCE")</f>
        <v xml:space="preserve">          6113 - GROUP INSURANCE</v>
      </c>
      <c r="C73" s="11"/>
      <c r="D73" s="6">
        <v>3252.74</v>
      </c>
      <c r="E73" s="2"/>
      <c r="F73" s="7">
        <f t="shared" si="16"/>
        <v>1.0670612889214892E-2</v>
      </c>
      <c r="G73" s="2"/>
      <c r="H73" s="6">
        <v>2841.46</v>
      </c>
      <c r="I73" s="2"/>
      <c r="J73" s="7">
        <f t="shared" si="17"/>
        <v>1.0366711671804734E-2</v>
      </c>
      <c r="K73" s="2"/>
      <c r="L73" s="6">
        <f t="shared" si="18"/>
        <v>411.27999999999975</v>
      </c>
      <c r="M73" s="2"/>
      <c r="N73" s="7">
        <f t="shared" si="19"/>
        <v>0.14474249153604124</v>
      </c>
      <c r="O73" s="11"/>
      <c r="P73" s="6">
        <v>9290.57</v>
      </c>
      <c r="Q73" s="2"/>
      <c r="R73" s="7">
        <f t="shared" si="20"/>
        <v>1.0808223573967407E-2</v>
      </c>
      <c r="S73" s="2"/>
      <c r="T73" s="6">
        <v>6748.13</v>
      </c>
      <c r="U73" s="2"/>
      <c r="V73" s="7">
        <f t="shared" si="21"/>
        <v>8.8613807351516135E-3</v>
      </c>
      <c r="W73" s="2"/>
      <c r="X73" s="6">
        <f t="shared" si="22"/>
        <v>2542.4399999999996</v>
      </c>
      <c r="Y73" s="2"/>
      <c r="Z73" s="7">
        <f t="shared" si="23"/>
        <v>0.37676215484882469</v>
      </c>
    </row>
    <row r="74" spans="1:26" s="24" customFormat="1" hidden="1" outlineLevel="2" x14ac:dyDescent="0.25">
      <c r="A74" s="28"/>
      <c r="B74" s="11" t="str">
        <f>CONCATENATE("          ", "6114", " - ", "STATE UNEMPLOYMENT INSURANCE")</f>
        <v xml:space="preserve">          6114 - STATE UNEMPLOYMENT INSURANCE</v>
      </c>
      <c r="C74" s="11"/>
      <c r="D74" s="6">
        <v>91.98</v>
      </c>
      <c r="E74" s="2"/>
      <c r="F74" s="7">
        <f t="shared" si="16"/>
        <v>3.0174037074896418E-4</v>
      </c>
      <c r="G74" s="2"/>
      <c r="H74" s="6">
        <v>75.099999999999994</v>
      </c>
      <c r="I74" s="2"/>
      <c r="J74" s="7">
        <f t="shared" si="17"/>
        <v>2.7399296367097741E-4</v>
      </c>
      <c r="K74" s="2"/>
      <c r="L74" s="6">
        <f t="shared" si="18"/>
        <v>16.88000000000001</v>
      </c>
      <c r="M74" s="2"/>
      <c r="N74" s="7">
        <f t="shared" si="19"/>
        <v>0.22476697736351545</v>
      </c>
      <c r="O74" s="11"/>
      <c r="P74" s="6">
        <v>257.77999999999997</v>
      </c>
      <c r="Q74" s="2"/>
      <c r="R74" s="7">
        <f t="shared" si="20"/>
        <v>2.9988944412423756E-4</v>
      </c>
      <c r="S74" s="2"/>
      <c r="T74" s="6">
        <v>258.69</v>
      </c>
      <c r="U74" s="2"/>
      <c r="V74" s="7">
        <f t="shared" si="21"/>
        <v>3.3970160361112943E-4</v>
      </c>
      <c r="W74" s="2"/>
      <c r="X74" s="6">
        <f t="shared" si="22"/>
        <v>-0.91000000000002501</v>
      </c>
      <c r="Y74" s="2"/>
      <c r="Z74" s="7">
        <f t="shared" si="23"/>
        <v>-3.5177239166570991E-3</v>
      </c>
    </row>
    <row r="75" spans="1:26" s="24" customFormat="1" hidden="1" outlineLevel="2" x14ac:dyDescent="0.25">
      <c r="A75" s="28"/>
      <c r="B75" s="11" t="str">
        <f>CONCATENATE("          ", "6115", " - ", "P.E.R.S.")</f>
        <v xml:space="preserve">          6115 - P.E.R.S.</v>
      </c>
      <c r="C75" s="11"/>
      <c r="D75" s="6">
        <v>1069.76</v>
      </c>
      <c r="E75" s="2"/>
      <c r="F75" s="7">
        <f t="shared" si="16"/>
        <v>3.5093474561036305E-3</v>
      </c>
      <c r="G75" s="2"/>
      <c r="H75" s="6">
        <v>822.3</v>
      </c>
      <c r="I75" s="2"/>
      <c r="J75" s="7">
        <f t="shared" si="17"/>
        <v>3.0000587753215009E-3</v>
      </c>
      <c r="K75" s="2"/>
      <c r="L75" s="6">
        <f t="shared" si="18"/>
        <v>247.46000000000004</v>
      </c>
      <c r="M75" s="2"/>
      <c r="N75" s="7">
        <f t="shared" si="19"/>
        <v>0.30093639790830601</v>
      </c>
      <c r="O75" s="11"/>
      <c r="P75" s="6">
        <v>2797.81</v>
      </c>
      <c r="Q75" s="2"/>
      <c r="R75" s="7">
        <f t="shared" si="20"/>
        <v>3.2548439974599782E-3</v>
      </c>
      <c r="S75" s="2"/>
      <c r="T75" s="6">
        <v>2866.09</v>
      </c>
      <c r="U75" s="2"/>
      <c r="V75" s="7">
        <f t="shared" si="21"/>
        <v>3.7636374389957944E-3</v>
      </c>
      <c r="W75" s="2"/>
      <c r="X75" s="6">
        <f t="shared" si="22"/>
        <v>-68.2800000000002</v>
      </c>
      <c r="Y75" s="2"/>
      <c r="Z75" s="7">
        <f t="shared" si="23"/>
        <v>-2.3823397032193754E-2</v>
      </c>
    </row>
    <row r="76" spans="1:26" s="24" customFormat="1" hidden="1" outlineLevel="2" x14ac:dyDescent="0.25">
      <c r="A76" s="28"/>
      <c r="B76" s="11" t="str">
        <f>CONCATENATE("          ", "6118", " - ", "VACATION")</f>
        <v xml:space="preserve">          6118 - VACATION</v>
      </c>
      <c r="C76" s="11"/>
      <c r="D76" s="6">
        <v>846</v>
      </c>
      <c r="E76" s="2"/>
      <c r="F76" s="7">
        <f t="shared" si="16"/>
        <v>2.7753028229356787E-3</v>
      </c>
      <c r="G76" s="2"/>
      <c r="H76" s="6">
        <v>731.66</v>
      </c>
      <c r="I76" s="2"/>
      <c r="J76" s="7">
        <f t="shared" si="17"/>
        <v>2.6693700639082202E-3</v>
      </c>
      <c r="K76" s="2"/>
      <c r="L76" s="6">
        <f t="shared" si="18"/>
        <v>114.34000000000003</v>
      </c>
      <c r="M76" s="2"/>
      <c r="N76" s="7">
        <f t="shared" si="19"/>
        <v>0.1562747724352842</v>
      </c>
      <c r="O76" s="11"/>
      <c r="P76" s="6">
        <v>2752.76</v>
      </c>
      <c r="Q76" s="2"/>
      <c r="R76" s="7">
        <f t="shared" si="20"/>
        <v>3.2024348910211667E-3</v>
      </c>
      <c r="S76" s="2"/>
      <c r="T76" s="6">
        <v>3423.83</v>
      </c>
      <c r="U76" s="2"/>
      <c r="V76" s="7">
        <f t="shared" si="21"/>
        <v>4.4960398217630884E-3</v>
      </c>
      <c r="W76" s="2"/>
      <c r="X76" s="6">
        <f t="shared" si="22"/>
        <v>-671.06999999999971</v>
      </c>
      <c r="Y76" s="2"/>
      <c r="Z76" s="7">
        <f t="shared" si="23"/>
        <v>-0.19599980139200829</v>
      </c>
    </row>
    <row r="77" spans="1:26" s="24" customFormat="1" hidden="1" outlineLevel="2" x14ac:dyDescent="0.25">
      <c r="A77" s="28"/>
      <c r="B77" s="11" t="str">
        <f>CONCATENATE("          ", "6119", " - ", "SICK LEAVE")</f>
        <v xml:space="preserve">          6119 - SICK LEAVE</v>
      </c>
      <c r="C77" s="11"/>
      <c r="D77" s="6">
        <v>576.4</v>
      </c>
      <c r="E77" s="2"/>
      <c r="F77" s="7">
        <f t="shared" si="16"/>
        <v>1.8908800793618499E-3</v>
      </c>
      <c r="G77" s="2"/>
      <c r="H77" s="6">
        <v>452.14</v>
      </c>
      <c r="I77" s="2"/>
      <c r="J77" s="7">
        <f t="shared" si="17"/>
        <v>1.6495762795498766E-3</v>
      </c>
      <c r="K77" s="2"/>
      <c r="L77" s="6">
        <f t="shared" si="18"/>
        <v>124.25999999999999</v>
      </c>
      <c r="M77" s="2"/>
      <c r="N77" s="7">
        <f t="shared" si="19"/>
        <v>0.27482638120935993</v>
      </c>
      <c r="O77" s="11"/>
      <c r="P77" s="6">
        <v>3230.47</v>
      </c>
      <c r="Q77" s="2"/>
      <c r="R77" s="7">
        <f t="shared" si="20"/>
        <v>3.7581808230274876E-3</v>
      </c>
      <c r="S77" s="2"/>
      <c r="T77" s="6">
        <v>3127.94</v>
      </c>
      <c r="U77" s="2"/>
      <c r="V77" s="7">
        <f t="shared" si="21"/>
        <v>4.1074886311778429E-3</v>
      </c>
      <c r="W77" s="2"/>
      <c r="X77" s="6">
        <f t="shared" si="22"/>
        <v>102.52999999999975</v>
      </c>
      <c r="Y77" s="2"/>
      <c r="Z77" s="7">
        <f t="shared" si="23"/>
        <v>3.2778761740954031E-2</v>
      </c>
    </row>
    <row r="78" spans="1:26" s="24" customFormat="1" hidden="1" outlineLevel="2" x14ac:dyDescent="0.25">
      <c r="A78" s="28"/>
      <c r="B78" s="11" t="str">
        <f>CONCATENATE("          ", "6156", " - ", "EMPLOYEE MEALS")</f>
        <v xml:space="preserve">          6156 - EMPLOYEE MEALS</v>
      </c>
      <c r="C78" s="11"/>
      <c r="D78" s="6">
        <v>265.45</v>
      </c>
      <c r="E78" s="2"/>
      <c r="F78" s="7">
        <f t="shared" si="16"/>
        <v>8.7080866944240639E-4</v>
      </c>
      <c r="G78" s="2"/>
      <c r="H78" s="6">
        <v>282.97000000000003</v>
      </c>
      <c r="I78" s="2"/>
      <c r="J78" s="7">
        <f t="shared" si="17"/>
        <v>1.032380678162137E-3</v>
      </c>
      <c r="K78" s="2"/>
      <c r="L78" s="6">
        <f t="shared" si="18"/>
        <v>-17.520000000000039</v>
      </c>
      <c r="M78" s="2"/>
      <c r="N78" s="7">
        <f t="shared" si="19"/>
        <v>-6.1914690603244289E-2</v>
      </c>
      <c r="O78" s="11"/>
      <c r="P78" s="6">
        <v>709.37</v>
      </c>
      <c r="Q78" s="2"/>
      <c r="R78" s="7">
        <f t="shared" si="20"/>
        <v>8.252485645837941E-4</v>
      </c>
      <c r="S78" s="2"/>
      <c r="T78" s="6">
        <v>877.2</v>
      </c>
      <c r="U78" s="2"/>
      <c r="V78" s="7">
        <f t="shared" si="21"/>
        <v>1.1519047767122145E-3</v>
      </c>
      <c r="W78" s="2"/>
      <c r="X78" s="6">
        <f t="shared" si="22"/>
        <v>-167.83000000000004</v>
      </c>
      <c r="Y78" s="2"/>
      <c r="Z78" s="7">
        <f t="shared" si="23"/>
        <v>-0.19132466940264481</v>
      </c>
    </row>
    <row r="79" spans="1:26" s="29" customFormat="1" outlineLevel="1" collapsed="1" x14ac:dyDescent="0.25">
      <c r="A79" s="27"/>
      <c r="B79" s="14" t="str">
        <f>CONCATENATE("     ","*Payroll                                          ")</f>
        <v xml:space="preserve">     *Payroll                                          </v>
      </c>
      <c r="C79" s="14"/>
      <c r="D79" s="1">
        <f>SUM(OSRRefD22_1x_0)</f>
        <v>36612.83</v>
      </c>
      <c r="E79" s="1"/>
      <c r="F79" s="5">
        <f t="shared" ref="F79:F84" si="24">IF(D$12=0,0,D79/D$12)</f>
        <v>0.12010838115208523</v>
      </c>
      <c r="G79" s="1"/>
      <c r="H79" s="1">
        <f>SUM(OSRRefH22_1x_0)</f>
        <v>28096.39</v>
      </c>
      <c r="I79" s="1"/>
      <c r="J79" s="5">
        <f t="shared" ref="J79:J84" si="25">IF(H$12=0,0,H79/H$12)</f>
        <v>0.10250616730433573</v>
      </c>
      <c r="K79" s="1"/>
      <c r="L79" s="1">
        <f t="shared" ref="L79:L84" si="26">+D79-H79</f>
        <v>8516.4400000000023</v>
      </c>
      <c r="M79" s="1"/>
      <c r="N79" s="5">
        <f t="shared" ref="N79:N84" si="27">IF(H79=0,0,L79/H79)</f>
        <v>0.303115097704723</v>
      </c>
      <c r="O79" s="14"/>
      <c r="P79" s="1">
        <f>SUM(OSRRefP22_1x_0)</f>
        <v>107098.76999999999</v>
      </c>
      <c r="Q79" s="1"/>
      <c r="R79" s="5">
        <f t="shared" ref="R79:R84" si="28">IF(P$12=0,0,P79/P$12)</f>
        <v>0.12459380324962981</v>
      </c>
      <c r="S79" s="1"/>
      <c r="T79" s="1">
        <f>SUM(OSRRefT22_1x_0)</f>
        <v>89049.47</v>
      </c>
      <c r="U79" s="1"/>
      <c r="V79" s="5">
        <f t="shared" ref="V79:V84" si="29">IF(T$12=0,0,T79/T$12)</f>
        <v>0.11693628574634181</v>
      </c>
      <c r="W79" s="1"/>
      <c r="X79" s="1">
        <f t="shared" ref="X79:X84" si="30">+P79-T79</f>
        <v>18049.299999999988</v>
      </c>
      <c r="Y79" s="1"/>
      <c r="Z79" s="5">
        <f t="shared" ref="Z79:Z84" si="31">IF(T79=0,0,X79/T79)</f>
        <v>0.20268846069493718</v>
      </c>
    </row>
    <row r="80" spans="1:26" s="24" customFormat="1" hidden="1" outlineLevel="2" x14ac:dyDescent="0.25">
      <c r="A80" s="28"/>
      <c r="B80" s="11" t="str">
        <f>CONCATENATE("          ", "6002", " - ", "STAFF SALARIES")</f>
        <v xml:space="preserve">          6002 - STAFF SALARIES</v>
      </c>
      <c r="C80" s="11"/>
      <c r="D80" s="6">
        <v>13125.56</v>
      </c>
      <c r="E80" s="2"/>
      <c r="F80" s="7">
        <f t="shared" si="24"/>
        <v>4.3058396832874261E-2</v>
      </c>
      <c r="G80" s="2"/>
      <c r="H80" s="6">
        <v>9412.94</v>
      </c>
      <c r="I80" s="2"/>
      <c r="J80" s="7">
        <f t="shared" si="25"/>
        <v>3.4341935119268849E-2</v>
      </c>
      <c r="K80" s="2"/>
      <c r="L80" s="6">
        <f t="shared" si="26"/>
        <v>3712.619999999999</v>
      </c>
      <c r="M80" s="2"/>
      <c r="N80" s="7">
        <f t="shared" si="27"/>
        <v>0.39441662222429963</v>
      </c>
      <c r="O80" s="11"/>
      <c r="P80" s="6">
        <v>30581.53</v>
      </c>
      <c r="Q80" s="2"/>
      <c r="R80" s="7">
        <f t="shared" si="28"/>
        <v>3.5577151183833873E-2</v>
      </c>
      <c r="S80" s="2"/>
      <c r="T80" s="6">
        <v>28420.289999999997</v>
      </c>
      <c r="U80" s="2"/>
      <c r="V80" s="7">
        <f t="shared" si="29"/>
        <v>3.7320414736144981E-2</v>
      </c>
      <c r="W80" s="2"/>
      <c r="X80" s="6">
        <f t="shared" si="30"/>
        <v>2161.2400000000016</v>
      </c>
      <c r="Y80" s="2"/>
      <c r="Z80" s="7">
        <f t="shared" si="31"/>
        <v>7.6045670188446421E-2</v>
      </c>
    </row>
    <row r="81" spans="1:26" s="24" customFormat="1" hidden="1" outlineLevel="2" x14ac:dyDescent="0.25">
      <c r="A81" s="28"/>
      <c r="B81" s="11" t="str">
        <f>CONCATENATE("          ", "6005", " - ", "TEMPORARY WAGES-HOURLY")</f>
        <v xml:space="preserve">          6005 - TEMPORARY WAGES-HOURLY</v>
      </c>
      <c r="C81" s="11"/>
      <c r="D81" s="6">
        <v>2687.6</v>
      </c>
      <c r="E81" s="2"/>
      <c r="F81" s="7">
        <f t="shared" si="24"/>
        <v>8.8166712374963697E-3</v>
      </c>
      <c r="G81" s="2"/>
      <c r="H81" s="6">
        <v>6208.94</v>
      </c>
      <c r="I81" s="2"/>
      <c r="J81" s="7">
        <f t="shared" si="25"/>
        <v>2.2652541569311298E-2</v>
      </c>
      <c r="K81" s="2"/>
      <c r="L81" s="6">
        <f t="shared" si="26"/>
        <v>-3521.3399999999997</v>
      </c>
      <c r="M81" s="2"/>
      <c r="N81" s="7">
        <f t="shared" si="27"/>
        <v>-0.56714028481512135</v>
      </c>
      <c r="O81" s="11"/>
      <c r="P81" s="6">
        <v>10684.54</v>
      </c>
      <c r="Q81" s="2"/>
      <c r="R81" s="7">
        <f t="shared" si="28"/>
        <v>1.2429904419750105E-2</v>
      </c>
      <c r="S81" s="2"/>
      <c r="T81" s="6">
        <v>15170.72</v>
      </c>
      <c r="U81" s="2"/>
      <c r="V81" s="7">
        <f t="shared" si="29"/>
        <v>1.9921596938170912E-2</v>
      </c>
      <c r="W81" s="2"/>
      <c r="X81" s="6">
        <f t="shared" si="30"/>
        <v>-4486.1799999999985</v>
      </c>
      <c r="Y81" s="2"/>
      <c r="Z81" s="7">
        <f t="shared" si="31"/>
        <v>-0.29571305778499629</v>
      </c>
    </row>
    <row r="82" spans="1:26" s="24" customFormat="1" hidden="1" outlineLevel="2" x14ac:dyDescent="0.25">
      <c r="A82" s="28"/>
      <c r="B82" s="11" t="str">
        <f>CONCATENATE("          ", "6006", " - ", "TEMPORARY PART TIME")</f>
        <v xml:space="preserve">          6006 - TEMPORARY PART TIME</v>
      </c>
      <c r="C82" s="11"/>
      <c r="D82" s="6"/>
      <c r="E82" s="2"/>
      <c r="F82" s="7">
        <f t="shared" si="24"/>
        <v>0</v>
      </c>
      <c r="G82" s="2"/>
      <c r="H82" s="6">
        <v>1395</v>
      </c>
      <c r="I82" s="2"/>
      <c r="J82" s="7">
        <f t="shared" si="25"/>
        <v>5.0894831467511786E-3</v>
      </c>
      <c r="K82" s="2"/>
      <c r="L82" s="6">
        <f t="shared" si="26"/>
        <v>-1395</v>
      </c>
      <c r="M82" s="2"/>
      <c r="N82" s="7">
        <f t="shared" si="27"/>
        <v>-1</v>
      </c>
      <c r="O82" s="11"/>
      <c r="P82" s="6"/>
      <c r="Q82" s="2"/>
      <c r="R82" s="7">
        <f t="shared" si="28"/>
        <v>0</v>
      </c>
      <c r="S82" s="2"/>
      <c r="T82" s="6">
        <v>6635.84</v>
      </c>
      <c r="U82" s="2"/>
      <c r="V82" s="7">
        <f t="shared" si="29"/>
        <v>8.7139258931805529E-3</v>
      </c>
      <c r="W82" s="2"/>
      <c r="X82" s="6">
        <f t="shared" si="30"/>
        <v>-6635.84</v>
      </c>
      <c r="Y82" s="2"/>
      <c r="Z82" s="7">
        <f t="shared" si="31"/>
        <v>-1</v>
      </c>
    </row>
    <row r="83" spans="1:26" s="24" customFormat="1" hidden="1" outlineLevel="2" x14ac:dyDescent="0.25">
      <c r="A83" s="28"/>
      <c r="B83" s="11" t="str">
        <f>CONCATENATE("          ", "6007", " - ", "STUDENT HOURLY")</f>
        <v xml:space="preserve">          6007 - STUDENT HOURLY</v>
      </c>
      <c r="C83" s="11"/>
      <c r="D83" s="6">
        <v>20799.670000000002</v>
      </c>
      <c r="E83" s="2"/>
      <c r="F83" s="7">
        <f t="shared" si="24"/>
        <v>6.8233313081714597E-2</v>
      </c>
      <c r="G83" s="2"/>
      <c r="H83" s="6">
        <v>11079.51</v>
      </c>
      <c r="I83" s="2"/>
      <c r="J83" s="7">
        <f t="shared" si="25"/>
        <v>4.0422207469004406E-2</v>
      </c>
      <c r="K83" s="2"/>
      <c r="L83" s="6">
        <f t="shared" si="26"/>
        <v>9720.1600000000017</v>
      </c>
      <c r="M83" s="2"/>
      <c r="N83" s="7">
        <f t="shared" si="27"/>
        <v>0.87730955610852845</v>
      </c>
      <c r="O83" s="11"/>
      <c r="P83" s="6">
        <v>65637.7</v>
      </c>
      <c r="Q83" s="2"/>
      <c r="R83" s="7">
        <f t="shared" si="28"/>
        <v>7.6359893578219679E-2</v>
      </c>
      <c r="S83" s="2"/>
      <c r="T83" s="6">
        <v>38822.620000000003</v>
      </c>
      <c r="U83" s="2"/>
      <c r="V83" s="7">
        <f t="shared" si="29"/>
        <v>5.0980348178845364E-2</v>
      </c>
      <c r="W83" s="2"/>
      <c r="X83" s="6">
        <f t="shared" si="30"/>
        <v>26815.079999999994</v>
      </c>
      <c r="Y83" s="2"/>
      <c r="Z83" s="7">
        <f t="shared" si="31"/>
        <v>0.69070763384851386</v>
      </c>
    </row>
    <row r="84" spans="1:26" s="24" customFormat="1" hidden="1" outlineLevel="2" x14ac:dyDescent="0.25">
      <c r="A84" s="28"/>
      <c r="B84" s="11" t="str">
        <f>CONCATENATE("          ", "6008", " - ", "STUDENT HOURLY-FICA EXEMPT")</f>
        <v xml:space="preserve">          6008 - STUDENT HOURLY-FICA EXEMPT</v>
      </c>
      <c r="C84" s="11"/>
      <c r="D84" s="6"/>
      <c r="E84" s="2"/>
      <c r="F84" s="7">
        <f t="shared" si="24"/>
        <v>0</v>
      </c>
      <c r="G84" s="2"/>
      <c r="H84" s="6"/>
      <c r="I84" s="2"/>
      <c r="J84" s="7">
        <f t="shared" si="25"/>
        <v>0</v>
      </c>
      <c r="K84" s="2"/>
      <c r="L84" s="6">
        <f t="shared" si="26"/>
        <v>0</v>
      </c>
      <c r="M84" s="2"/>
      <c r="N84" s="7">
        <f t="shared" si="27"/>
        <v>0</v>
      </c>
      <c r="O84" s="11"/>
      <c r="P84" s="6">
        <v>195</v>
      </c>
      <c r="Q84" s="2"/>
      <c r="R84" s="7">
        <f t="shared" si="28"/>
        <v>2.2685406782615538E-4</v>
      </c>
      <c r="S84" s="2"/>
      <c r="T84" s="6"/>
      <c r="U84" s="2"/>
      <c r="V84" s="7">
        <f t="shared" si="29"/>
        <v>0</v>
      </c>
      <c r="W84" s="2"/>
      <c r="X84" s="6">
        <f t="shared" si="30"/>
        <v>195</v>
      </c>
      <c r="Y84" s="2"/>
      <c r="Z84" s="7">
        <f t="shared" si="31"/>
        <v>0</v>
      </c>
    </row>
    <row r="85" spans="1:26" s="29" customFormat="1" outlineLevel="1" collapsed="1" x14ac:dyDescent="0.25">
      <c r="A85" s="27"/>
      <c r="B85" s="14" t="str">
        <f>CONCATENATE("     ","Advertising/Promo                                 ")</f>
        <v xml:space="preserve">     Advertising/Promo                                 </v>
      </c>
      <c r="C85" s="14"/>
      <c r="D85" s="1">
        <f>SUM(OSRRefD22_2x_0)</f>
        <v>448.84</v>
      </c>
      <c r="E85" s="1"/>
      <c r="F85" s="5">
        <f t="shared" ref="F85:F93" si="32">IF(D$12=0,0,D85/D$12)</f>
        <v>1.4724195260596333E-3</v>
      </c>
      <c r="G85" s="1"/>
      <c r="H85" s="1">
        <f>SUM(OSRRefH22_2x_0)</f>
        <v>809.54</v>
      </c>
      <c r="I85" s="1"/>
      <c r="J85" s="5">
        <f t="shared" ref="J85:J93" si="33">IF(H$12=0,0,H85/H$12)</f>
        <v>2.953505510122544E-3</v>
      </c>
      <c r="K85" s="1"/>
      <c r="L85" s="1">
        <f t="shared" ref="L85:L93" si="34">+D85-H85</f>
        <v>-360.7</v>
      </c>
      <c r="M85" s="1"/>
      <c r="N85" s="5">
        <f t="shared" ref="N85:N93" si="35">IF(H85=0,0,L85/H85)</f>
        <v>-0.44556167700175409</v>
      </c>
      <c r="O85" s="14"/>
      <c r="P85" s="1">
        <f>SUM(OSRRefP22_2x_0)</f>
        <v>3683.5</v>
      </c>
      <c r="Q85" s="1"/>
      <c r="R85" s="5">
        <f t="shared" ref="R85:R93" si="36">IF(P$12=0,0,P85/P$12)</f>
        <v>4.2852151735263758E-3</v>
      </c>
      <c r="S85" s="1"/>
      <c r="T85" s="1">
        <f>SUM(OSRRefT22_2x_0)</f>
        <v>2438.62</v>
      </c>
      <c r="U85" s="1"/>
      <c r="V85" s="5">
        <f t="shared" ref="V85:V93" si="37">IF(T$12=0,0,T85/T$12)</f>
        <v>3.2023005319037163E-3</v>
      </c>
      <c r="W85" s="1"/>
      <c r="X85" s="1">
        <f t="shared" ref="X85:X93" si="38">+P85-T85</f>
        <v>1244.8800000000001</v>
      </c>
      <c r="Y85" s="1"/>
      <c r="Z85" s="5">
        <f t="shared" ref="Z85:Z93" si="39">IF(T85=0,0,X85/T85)</f>
        <v>0.51048543848570105</v>
      </c>
    </row>
    <row r="86" spans="1:26" s="24" customFormat="1" hidden="1" outlineLevel="2" x14ac:dyDescent="0.25">
      <c r="A86" s="28"/>
      <c r="B86" s="11" t="str">
        <f>CONCATENATE("          ", "6362", " - ", "ADVERTISING EXPENSE")</f>
        <v xml:space="preserve">          6362 - ADVERTISING EXPENSE</v>
      </c>
      <c r="C86" s="11"/>
      <c r="D86" s="6">
        <v>448.84</v>
      </c>
      <c r="E86" s="2"/>
      <c r="F86" s="7">
        <f t="shared" si="32"/>
        <v>1.4724195260596333E-3</v>
      </c>
      <c r="G86" s="2"/>
      <c r="H86" s="6">
        <v>809.54</v>
      </c>
      <c r="I86" s="2"/>
      <c r="J86" s="7">
        <f t="shared" si="33"/>
        <v>2.953505510122544E-3</v>
      </c>
      <c r="K86" s="2"/>
      <c r="L86" s="6">
        <f t="shared" si="34"/>
        <v>-360.7</v>
      </c>
      <c r="M86" s="2"/>
      <c r="N86" s="7">
        <f t="shared" si="35"/>
        <v>-0.44556167700175409</v>
      </c>
      <c r="O86" s="11"/>
      <c r="P86" s="6">
        <v>3683.5</v>
      </c>
      <c r="Q86" s="2"/>
      <c r="R86" s="7">
        <f t="shared" si="36"/>
        <v>4.2852151735263758E-3</v>
      </c>
      <c r="S86" s="2"/>
      <c r="T86" s="6">
        <v>2438.62</v>
      </c>
      <c r="U86" s="2"/>
      <c r="V86" s="7">
        <f t="shared" si="37"/>
        <v>3.2023005319037163E-3</v>
      </c>
      <c r="W86" s="2"/>
      <c r="X86" s="6">
        <f t="shared" si="38"/>
        <v>1244.8800000000001</v>
      </c>
      <c r="Y86" s="2"/>
      <c r="Z86" s="7">
        <f t="shared" si="39"/>
        <v>0.51048543848570105</v>
      </c>
    </row>
    <row r="87" spans="1:26" s="29" customFormat="1" outlineLevel="1" collapsed="1" x14ac:dyDescent="0.25">
      <c r="A87" s="27"/>
      <c r="B87" s="14" t="str">
        <f>CONCATENATE("     ","Bad Debts/Over/Short                              ")</f>
        <v xml:space="preserve">     Bad Debts/Over/Short                              </v>
      </c>
      <c r="C87" s="14"/>
      <c r="D87" s="1">
        <f>SUM(OSRRefD22_3x_0)</f>
        <v>-0.2</v>
      </c>
      <c r="E87" s="1"/>
      <c r="F87" s="5">
        <f t="shared" si="32"/>
        <v>-6.5609995814082242E-7</v>
      </c>
      <c r="G87" s="1"/>
      <c r="H87" s="1">
        <f>SUM(OSRRefH22_3x_0)</f>
        <v>0.17</v>
      </c>
      <c r="I87" s="1"/>
      <c r="J87" s="5">
        <f t="shared" si="33"/>
        <v>6.2022375265068127E-7</v>
      </c>
      <c r="K87" s="1"/>
      <c r="L87" s="1">
        <f t="shared" si="34"/>
        <v>-0.37</v>
      </c>
      <c r="M87" s="1"/>
      <c r="N87" s="5">
        <f t="shared" si="35"/>
        <v>-2.1764705882352939</v>
      </c>
      <c r="O87" s="14"/>
      <c r="P87" s="1">
        <f>SUM(OSRRefP22_3x_0)</f>
        <v>29.71</v>
      </c>
      <c r="Q87" s="1"/>
      <c r="R87" s="5">
        <f t="shared" si="36"/>
        <v>3.456325310315424E-5</v>
      </c>
      <c r="S87" s="1"/>
      <c r="T87" s="1">
        <f>SUM(OSRRefT22_3x_0)</f>
        <v>100.47</v>
      </c>
      <c r="U87" s="1"/>
      <c r="V87" s="5">
        <f t="shared" si="37"/>
        <v>1.3193327965831757E-4</v>
      </c>
      <c r="W87" s="1"/>
      <c r="X87" s="1">
        <f t="shared" si="38"/>
        <v>-70.759999999999991</v>
      </c>
      <c r="Y87" s="1"/>
      <c r="Z87" s="5">
        <f t="shared" si="39"/>
        <v>-0.70428983776251608</v>
      </c>
    </row>
    <row r="88" spans="1:26" s="24" customFormat="1" hidden="1" outlineLevel="2" x14ac:dyDescent="0.25">
      <c r="A88" s="28"/>
      <c r="B88" s="11" t="str">
        <f>CONCATENATE("          ", "6272", " - ", "CASH (OVER/SHORT)")</f>
        <v xml:space="preserve">          6272 - CASH (OVER/SHORT)</v>
      </c>
      <c r="C88" s="11"/>
      <c r="D88" s="6">
        <v>-0.2</v>
      </c>
      <c r="E88" s="2"/>
      <c r="F88" s="7">
        <f t="shared" si="32"/>
        <v>-6.5609995814082242E-7</v>
      </c>
      <c r="G88" s="2"/>
      <c r="H88" s="6">
        <v>0.17</v>
      </c>
      <c r="I88" s="2"/>
      <c r="J88" s="7">
        <f t="shared" si="33"/>
        <v>6.2022375265068127E-7</v>
      </c>
      <c r="K88" s="2"/>
      <c r="L88" s="6">
        <f t="shared" si="34"/>
        <v>-0.37</v>
      </c>
      <c r="M88" s="2"/>
      <c r="N88" s="7">
        <f t="shared" si="35"/>
        <v>-2.1764705882352939</v>
      </c>
      <c r="O88" s="11"/>
      <c r="P88" s="6">
        <v>29.71</v>
      </c>
      <c r="Q88" s="2"/>
      <c r="R88" s="7">
        <f t="shared" si="36"/>
        <v>3.456325310315424E-5</v>
      </c>
      <c r="S88" s="2"/>
      <c r="T88" s="6">
        <v>100.47</v>
      </c>
      <c r="U88" s="2"/>
      <c r="V88" s="7">
        <f t="shared" si="37"/>
        <v>1.3193327965831757E-4</v>
      </c>
      <c r="W88" s="2"/>
      <c r="X88" s="6">
        <f t="shared" si="38"/>
        <v>-70.759999999999991</v>
      </c>
      <c r="Y88" s="2"/>
      <c r="Z88" s="7">
        <f t="shared" si="39"/>
        <v>-0.70428983776251608</v>
      </c>
    </row>
    <row r="89" spans="1:26" s="29" customFormat="1" outlineLevel="1" collapsed="1" x14ac:dyDescent="0.25">
      <c r="A89" s="27"/>
      <c r="B89" s="14" t="str">
        <f>CONCATENATE("     ","Bank/card Fees                                    ")</f>
        <v xml:space="preserve">     Bank/card Fees                                    </v>
      </c>
      <c r="C89" s="14"/>
      <c r="D89" s="1">
        <f>SUM(OSRRefD22_4x_0)</f>
        <v>541.12</v>
      </c>
      <c r="E89" s="1"/>
      <c r="F89" s="5">
        <f t="shared" si="32"/>
        <v>1.775144046745809E-3</v>
      </c>
      <c r="G89" s="1"/>
      <c r="H89" s="1">
        <f>SUM(OSRRefH22_4x_0)</f>
        <v>581.79</v>
      </c>
      <c r="I89" s="1"/>
      <c r="J89" s="5">
        <f t="shared" si="33"/>
        <v>2.1225881003214108E-3</v>
      </c>
      <c r="K89" s="1"/>
      <c r="L89" s="1">
        <f t="shared" si="34"/>
        <v>-40.669999999999959</v>
      </c>
      <c r="M89" s="1"/>
      <c r="N89" s="5">
        <f t="shared" si="35"/>
        <v>-6.9904948520943921E-2</v>
      </c>
      <c r="O89" s="14"/>
      <c r="P89" s="1">
        <f>SUM(OSRRefP22_4x_0)</f>
        <v>2022.78</v>
      </c>
      <c r="Q89" s="1"/>
      <c r="R89" s="5">
        <f t="shared" si="36"/>
        <v>2.3532095964994386E-3</v>
      </c>
      <c r="S89" s="1"/>
      <c r="T89" s="1">
        <f>SUM(OSRRefT22_4x_0)</f>
        <v>1896.87</v>
      </c>
      <c r="U89" s="1"/>
      <c r="V89" s="5">
        <f t="shared" si="37"/>
        <v>2.4908955925696512E-3</v>
      </c>
      <c r="W89" s="1"/>
      <c r="X89" s="1">
        <f t="shared" si="38"/>
        <v>125.91000000000008</v>
      </c>
      <c r="Y89" s="1"/>
      <c r="Z89" s="5">
        <f t="shared" si="39"/>
        <v>6.6377769694285896E-2</v>
      </c>
    </row>
    <row r="90" spans="1:26" s="24" customFormat="1" hidden="1" outlineLevel="2" x14ac:dyDescent="0.25">
      <c r="A90" s="28"/>
      <c r="B90" s="11" t="str">
        <f>CONCATENATE("          ", "6381", " - ", "BANK/CREDIT CARD FEES")</f>
        <v xml:space="preserve">          6381 - BANK/CREDIT CARD FEES</v>
      </c>
      <c r="C90" s="11"/>
      <c r="D90" s="6">
        <v>541.12</v>
      </c>
      <c r="E90" s="2"/>
      <c r="F90" s="7">
        <f t="shared" si="32"/>
        <v>1.775144046745809E-3</v>
      </c>
      <c r="G90" s="2"/>
      <c r="H90" s="6">
        <v>581.79</v>
      </c>
      <c r="I90" s="2"/>
      <c r="J90" s="7">
        <f t="shared" si="33"/>
        <v>2.1225881003214108E-3</v>
      </c>
      <c r="K90" s="2"/>
      <c r="L90" s="6">
        <f t="shared" si="34"/>
        <v>-40.669999999999959</v>
      </c>
      <c r="M90" s="2"/>
      <c r="N90" s="7">
        <f t="shared" si="35"/>
        <v>-6.9904948520943921E-2</v>
      </c>
      <c r="O90" s="11"/>
      <c r="P90" s="6">
        <v>2022.78</v>
      </c>
      <c r="Q90" s="2"/>
      <c r="R90" s="7">
        <f t="shared" si="36"/>
        <v>2.3532095964994386E-3</v>
      </c>
      <c r="S90" s="2"/>
      <c r="T90" s="6">
        <v>1896.87</v>
      </c>
      <c r="U90" s="2"/>
      <c r="V90" s="7">
        <f t="shared" si="37"/>
        <v>2.4908955925696512E-3</v>
      </c>
      <c r="W90" s="2"/>
      <c r="X90" s="6">
        <f t="shared" si="38"/>
        <v>125.91000000000008</v>
      </c>
      <c r="Y90" s="2"/>
      <c r="Z90" s="7">
        <f t="shared" si="39"/>
        <v>6.6377769694285896E-2</v>
      </c>
    </row>
    <row r="91" spans="1:26" s="29" customFormat="1" outlineLevel="1" collapsed="1" x14ac:dyDescent="0.25">
      <c r="A91" s="27"/>
      <c r="B91" s="14" t="str">
        <f>CONCATENATE("     ","Discounts and Markdowns                           ")</f>
        <v xml:space="preserve">     Discounts and Markdowns                           </v>
      </c>
      <c r="C91" s="14"/>
      <c r="D91" s="1">
        <f>SUM(OSRRefD22_5x_0)</f>
        <v>13447.119999999999</v>
      </c>
      <c r="E91" s="1"/>
      <c r="F91" s="5">
        <f t="shared" si="32"/>
        <v>4.4113274345573071E-2</v>
      </c>
      <c r="G91" s="1"/>
      <c r="H91" s="1">
        <f>SUM(OSRRefH22_5x_0)</f>
        <v>11405.63</v>
      </c>
      <c r="I91" s="1"/>
      <c r="J91" s="5">
        <f t="shared" si="33"/>
        <v>4.1612015529089351E-2</v>
      </c>
      <c r="K91" s="1"/>
      <c r="L91" s="1">
        <f t="shared" si="34"/>
        <v>2041.4899999999998</v>
      </c>
      <c r="M91" s="1"/>
      <c r="N91" s="5">
        <f t="shared" si="35"/>
        <v>0.17898967439764396</v>
      </c>
      <c r="O91" s="14"/>
      <c r="P91" s="1">
        <f>SUM(OSRRefP22_5x_0)</f>
        <v>60891.81</v>
      </c>
      <c r="Q91" s="1"/>
      <c r="R91" s="5">
        <f t="shared" si="36"/>
        <v>7.0838742542550598E-2</v>
      </c>
      <c r="S91" s="1"/>
      <c r="T91" s="1">
        <f>SUM(OSRRefT22_5x_0)</f>
        <v>49183.42</v>
      </c>
      <c r="U91" s="1"/>
      <c r="V91" s="5">
        <f t="shared" si="37"/>
        <v>6.4585746047700704E-2</v>
      </c>
      <c r="W91" s="1"/>
      <c r="X91" s="1">
        <f t="shared" si="38"/>
        <v>11708.39</v>
      </c>
      <c r="Y91" s="1"/>
      <c r="Z91" s="5">
        <f t="shared" si="39"/>
        <v>0.23805562931573282</v>
      </c>
    </row>
    <row r="92" spans="1:26" s="24" customFormat="1" hidden="1" outlineLevel="2" x14ac:dyDescent="0.25">
      <c r="A92" s="28"/>
      <c r="B92" s="11" t="str">
        <f>CONCATENATE("          ", "6382", " - ", "DISCOUNTS/MARK DOWNS")</f>
        <v xml:space="preserve">          6382 - DISCOUNTS/MARK DOWNS</v>
      </c>
      <c r="C92" s="11"/>
      <c r="D92" s="6">
        <v>13485.38</v>
      </c>
      <c r="E92" s="2"/>
      <c r="F92" s="7">
        <f t="shared" si="32"/>
        <v>4.4238786267565409E-2</v>
      </c>
      <c r="G92" s="2"/>
      <c r="H92" s="6">
        <v>11422.23</v>
      </c>
      <c r="I92" s="2"/>
      <c r="J92" s="7">
        <f t="shared" si="33"/>
        <v>4.167257855434818E-2</v>
      </c>
      <c r="K92" s="2"/>
      <c r="L92" s="6">
        <f t="shared" si="34"/>
        <v>2063.1499999999996</v>
      </c>
      <c r="M92" s="2"/>
      <c r="N92" s="7">
        <f t="shared" si="35"/>
        <v>0.18062584976839022</v>
      </c>
      <c r="O92" s="11"/>
      <c r="P92" s="6">
        <v>60930.07</v>
      </c>
      <c r="Q92" s="2"/>
      <c r="R92" s="7">
        <f t="shared" si="36"/>
        <v>7.0883252474012282E-2</v>
      </c>
      <c r="S92" s="2"/>
      <c r="T92" s="6">
        <v>49200.02</v>
      </c>
      <c r="U92" s="2"/>
      <c r="V92" s="7">
        <f t="shared" si="37"/>
        <v>6.4607544519307433E-2</v>
      </c>
      <c r="W92" s="2"/>
      <c r="X92" s="6">
        <f t="shared" si="38"/>
        <v>11730.050000000003</v>
      </c>
      <c r="Y92" s="2"/>
      <c r="Z92" s="7">
        <f t="shared" si="39"/>
        <v>0.23841555348961246</v>
      </c>
    </row>
    <row r="93" spans="1:26" s="24" customFormat="1" hidden="1" outlineLevel="2" x14ac:dyDescent="0.25">
      <c r="A93" s="28"/>
      <c r="B93" s="11" t="str">
        <f>CONCATENATE("          ", "9175", " - ", "EARNED DISCOUNTS")</f>
        <v xml:space="preserve">          9175 - EARNED DISCOUNTS</v>
      </c>
      <c r="C93" s="11"/>
      <c r="D93" s="6">
        <v>-38.26</v>
      </c>
      <c r="E93" s="2"/>
      <c r="F93" s="7">
        <f t="shared" si="32"/>
        <v>-1.255119219923393E-4</v>
      </c>
      <c r="G93" s="2"/>
      <c r="H93" s="6">
        <v>-16.600000000000001</v>
      </c>
      <c r="I93" s="2"/>
      <c r="J93" s="7">
        <f t="shared" si="33"/>
        <v>-6.056302525883123E-5</v>
      </c>
      <c r="K93" s="2"/>
      <c r="L93" s="6">
        <f t="shared" si="34"/>
        <v>-21.659999999999997</v>
      </c>
      <c r="M93" s="2"/>
      <c r="N93" s="7">
        <f t="shared" si="35"/>
        <v>1.3048192771084335</v>
      </c>
      <c r="O93" s="11"/>
      <c r="P93" s="6">
        <v>-38.26</v>
      </c>
      <c r="Q93" s="2"/>
      <c r="R93" s="7">
        <f t="shared" si="36"/>
        <v>-4.4509931461685666E-5</v>
      </c>
      <c r="S93" s="2"/>
      <c r="T93" s="6">
        <v>-16.600000000000001</v>
      </c>
      <c r="U93" s="2"/>
      <c r="V93" s="7">
        <f t="shared" si="37"/>
        <v>-2.1798471606729092E-5</v>
      </c>
      <c r="W93" s="2"/>
      <c r="X93" s="6">
        <f t="shared" si="38"/>
        <v>-21.659999999999997</v>
      </c>
      <c r="Y93" s="2"/>
      <c r="Z93" s="7">
        <f t="shared" si="39"/>
        <v>1.3048192771084335</v>
      </c>
    </row>
    <row r="94" spans="1:26" s="29" customFormat="1" outlineLevel="1" collapsed="1" x14ac:dyDescent="0.25">
      <c r="A94" s="27"/>
      <c r="B94" s="14" t="str">
        <f>CONCATENATE("     ","Donations                                         ")</f>
        <v xml:space="preserve">     Donations                                         </v>
      </c>
      <c r="C94" s="14"/>
      <c r="D94" s="1">
        <f>SUM(OSRRefD22_6x_0)</f>
        <v>0</v>
      </c>
      <c r="E94" s="1"/>
      <c r="F94" s="5">
        <f t="shared" ref="F94:F113" si="40">IF(D$12=0,0,D94/D$12)</f>
        <v>0</v>
      </c>
      <c r="G94" s="1"/>
      <c r="H94" s="1">
        <f>SUM(OSRRefH22_6x_0)</f>
        <v>0</v>
      </c>
      <c r="I94" s="1"/>
      <c r="J94" s="5">
        <f t="shared" ref="J94:J113" si="41">IF(H$12=0,0,H94/H$12)</f>
        <v>0</v>
      </c>
      <c r="K94" s="1"/>
      <c r="L94" s="1">
        <f t="shared" ref="L94:L113" si="42">+D94-H94</f>
        <v>0</v>
      </c>
      <c r="M94" s="1"/>
      <c r="N94" s="5">
        <f t="shared" ref="N94:N113" si="43">IF(H94=0,0,L94/H94)</f>
        <v>0</v>
      </c>
      <c r="O94" s="14"/>
      <c r="P94" s="1">
        <f>SUM(OSRRefP22_6x_0)</f>
        <v>0</v>
      </c>
      <c r="Q94" s="1"/>
      <c r="R94" s="5">
        <f t="shared" ref="R94:R113" si="44">IF(P$12=0,0,P94/P$12)</f>
        <v>0</v>
      </c>
      <c r="S94" s="1"/>
      <c r="T94" s="1">
        <f>SUM(OSRRefT22_6x_0)</f>
        <v>100</v>
      </c>
      <c r="U94" s="1"/>
      <c r="V94" s="5">
        <f t="shared" ref="V94:V113" si="45">IF(T$12=0,0,T94/T$12)</f>
        <v>1.313160940164403E-4</v>
      </c>
      <c r="W94" s="1"/>
      <c r="X94" s="1">
        <f t="shared" ref="X94:X113" si="46">+P94-T94</f>
        <v>-100</v>
      </c>
      <c r="Y94" s="1"/>
      <c r="Z94" s="5">
        <f t="shared" ref="Z94:Z113" si="47">IF(T94=0,0,X94/T94)</f>
        <v>-1</v>
      </c>
    </row>
    <row r="95" spans="1:26" s="24" customFormat="1" hidden="1" outlineLevel="2" x14ac:dyDescent="0.25">
      <c r="A95" s="28"/>
      <c r="B95" s="11" t="str">
        <f>CONCATENATE("          ", "6399", " - ", "DONATION-ON CAMPUS")</f>
        <v xml:space="preserve">          6399 - DONATION-ON CAMPUS</v>
      </c>
      <c r="C95" s="11"/>
      <c r="D95" s="6"/>
      <c r="E95" s="2"/>
      <c r="F95" s="7">
        <f t="shared" si="40"/>
        <v>0</v>
      </c>
      <c r="G95" s="2"/>
      <c r="H95" s="6"/>
      <c r="I95" s="2"/>
      <c r="J95" s="7">
        <f t="shared" si="41"/>
        <v>0</v>
      </c>
      <c r="K95" s="2"/>
      <c r="L95" s="6">
        <f t="shared" si="42"/>
        <v>0</v>
      </c>
      <c r="M95" s="2"/>
      <c r="N95" s="7">
        <f t="shared" si="43"/>
        <v>0</v>
      </c>
      <c r="O95" s="11"/>
      <c r="P95" s="6"/>
      <c r="Q95" s="2"/>
      <c r="R95" s="7">
        <f t="shared" si="44"/>
        <v>0</v>
      </c>
      <c r="S95" s="2"/>
      <c r="T95" s="6">
        <v>100</v>
      </c>
      <c r="U95" s="2"/>
      <c r="V95" s="7">
        <f t="shared" si="45"/>
        <v>1.313160940164403E-4</v>
      </c>
      <c r="W95" s="2"/>
      <c r="X95" s="6">
        <f t="shared" si="46"/>
        <v>-100</v>
      </c>
      <c r="Y95" s="2"/>
      <c r="Z95" s="7">
        <f t="shared" si="47"/>
        <v>-1</v>
      </c>
    </row>
    <row r="96" spans="1:26" s="29" customFormat="1" outlineLevel="1" collapsed="1" x14ac:dyDescent="0.25">
      <c r="A96" s="27"/>
      <c r="B96" s="14" t="str">
        <f>CONCATENATE("     ","Employees' Appreciation                           ")</f>
        <v xml:space="preserve">     Employees' Appreciation                           </v>
      </c>
      <c r="C96" s="14"/>
      <c r="D96" s="1">
        <f>SUM(OSRRefD22_7x_0)</f>
        <v>0</v>
      </c>
      <c r="E96" s="1"/>
      <c r="F96" s="5">
        <f t="shared" si="40"/>
        <v>0</v>
      </c>
      <c r="G96" s="1"/>
      <c r="H96" s="1">
        <f>SUM(OSRRefH22_7x_0)</f>
        <v>0</v>
      </c>
      <c r="I96" s="1"/>
      <c r="J96" s="5">
        <f t="shared" si="41"/>
        <v>0</v>
      </c>
      <c r="K96" s="1"/>
      <c r="L96" s="1">
        <f t="shared" si="42"/>
        <v>0</v>
      </c>
      <c r="M96" s="1"/>
      <c r="N96" s="5">
        <f t="shared" si="43"/>
        <v>0</v>
      </c>
      <c r="O96" s="14"/>
      <c r="P96" s="1">
        <f>SUM(OSRRefP22_7x_0)</f>
        <v>133.91</v>
      </c>
      <c r="Q96" s="1"/>
      <c r="R96" s="5">
        <f t="shared" si="44"/>
        <v>1.5578476011589981E-4</v>
      </c>
      <c r="S96" s="1"/>
      <c r="T96" s="1">
        <f>SUM(OSRRefT22_7x_0)</f>
        <v>89.29</v>
      </c>
      <c r="U96" s="1"/>
      <c r="V96" s="5">
        <f t="shared" si="45"/>
        <v>1.1725214034727956E-4</v>
      </c>
      <c r="W96" s="1"/>
      <c r="X96" s="1">
        <f t="shared" si="46"/>
        <v>44.61999999999999</v>
      </c>
      <c r="Y96" s="1"/>
      <c r="Z96" s="5">
        <f t="shared" si="47"/>
        <v>0.49972001343935479</v>
      </c>
    </row>
    <row r="97" spans="1:26" s="24" customFormat="1" hidden="1" outlineLevel="2" x14ac:dyDescent="0.25">
      <c r="A97" s="28"/>
      <c r="B97" s="11" t="str">
        <f>CONCATENATE("          ", "6277", " - ", "EMPLOYEE APPRECIATION")</f>
        <v xml:space="preserve">          6277 - EMPLOYEE APPRECIATION</v>
      </c>
      <c r="C97" s="11"/>
      <c r="D97" s="6"/>
      <c r="E97" s="2"/>
      <c r="F97" s="7">
        <f t="shared" si="40"/>
        <v>0</v>
      </c>
      <c r="G97" s="2"/>
      <c r="H97" s="6"/>
      <c r="I97" s="2"/>
      <c r="J97" s="7">
        <f t="shared" si="41"/>
        <v>0</v>
      </c>
      <c r="K97" s="2"/>
      <c r="L97" s="6">
        <f t="shared" si="42"/>
        <v>0</v>
      </c>
      <c r="M97" s="2"/>
      <c r="N97" s="7">
        <f t="shared" si="43"/>
        <v>0</v>
      </c>
      <c r="O97" s="11"/>
      <c r="P97" s="6">
        <v>133.91</v>
      </c>
      <c r="Q97" s="2"/>
      <c r="R97" s="7">
        <f t="shared" si="44"/>
        <v>1.5578476011589981E-4</v>
      </c>
      <c r="S97" s="2"/>
      <c r="T97" s="6">
        <v>89.29</v>
      </c>
      <c r="U97" s="2"/>
      <c r="V97" s="7">
        <f t="shared" si="45"/>
        <v>1.1725214034727956E-4</v>
      </c>
      <c r="W97" s="2"/>
      <c r="X97" s="6">
        <f t="shared" si="46"/>
        <v>44.61999999999999</v>
      </c>
      <c r="Y97" s="2"/>
      <c r="Z97" s="7">
        <f t="shared" si="47"/>
        <v>0.49972001343935479</v>
      </c>
    </row>
    <row r="98" spans="1:26" s="29" customFormat="1" outlineLevel="1" collapsed="1" x14ac:dyDescent="0.25">
      <c r="A98" s="27"/>
      <c r="B98" s="14" t="str">
        <f>CONCATENATE("     ","Freight out/Postage                               ")</f>
        <v xml:space="preserve">     Freight out/Postage                               </v>
      </c>
      <c r="C98" s="14"/>
      <c r="D98" s="1">
        <f>SUM(OSRRefD22_8x_0)</f>
        <v>0</v>
      </c>
      <c r="E98" s="1"/>
      <c r="F98" s="5">
        <f t="shared" si="40"/>
        <v>0</v>
      </c>
      <c r="G98" s="1"/>
      <c r="H98" s="1">
        <f>SUM(OSRRefH22_8x_0)</f>
        <v>0</v>
      </c>
      <c r="I98" s="1"/>
      <c r="J98" s="5">
        <f t="shared" si="41"/>
        <v>0</v>
      </c>
      <c r="K98" s="1"/>
      <c r="L98" s="1">
        <f t="shared" si="42"/>
        <v>0</v>
      </c>
      <c r="M98" s="1"/>
      <c r="N98" s="5">
        <f t="shared" si="43"/>
        <v>0</v>
      </c>
      <c r="O98" s="14"/>
      <c r="P98" s="1">
        <f>SUM(OSRRefP22_8x_0)</f>
        <v>0</v>
      </c>
      <c r="Q98" s="1"/>
      <c r="R98" s="5">
        <f t="shared" si="44"/>
        <v>0</v>
      </c>
      <c r="S98" s="1"/>
      <c r="T98" s="1">
        <f>SUM(OSRRefT22_8x_0)</f>
        <v>4.88</v>
      </c>
      <c r="U98" s="1"/>
      <c r="V98" s="5">
        <f t="shared" si="45"/>
        <v>6.4082253880022871E-6</v>
      </c>
      <c r="W98" s="1"/>
      <c r="X98" s="1">
        <f t="shared" si="46"/>
        <v>-4.88</v>
      </c>
      <c r="Y98" s="1"/>
      <c r="Z98" s="5">
        <f t="shared" si="47"/>
        <v>-1</v>
      </c>
    </row>
    <row r="99" spans="1:26" s="24" customFormat="1" hidden="1" outlineLevel="2" x14ac:dyDescent="0.25">
      <c r="A99" s="28"/>
      <c r="B99" s="11" t="str">
        <f>CONCATENATE("          ", "6305", " - ", "FREIGHT OUT")</f>
        <v xml:space="preserve">          6305 - FREIGHT OUT</v>
      </c>
      <c r="C99" s="11"/>
      <c r="D99" s="6"/>
      <c r="E99" s="2"/>
      <c r="F99" s="7">
        <f t="shared" si="40"/>
        <v>0</v>
      </c>
      <c r="G99" s="2"/>
      <c r="H99" s="6"/>
      <c r="I99" s="2"/>
      <c r="J99" s="7">
        <f t="shared" si="41"/>
        <v>0</v>
      </c>
      <c r="K99" s="2"/>
      <c r="L99" s="6">
        <f t="shared" si="42"/>
        <v>0</v>
      </c>
      <c r="M99" s="2"/>
      <c r="N99" s="7">
        <f t="shared" si="43"/>
        <v>0</v>
      </c>
      <c r="O99" s="11"/>
      <c r="P99" s="6"/>
      <c r="Q99" s="2"/>
      <c r="R99" s="7">
        <f t="shared" si="44"/>
        <v>0</v>
      </c>
      <c r="S99" s="2"/>
      <c r="T99" s="6">
        <v>4.88</v>
      </c>
      <c r="U99" s="2"/>
      <c r="V99" s="7">
        <f t="shared" si="45"/>
        <v>6.4082253880022871E-6</v>
      </c>
      <c r="W99" s="2"/>
      <c r="X99" s="6">
        <f t="shared" si="46"/>
        <v>-4.88</v>
      </c>
      <c r="Y99" s="2"/>
      <c r="Z99" s="7">
        <f t="shared" si="47"/>
        <v>-1</v>
      </c>
    </row>
    <row r="100" spans="1:26" s="29" customFormat="1" outlineLevel="1" collapsed="1" x14ac:dyDescent="0.25">
      <c r="A100" s="27"/>
      <c r="B100" s="14" t="str">
        <f>CONCATENATE("     ","General                                           ")</f>
        <v xml:space="preserve">     General                                           </v>
      </c>
      <c r="C100" s="14"/>
      <c r="D100" s="1">
        <f>SUM(OSRRefD22_9x_0)</f>
        <v>0</v>
      </c>
      <c r="E100" s="1"/>
      <c r="F100" s="5">
        <f t="shared" si="40"/>
        <v>0</v>
      </c>
      <c r="G100" s="1"/>
      <c r="H100" s="1">
        <f>SUM(OSRRefH22_9x_0)</f>
        <v>120</v>
      </c>
      <c r="I100" s="1"/>
      <c r="J100" s="5">
        <f t="shared" si="41"/>
        <v>4.378050018710691E-4</v>
      </c>
      <c r="K100" s="1"/>
      <c r="L100" s="1">
        <f t="shared" si="42"/>
        <v>-120</v>
      </c>
      <c r="M100" s="1"/>
      <c r="N100" s="5">
        <f t="shared" si="43"/>
        <v>-1</v>
      </c>
      <c r="O100" s="14"/>
      <c r="P100" s="1">
        <f>SUM(OSRRefP22_9x_0)</f>
        <v>0</v>
      </c>
      <c r="Q100" s="1"/>
      <c r="R100" s="5">
        <f t="shared" si="44"/>
        <v>0</v>
      </c>
      <c r="S100" s="1"/>
      <c r="T100" s="1">
        <f>SUM(OSRRefT22_9x_0)</f>
        <v>153.06</v>
      </c>
      <c r="U100" s="1"/>
      <c r="V100" s="5">
        <f t="shared" si="45"/>
        <v>2.0099241350156355E-4</v>
      </c>
      <c r="W100" s="1"/>
      <c r="X100" s="1">
        <f t="shared" si="46"/>
        <v>-153.06</v>
      </c>
      <c r="Y100" s="1"/>
      <c r="Z100" s="5">
        <f t="shared" si="47"/>
        <v>-1</v>
      </c>
    </row>
    <row r="101" spans="1:26" s="24" customFormat="1" hidden="1" outlineLevel="2" x14ac:dyDescent="0.25">
      <c r="A101" s="28"/>
      <c r="B101" s="11" t="str">
        <f>CONCATENATE("          ", "6279", " - ", "GENERAL EXPENSE")</f>
        <v xml:space="preserve">          6279 - GENERAL EXPENSE</v>
      </c>
      <c r="C101" s="11"/>
      <c r="D101" s="6"/>
      <c r="E101" s="2"/>
      <c r="F101" s="7">
        <f t="shared" si="40"/>
        <v>0</v>
      </c>
      <c r="G101" s="2"/>
      <c r="H101" s="6">
        <v>120</v>
      </c>
      <c r="I101" s="2"/>
      <c r="J101" s="7">
        <f t="shared" si="41"/>
        <v>4.378050018710691E-4</v>
      </c>
      <c r="K101" s="2"/>
      <c r="L101" s="6">
        <f t="shared" si="42"/>
        <v>-120</v>
      </c>
      <c r="M101" s="2"/>
      <c r="N101" s="7">
        <f t="shared" si="43"/>
        <v>-1</v>
      </c>
      <c r="O101" s="11"/>
      <c r="P101" s="6"/>
      <c r="Q101" s="2"/>
      <c r="R101" s="7">
        <f t="shared" si="44"/>
        <v>0</v>
      </c>
      <c r="S101" s="2"/>
      <c r="T101" s="6">
        <v>153.06</v>
      </c>
      <c r="U101" s="2"/>
      <c r="V101" s="7">
        <f t="shared" si="45"/>
        <v>2.0099241350156355E-4</v>
      </c>
      <c r="W101" s="2"/>
      <c r="X101" s="6">
        <f t="shared" si="46"/>
        <v>-153.06</v>
      </c>
      <c r="Y101" s="2"/>
      <c r="Z101" s="7">
        <f t="shared" si="47"/>
        <v>-1</v>
      </c>
    </row>
    <row r="102" spans="1:26" s="29" customFormat="1" outlineLevel="1" collapsed="1" x14ac:dyDescent="0.25">
      <c r="A102" s="27"/>
      <c r="B102" s="14" t="str">
        <f>CONCATENATE("     ","Insurance                                         ")</f>
        <v xml:space="preserve">     Insurance                                         </v>
      </c>
      <c r="C102" s="14"/>
      <c r="D102" s="1">
        <f>SUM(OSRRefD22_10x_0)</f>
        <v>161.18</v>
      </c>
      <c r="E102" s="1"/>
      <c r="F102" s="5">
        <f t="shared" si="40"/>
        <v>5.2875095626568874E-4</v>
      </c>
      <c r="G102" s="1"/>
      <c r="H102" s="1">
        <f>SUM(OSRRefH22_10x_0)</f>
        <v>151.85</v>
      </c>
      <c r="I102" s="1"/>
      <c r="J102" s="5">
        <f t="shared" si="41"/>
        <v>5.5400574611768206E-4</v>
      </c>
      <c r="K102" s="1"/>
      <c r="L102" s="1">
        <f t="shared" si="42"/>
        <v>9.3300000000000125</v>
      </c>
      <c r="M102" s="1"/>
      <c r="N102" s="5">
        <f t="shared" si="43"/>
        <v>6.1442212709911181E-2</v>
      </c>
      <c r="O102" s="14"/>
      <c r="P102" s="1">
        <f>SUM(OSRRefP22_10x_0)</f>
        <v>483.54</v>
      </c>
      <c r="Q102" s="1"/>
      <c r="R102" s="5">
        <f t="shared" si="44"/>
        <v>5.625282869572265E-4</v>
      </c>
      <c r="S102" s="1"/>
      <c r="T102" s="1">
        <f>SUM(OSRRefT22_10x_0)</f>
        <v>455.55</v>
      </c>
      <c r="U102" s="1"/>
      <c r="V102" s="5">
        <f t="shared" si="45"/>
        <v>5.9821046629189383E-4</v>
      </c>
      <c r="W102" s="1"/>
      <c r="X102" s="1">
        <f t="shared" si="46"/>
        <v>27.990000000000009</v>
      </c>
      <c r="Y102" s="1"/>
      <c r="Z102" s="5">
        <f t="shared" si="47"/>
        <v>6.1442212709911112E-2</v>
      </c>
    </row>
    <row r="103" spans="1:26" s="24" customFormat="1" hidden="1" outlineLevel="2" x14ac:dyDescent="0.25">
      <c r="A103" s="28"/>
      <c r="B103" s="11" t="str">
        <f>CONCATENATE("          ", "6314", " - ", "LIABILITY INSURANCE")</f>
        <v xml:space="preserve">          6314 - LIABILITY INSURANCE</v>
      </c>
      <c r="C103" s="11"/>
      <c r="D103" s="6">
        <v>161.18</v>
      </c>
      <c r="E103" s="2"/>
      <c r="F103" s="7">
        <f t="shared" si="40"/>
        <v>5.2875095626568874E-4</v>
      </c>
      <c r="G103" s="2"/>
      <c r="H103" s="6">
        <v>151.85</v>
      </c>
      <c r="I103" s="2"/>
      <c r="J103" s="7">
        <f t="shared" si="41"/>
        <v>5.5400574611768206E-4</v>
      </c>
      <c r="K103" s="2"/>
      <c r="L103" s="6">
        <f t="shared" si="42"/>
        <v>9.3300000000000125</v>
      </c>
      <c r="M103" s="2"/>
      <c r="N103" s="7">
        <f t="shared" si="43"/>
        <v>6.1442212709911181E-2</v>
      </c>
      <c r="O103" s="11"/>
      <c r="P103" s="6">
        <v>483.54</v>
      </c>
      <c r="Q103" s="2"/>
      <c r="R103" s="7">
        <f t="shared" si="44"/>
        <v>5.625282869572265E-4</v>
      </c>
      <c r="S103" s="2"/>
      <c r="T103" s="6">
        <v>455.55</v>
      </c>
      <c r="U103" s="2"/>
      <c r="V103" s="7">
        <f t="shared" si="45"/>
        <v>5.9821046629189383E-4</v>
      </c>
      <c r="W103" s="2"/>
      <c r="X103" s="6">
        <f t="shared" si="46"/>
        <v>27.990000000000009</v>
      </c>
      <c r="Y103" s="2"/>
      <c r="Z103" s="7">
        <f t="shared" si="47"/>
        <v>6.1442212709911112E-2</v>
      </c>
    </row>
    <row r="104" spans="1:26" s="29" customFormat="1" outlineLevel="1" collapsed="1" x14ac:dyDescent="0.25">
      <c r="A104" s="27"/>
      <c r="B104" s="14" t="str">
        <f>CONCATENATE("     ","Inventory Adjustment                              ")</f>
        <v xml:space="preserve">     Inventory Adjustment                              </v>
      </c>
      <c r="C104" s="14"/>
      <c r="D104" s="1">
        <f>SUM(OSRRefD22_11x_0)</f>
        <v>3150</v>
      </c>
      <c r="E104" s="1"/>
      <c r="F104" s="5">
        <f t="shared" si="40"/>
        <v>1.0333574340717952E-2</v>
      </c>
      <c r="G104" s="1"/>
      <c r="H104" s="1">
        <f>SUM(OSRRefH22_11x_0)</f>
        <v>1300</v>
      </c>
      <c r="I104" s="1"/>
      <c r="J104" s="5">
        <f t="shared" si="41"/>
        <v>4.7428875202699151E-3</v>
      </c>
      <c r="K104" s="1"/>
      <c r="L104" s="1">
        <f t="shared" si="42"/>
        <v>1850</v>
      </c>
      <c r="M104" s="1"/>
      <c r="N104" s="5">
        <f t="shared" si="43"/>
        <v>1.4230769230769231</v>
      </c>
      <c r="O104" s="14"/>
      <c r="P104" s="1">
        <f>SUM(OSRRefP22_11x_0)</f>
        <v>9450</v>
      </c>
      <c r="Q104" s="1"/>
      <c r="R104" s="5">
        <f t="shared" si="44"/>
        <v>1.0993697133113683E-2</v>
      </c>
      <c r="S104" s="1"/>
      <c r="T104" s="1">
        <f>SUM(OSRRefT22_11x_0)</f>
        <v>3900</v>
      </c>
      <c r="U104" s="1"/>
      <c r="V104" s="5">
        <f t="shared" si="45"/>
        <v>5.1213276666411721E-3</v>
      </c>
      <c r="W104" s="1"/>
      <c r="X104" s="1">
        <f t="shared" si="46"/>
        <v>5550</v>
      </c>
      <c r="Y104" s="1"/>
      <c r="Z104" s="5">
        <f t="shared" si="47"/>
        <v>1.4230769230769231</v>
      </c>
    </row>
    <row r="105" spans="1:26" s="24" customFormat="1" hidden="1" outlineLevel="2" x14ac:dyDescent="0.25">
      <c r="A105" s="28"/>
      <c r="B105" s="11" t="str">
        <f>CONCATENATE("          ", "6408", " - ", "INVENTORY ADJUSTMENT")</f>
        <v xml:space="preserve">          6408 - INVENTORY ADJUSTMENT</v>
      </c>
      <c r="C105" s="11"/>
      <c r="D105" s="6">
        <v>3150</v>
      </c>
      <c r="E105" s="2"/>
      <c r="F105" s="7">
        <f t="shared" si="40"/>
        <v>1.0333574340717952E-2</v>
      </c>
      <c r="G105" s="2"/>
      <c r="H105" s="6">
        <v>1300</v>
      </c>
      <c r="I105" s="2"/>
      <c r="J105" s="7">
        <f t="shared" si="41"/>
        <v>4.7428875202699151E-3</v>
      </c>
      <c r="K105" s="2"/>
      <c r="L105" s="6">
        <f t="shared" si="42"/>
        <v>1850</v>
      </c>
      <c r="M105" s="2"/>
      <c r="N105" s="7">
        <f t="shared" si="43"/>
        <v>1.4230769230769231</v>
      </c>
      <c r="O105" s="11"/>
      <c r="P105" s="6">
        <v>9450</v>
      </c>
      <c r="Q105" s="2"/>
      <c r="R105" s="7">
        <f t="shared" si="44"/>
        <v>1.0993697133113683E-2</v>
      </c>
      <c r="S105" s="2"/>
      <c r="T105" s="6">
        <v>3900</v>
      </c>
      <c r="U105" s="2"/>
      <c r="V105" s="7">
        <f t="shared" si="45"/>
        <v>5.1213276666411721E-3</v>
      </c>
      <c r="W105" s="2"/>
      <c r="X105" s="6">
        <f t="shared" si="46"/>
        <v>5550</v>
      </c>
      <c r="Y105" s="2"/>
      <c r="Z105" s="7">
        <f t="shared" si="47"/>
        <v>1.4230769230769231</v>
      </c>
    </row>
    <row r="106" spans="1:26" s="29" customFormat="1" outlineLevel="1" collapsed="1" x14ac:dyDescent="0.25">
      <c r="A106" s="27"/>
      <c r="B106" s="14" t="str">
        <f>CONCATENATE("     ","Professional Services                             ")</f>
        <v xml:space="preserve">     Professional Services                             </v>
      </c>
      <c r="C106" s="14"/>
      <c r="D106" s="1">
        <f>SUM(OSRRefD22_12x_0)</f>
        <v>0</v>
      </c>
      <c r="E106" s="1"/>
      <c r="F106" s="5">
        <f t="shared" si="40"/>
        <v>0</v>
      </c>
      <c r="G106" s="1"/>
      <c r="H106" s="1">
        <f>SUM(OSRRefH22_12x_0)</f>
        <v>0</v>
      </c>
      <c r="I106" s="1"/>
      <c r="J106" s="5">
        <f t="shared" si="41"/>
        <v>0</v>
      </c>
      <c r="K106" s="1"/>
      <c r="L106" s="1">
        <f t="shared" si="42"/>
        <v>0</v>
      </c>
      <c r="M106" s="1"/>
      <c r="N106" s="5">
        <f t="shared" si="43"/>
        <v>0</v>
      </c>
      <c r="O106" s="14"/>
      <c r="P106" s="1">
        <f>SUM(OSRRefP22_12x_0)</f>
        <v>750</v>
      </c>
      <c r="Q106" s="1"/>
      <c r="R106" s="5">
        <f t="shared" si="44"/>
        <v>8.7251564548521295E-4</v>
      </c>
      <c r="S106" s="1"/>
      <c r="T106" s="1">
        <f>SUM(OSRRefT22_12x_0)</f>
        <v>750</v>
      </c>
      <c r="U106" s="1"/>
      <c r="V106" s="5">
        <f t="shared" si="45"/>
        <v>9.848707051233023E-4</v>
      </c>
      <c r="W106" s="1"/>
      <c r="X106" s="1">
        <f t="shared" si="46"/>
        <v>0</v>
      </c>
      <c r="Y106" s="1"/>
      <c r="Z106" s="5">
        <f t="shared" si="47"/>
        <v>0</v>
      </c>
    </row>
    <row r="107" spans="1:26" s="24" customFormat="1" hidden="1" outlineLevel="2" x14ac:dyDescent="0.25">
      <c r="A107" s="28"/>
      <c r="B107" s="11" t="str">
        <f>CONCATENATE("          ", "6336", " - ", "PROFESSIONAL SERVICES")</f>
        <v xml:space="preserve">          6336 - PROFESSIONAL SERVICES</v>
      </c>
      <c r="C107" s="11"/>
      <c r="D107" s="6"/>
      <c r="E107" s="2"/>
      <c r="F107" s="7">
        <f t="shared" si="40"/>
        <v>0</v>
      </c>
      <c r="G107" s="2"/>
      <c r="H107" s="6"/>
      <c r="I107" s="2"/>
      <c r="J107" s="7">
        <f t="shared" si="41"/>
        <v>0</v>
      </c>
      <c r="K107" s="2"/>
      <c r="L107" s="6">
        <f t="shared" si="42"/>
        <v>0</v>
      </c>
      <c r="M107" s="2"/>
      <c r="N107" s="7">
        <f t="shared" si="43"/>
        <v>0</v>
      </c>
      <c r="O107" s="11"/>
      <c r="P107" s="6">
        <v>750</v>
      </c>
      <c r="Q107" s="2"/>
      <c r="R107" s="7">
        <f t="shared" si="44"/>
        <v>8.7251564548521295E-4</v>
      </c>
      <c r="S107" s="2"/>
      <c r="T107" s="6">
        <v>750</v>
      </c>
      <c r="U107" s="2"/>
      <c r="V107" s="7">
        <f t="shared" si="45"/>
        <v>9.848707051233023E-4</v>
      </c>
      <c r="W107" s="2"/>
      <c r="X107" s="6">
        <f t="shared" si="46"/>
        <v>0</v>
      </c>
      <c r="Y107" s="2"/>
      <c r="Z107" s="7">
        <f t="shared" si="47"/>
        <v>0</v>
      </c>
    </row>
    <row r="108" spans="1:26" s="29" customFormat="1" outlineLevel="1" collapsed="1" x14ac:dyDescent="0.25">
      <c r="A108" s="27"/>
      <c r="B108" s="14" t="str">
        <f>CONCATENATE("     ","Rent                                              ")</f>
        <v xml:space="preserve">     Rent                                              </v>
      </c>
      <c r="C108" s="14"/>
      <c r="D108" s="1">
        <f>SUM(OSRRefD22_13x_0)</f>
        <v>6900</v>
      </c>
      <c r="E108" s="1"/>
      <c r="F108" s="5">
        <f t="shared" si="40"/>
        <v>2.2635448555858372E-2</v>
      </c>
      <c r="G108" s="1"/>
      <c r="H108" s="1">
        <f>SUM(OSRRefH22_13x_0)</f>
        <v>6900</v>
      </c>
      <c r="I108" s="1"/>
      <c r="J108" s="5">
        <f t="shared" si="41"/>
        <v>2.5173787607586474E-2</v>
      </c>
      <c r="K108" s="1"/>
      <c r="L108" s="1">
        <f t="shared" si="42"/>
        <v>0</v>
      </c>
      <c r="M108" s="1"/>
      <c r="N108" s="5">
        <f t="shared" si="43"/>
        <v>0</v>
      </c>
      <c r="O108" s="14"/>
      <c r="P108" s="1">
        <f>SUM(OSRRefP22_13x_0)</f>
        <v>20700</v>
      </c>
      <c r="Q108" s="1"/>
      <c r="R108" s="5">
        <f t="shared" si="44"/>
        <v>2.4081431815391879E-2</v>
      </c>
      <c r="S108" s="1"/>
      <c r="T108" s="1">
        <f>SUM(OSRRefT22_13x_0)</f>
        <v>20700</v>
      </c>
      <c r="U108" s="1"/>
      <c r="V108" s="5">
        <f t="shared" si="45"/>
        <v>2.7182431461403145E-2</v>
      </c>
      <c r="W108" s="1"/>
      <c r="X108" s="1">
        <f t="shared" si="46"/>
        <v>0</v>
      </c>
      <c r="Y108" s="1"/>
      <c r="Z108" s="5">
        <f t="shared" si="47"/>
        <v>0</v>
      </c>
    </row>
    <row r="109" spans="1:26" s="24" customFormat="1" hidden="1" outlineLevel="2" x14ac:dyDescent="0.25">
      <c r="A109" s="28"/>
      <c r="B109" s="11" t="str">
        <f>CONCATENATE("          ", "6273", " - ", "RENT")</f>
        <v xml:space="preserve">          6273 - RENT</v>
      </c>
      <c r="C109" s="11"/>
      <c r="D109" s="6">
        <v>6900</v>
      </c>
      <c r="E109" s="2"/>
      <c r="F109" s="7">
        <f t="shared" si="40"/>
        <v>2.2635448555858372E-2</v>
      </c>
      <c r="G109" s="2"/>
      <c r="H109" s="6">
        <v>6900</v>
      </c>
      <c r="I109" s="2"/>
      <c r="J109" s="7">
        <f t="shared" si="41"/>
        <v>2.5173787607586474E-2</v>
      </c>
      <c r="K109" s="2"/>
      <c r="L109" s="6">
        <f t="shared" si="42"/>
        <v>0</v>
      </c>
      <c r="M109" s="2"/>
      <c r="N109" s="7">
        <f t="shared" si="43"/>
        <v>0</v>
      </c>
      <c r="O109" s="11"/>
      <c r="P109" s="6">
        <v>20700</v>
      </c>
      <c r="Q109" s="2"/>
      <c r="R109" s="7">
        <f t="shared" si="44"/>
        <v>2.4081431815391879E-2</v>
      </c>
      <c r="S109" s="2"/>
      <c r="T109" s="6">
        <v>20700</v>
      </c>
      <c r="U109" s="2"/>
      <c r="V109" s="7">
        <f t="shared" si="45"/>
        <v>2.7182431461403145E-2</v>
      </c>
      <c r="W109" s="2"/>
      <c r="X109" s="6">
        <f t="shared" si="46"/>
        <v>0</v>
      </c>
      <c r="Y109" s="2"/>
      <c r="Z109" s="7">
        <f t="shared" si="47"/>
        <v>0</v>
      </c>
    </row>
    <row r="110" spans="1:26" s="29" customFormat="1" outlineLevel="1" collapsed="1" x14ac:dyDescent="0.25">
      <c r="A110" s="27"/>
      <c r="B110" s="14" t="str">
        <f>CONCATENATE("     ","Repair and Maintenance                            ")</f>
        <v xml:space="preserve">     Repair and Maintenance                            </v>
      </c>
      <c r="C110" s="14"/>
      <c r="D110" s="1">
        <f>SUM(OSRRefD22_14x_0)</f>
        <v>0</v>
      </c>
      <c r="E110" s="1"/>
      <c r="F110" s="5">
        <f t="shared" si="40"/>
        <v>0</v>
      </c>
      <c r="G110" s="1"/>
      <c r="H110" s="1">
        <f>SUM(OSRRefH22_14x_0)</f>
        <v>298.23</v>
      </c>
      <c r="I110" s="1"/>
      <c r="J110" s="5">
        <f t="shared" si="41"/>
        <v>1.0880548809000746E-3</v>
      </c>
      <c r="K110" s="1"/>
      <c r="L110" s="1">
        <f t="shared" si="42"/>
        <v>-298.23</v>
      </c>
      <c r="M110" s="1"/>
      <c r="N110" s="5">
        <f t="shared" si="43"/>
        <v>-1</v>
      </c>
      <c r="O110" s="14"/>
      <c r="P110" s="1">
        <f>SUM(OSRRefP22_14x_0)</f>
        <v>0</v>
      </c>
      <c r="Q110" s="1"/>
      <c r="R110" s="5">
        <f t="shared" si="44"/>
        <v>0</v>
      </c>
      <c r="S110" s="1"/>
      <c r="T110" s="1">
        <f>SUM(OSRRefT22_14x_0)</f>
        <v>647.93000000000006</v>
      </c>
      <c r="U110" s="1"/>
      <c r="V110" s="5">
        <f t="shared" si="45"/>
        <v>8.5083636796072178E-4</v>
      </c>
      <c r="W110" s="1"/>
      <c r="X110" s="1">
        <f t="shared" si="46"/>
        <v>-647.93000000000006</v>
      </c>
      <c r="Y110" s="1"/>
      <c r="Z110" s="5">
        <f t="shared" si="47"/>
        <v>-1</v>
      </c>
    </row>
    <row r="111" spans="1:26" s="24" customFormat="1" hidden="1" outlineLevel="2" x14ac:dyDescent="0.25">
      <c r="A111" s="28"/>
      <c r="B111" s="11" t="str">
        <f>CONCATENATE("          ", "6371", " - ", "COMPUTER SOFTWARE MAINTENANCE")</f>
        <v xml:space="preserve">          6371 - COMPUTER SOFTWARE MAINTENANCE</v>
      </c>
      <c r="C111" s="11"/>
      <c r="D111" s="6"/>
      <c r="E111" s="2"/>
      <c r="F111" s="7">
        <f t="shared" si="40"/>
        <v>0</v>
      </c>
      <c r="G111" s="2"/>
      <c r="H111" s="6"/>
      <c r="I111" s="2"/>
      <c r="J111" s="7">
        <f t="shared" si="41"/>
        <v>0</v>
      </c>
      <c r="K111" s="2"/>
      <c r="L111" s="6">
        <f t="shared" si="42"/>
        <v>0</v>
      </c>
      <c r="M111" s="2"/>
      <c r="N111" s="7">
        <f t="shared" si="43"/>
        <v>0</v>
      </c>
      <c r="O111" s="11"/>
      <c r="P111" s="6"/>
      <c r="Q111" s="2"/>
      <c r="R111" s="7">
        <f t="shared" si="44"/>
        <v>0</v>
      </c>
      <c r="S111" s="2"/>
      <c r="T111" s="6">
        <v>186.58</v>
      </c>
      <c r="U111" s="2"/>
      <c r="V111" s="7">
        <f t="shared" si="45"/>
        <v>2.4500956821587433E-4</v>
      </c>
      <c r="W111" s="2"/>
      <c r="X111" s="6">
        <f t="shared" si="46"/>
        <v>-186.58</v>
      </c>
      <c r="Y111" s="2"/>
      <c r="Z111" s="7">
        <f t="shared" si="47"/>
        <v>-1</v>
      </c>
    </row>
    <row r="112" spans="1:26" s="24" customFormat="1" hidden="1" outlineLevel="2" x14ac:dyDescent="0.25">
      <c r="A112" s="28"/>
      <c r="B112" s="11" t="str">
        <f>CONCATENATE("          ", "6373", " - ", "MAINTENANCE CONTRACTS")</f>
        <v xml:space="preserve">          6373 - MAINTENANCE CONTRACTS</v>
      </c>
      <c r="C112" s="11"/>
      <c r="D112" s="6"/>
      <c r="E112" s="2"/>
      <c r="F112" s="7">
        <f t="shared" si="40"/>
        <v>0</v>
      </c>
      <c r="G112" s="2"/>
      <c r="H112" s="6">
        <v>44.98</v>
      </c>
      <c r="I112" s="2"/>
      <c r="J112" s="7">
        <f t="shared" si="41"/>
        <v>1.6410390820133906E-4</v>
      </c>
      <c r="K112" s="2"/>
      <c r="L112" s="6">
        <f t="shared" si="42"/>
        <v>-44.98</v>
      </c>
      <c r="M112" s="2"/>
      <c r="N112" s="7">
        <f t="shared" si="43"/>
        <v>-1</v>
      </c>
      <c r="O112" s="11"/>
      <c r="P112" s="6"/>
      <c r="Q112" s="2"/>
      <c r="R112" s="7">
        <f t="shared" si="44"/>
        <v>0</v>
      </c>
      <c r="S112" s="2"/>
      <c r="T112" s="6">
        <v>44.98</v>
      </c>
      <c r="U112" s="2"/>
      <c r="V112" s="7">
        <f t="shared" si="45"/>
        <v>5.9065979088594844E-5</v>
      </c>
      <c r="W112" s="2"/>
      <c r="X112" s="6">
        <f t="shared" si="46"/>
        <v>-44.98</v>
      </c>
      <c r="Y112" s="2"/>
      <c r="Z112" s="7">
        <f t="shared" si="47"/>
        <v>-1</v>
      </c>
    </row>
    <row r="113" spans="1:26" s="24" customFormat="1" hidden="1" outlineLevel="2" x14ac:dyDescent="0.25">
      <c r="A113" s="28"/>
      <c r="B113" s="11" t="str">
        <f>CONCATENATE("          ", "6375", " - ", "OUTSIDE REPAIRS &amp; MAINTENANCE")</f>
        <v xml:space="preserve">          6375 - OUTSIDE REPAIRS &amp; MAINTENANCE</v>
      </c>
      <c r="C113" s="11"/>
      <c r="D113" s="6"/>
      <c r="E113" s="2"/>
      <c r="F113" s="7">
        <f t="shared" si="40"/>
        <v>0</v>
      </c>
      <c r="G113" s="2"/>
      <c r="H113" s="6">
        <v>253.25</v>
      </c>
      <c r="I113" s="2"/>
      <c r="J113" s="7">
        <f t="shared" si="41"/>
        <v>9.2395097269873546E-4</v>
      </c>
      <c r="K113" s="2"/>
      <c r="L113" s="6">
        <f t="shared" si="42"/>
        <v>-253.25</v>
      </c>
      <c r="M113" s="2"/>
      <c r="N113" s="7">
        <f t="shared" si="43"/>
        <v>-1</v>
      </c>
      <c r="O113" s="11"/>
      <c r="P113" s="6"/>
      <c r="Q113" s="2"/>
      <c r="R113" s="7">
        <f t="shared" si="44"/>
        <v>0</v>
      </c>
      <c r="S113" s="2"/>
      <c r="T113" s="6">
        <v>416.37</v>
      </c>
      <c r="U113" s="2"/>
      <c r="V113" s="7">
        <f t="shared" si="45"/>
        <v>5.4676082065625257E-4</v>
      </c>
      <c r="W113" s="2"/>
      <c r="X113" s="6">
        <f t="shared" si="46"/>
        <v>-416.37</v>
      </c>
      <c r="Y113" s="2"/>
      <c r="Z113" s="7">
        <f t="shared" si="47"/>
        <v>-1</v>
      </c>
    </row>
    <row r="114" spans="1:26" s="29" customFormat="1" outlineLevel="1" collapsed="1" x14ac:dyDescent="0.25">
      <c r="A114" s="27"/>
      <c r="B114" s="14" t="str">
        <f>CONCATENATE("     ","Royalty &amp; Commissions                             ")</f>
        <v xml:space="preserve">     Royalty &amp; Commissions                             </v>
      </c>
      <c r="C114" s="14"/>
      <c r="D114" s="1">
        <f>SUM(OSRRefD22_15x_0)</f>
        <v>365.38</v>
      </c>
      <c r="E114" s="1"/>
      <c r="F114" s="5">
        <f t="shared" ref="F114:F116" si="48">IF(D$12=0,0,D114/D$12)</f>
        <v>1.1986290135274683E-3</v>
      </c>
      <c r="G114" s="1"/>
      <c r="H114" s="1">
        <f>SUM(OSRRefH22_15x_0)</f>
        <v>291.94</v>
      </c>
      <c r="I114" s="1"/>
      <c r="J114" s="5">
        <f t="shared" ref="J114:J116" si="49">IF(H$12=0,0,H114/H$12)</f>
        <v>1.0651066020519993E-3</v>
      </c>
      <c r="K114" s="1"/>
      <c r="L114" s="1">
        <f t="shared" ref="L114:L116" si="50">+D114-H114</f>
        <v>73.44</v>
      </c>
      <c r="M114" s="1"/>
      <c r="N114" s="5">
        <f t="shared" ref="N114:N116" si="51">IF(H114=0,0,L114/H114)</f>
        <v>0.25155853942590944</v>
      </c>
      <c r="O114" s="14"/>
      <c r="P114" s="1">
        <f>SUM(OSRRefP22_15x_0)</f>
        <v>4982.82</v>
      </c>
      <c r="Q114" s="1"/>
      <c r="R114" s="5">
        <f t="shared" ref="R114:R116" si="52">IF(P$12=0,0,P114/P$12)</f>
        <v>5.7967845448488381E-3</v>
      </c>
      <c r="S114" s="1"/>
      <c r="T114" s="1">
        <f>SUM(OSRRefT22_15x_0)</f>
        <v>7206.47</v>
      </c>
      <c r="U114" s="1"/>
      <c r="V114" s="5">
        <f t="shared" ref="V114:V116" si="53">IF(T$12=0,0,T114/T$12)</f>
        <v>9.4632549204665666E-3</v>
      </c>
      <c r="W114" s="1"/>
      <c r="X114" s="1">
        <f t="shared" ref="X114:X116" si="54">+P114-T114</f>
        <v>-2223.6500000000005</v>
      </c>
      <c r="Y114" s="1"/>
      <c r="Z114" s="5">
        <f t="shared" ref="Z114:Z116" si="55">IF(T114=0,0,X114/T114)</f>
        <v>-0.30856299963782552</v>
      </c>
    </row>
    <row r="115" spans="1:26" s="24" customFormat="1" hidden="1" outlineLevel="2" x14ac:dyDescent="0.25">
      <c r="A115" s="28"/>
      <c r="B115" s="11" t="str">
        <f>CONCATENATE("          ", "6253", " - ", "ROYALTY DUE ATHLETICS-LRG")</f>
        <v xml:space="preserve">          6253 - ROYALTY DUE ATHLETICS-LRG</v>
      </c>
      <c r="C115" s="11"/>
      <c r="D115" s="6"/>
      <c r="E115" s="2"/>
      <c r="F115" s="7">
        <f t="shared" si="48"/>
        <v>0</v>
      </c>
      <c r="G115" s="2"/>
      <c r="H115" s="6"/>
      <c r="I115" s="2"/>
      <c r="J115" s="7">
        <f t="shared" si="49"/>
        <v>0</v>
      </c>
      <c r="K115" s="2"/>
      <c r="L115" s="6">
        <f t="shared" si="50"/>
        <v>0</v>
      </c>
      <c r="M115" s="2"/>
      <c r="N115" s="7">
        <f t="shared" si="51"/>
        <v>0</v>
      </c>
      <c r="O115" s="11"/>
      <c r="P115" s="6">
        <v>4366.95</v>
      </c>
      <c r="Q115" s="2"/>
      <c r="R115" s="7">
        <f t="shared" si="52"/>
        <v>5.0803095974022005E-3</v>
      </c>
      <c r="S115" s="2"/>
      <c r="T115" s="6">
        <v>6645.39</v>
      </c>
      <c r="U115" s="2"/>
      <c r="V115" s="7">
        <f t="shared" si="53"/>
        <v>8.7264665801591226E-3</v>
      </c>
      <c r="W115" s="2"/>
      <c r="X115" s="6">
        <f t="shared" si="54"/>
        <v>-2278.4400000000005</v>
      </c>
      <c r="Y115" s="2"/>
      <c r="Z115" s="7">
        <f t="shared" si="55"/>
        <v>-0.34286023845101649</v>
      </c>
    </row>
    <row r="116" spans="1:26" s="24" customFormat="1" hidden="1" outlineLevel="2" x14ac:dyDescent="0.25">
      <c r="A116" s="28"/>
      <c r="B116" s="11" t="str">
        <f>CONCATENATE("          ", "6254", " - ", "ROYALTY &amp; COMMISSIONS")</f>
        <v xml:space="preserve">          6254 - ROYALTY &amp; COMMISSIONS</v>
      </c>
      <c r="C116" s="11"/>
      <c r="D116" s="6">
        <v>365.38</v>
      </c>
      <c r="E116" s="2"/>
      <c r="F116" s="7">
        <f t="shared" si="48"/>
        <v>1.1986290135274683E-3</v>
      </c>
      <c r="G116" s="2"/>
      <c r="H116" s="6">
        <v>291.94</v>
      </c>
      <c r="I116" s="2"/>
      <c r="J116" s="7">
        <f t="shared" si="49"/>
        <v>1.0651066020519993E-3</v>
      </c>
      <c r="K116" s="2"/>
      <c r="L116" s="6">
        <f t="shared" si="50"/>
        <v>73.44</v>
      </c>
      <c r="M116" s="2"/>
      <c r="N116" s="7">
        <f t="shared" si="51"/>
        <v>0.25155853942590944</v>
      </c>
      <c r="O116" s="11"/>
      <c r="P116" s="6">
        <v>615.87</v>
      </c>
      <c r="Q116" s="2"/>
      <c r="R116" s="7">
        <f t="shared" si="52"/>
        <v>7.1647494744663746E-4</v>
      </c>
      <c r="S116" s="2"/>
      <c r="T116" s="6">
        <v>561.08000000000004</v>
      </c>
      <c r="U116" s="2"/>
      <c r="V116" s="7">
        <f t="shared" si="53"/>
        <v>7.367883403074433E-4</v>
      </c>
      <c r="W116" s="2"/>
      <c r="X116" s="6">
        <f t="shared" si="54"/>
        <v>54.789999999999964</v>
      </c>
      <c r="Y116" s="2"/>
      <c r="Z116" s="7">
        <f t="shared" si="55"/>
        <v>9.7650958865045906E-2</v>
      </c>
    </row>
    <row r="117" spans="1:26" s="29" customFormat="1" outlineLevel="1" collapsed="1" x14ac:dyDescent="0.25">
      <c r="A117" s="27"/>
      <c r="B117" s="14" t="str">
        <f>CONCATENATE("     ","Services                                          ")</f>
        <v xml:space="preserve">     Services                                          </v>
      </c>
      <c r="C117" s="14"/>
      <c r="D117" s="1">
        <f>SUM(OSRRefD22_16x_0)</f>
        <v>241.37</v>
      </c>
      <c r="E117" s="1"/>
      <c r="F117" s="5">
        <f t="shared" ref="F117:F120" si="56">IF(D$12=0,0,D117/D$12)</f>
        <v>7.9181423448225149E-4</v>
      </c>
      <c r="G117" s="1"/>
      <c r="H117" s="1">
        <f>SUM(OSRRefH22_16x_0)</f>
        <v>316.73</v>
      </c>
      <c r="I117" s="1"/>
      <c r="J117" s="5">
        <f t="shared" ref="J117:J120" si="57">IF(H$12=0,0,H117/H$12)</f>
        <v>1.1555498186885311E-3</v>
      </c>
      <c r="K117" s="1"/>
      <c r="L117" s="1">
        <f t="shared" ref="L117:L120" si="58">+D117-H117</f>
        <v>-75.360000000000014</v>
      </c>
      <c r="M117" s="1"/>
      <c r="N117" s="5">
        <f t="shared" ref="N117:N120" si="59">IF(H117=0,0,L117/H117)</f>
        <v>-0.23793136109620183</v>
      </c>
      <c r="O117" s="14"/>
      <c r="P117" s="1">
        <f>SUM(OSRRefP22_16x_0)</f>
        <v>724.11</v>
      </c>
      <c r="Q117" s="1"/>
      <c r="R117" s="5">
        <f t="shared" ref="R117:R120" si="60">IF(P$12=0,0,P117/P$12)</f>
        <v>8.4239640540306347E-4</v>
      </c>
      <c r="S117" s="1"/>
      <c r="T117" s="1">
        <f>SUM(OSRRefT22_16x_0)</f>
        <v>663.02</v>
      </c>
      <c r="U117" s="1"/>
      <c r="V117" s="5">
        <f t="shared" ref="V117:V120" si="61">IF(T$12=0,0,T117/T$12)</f>
        <v>8.7065196654780247E-4</v>
      </c>
      <c r="W117" s="1"/>
      <c r="X117" s="1">
        <f t="shared" ref="X117:X120" si="62">+P117-T117</f>
        <v>61.090000000000032</v>
      </c>
      <c r="Y117" s="1"/>
      <c r="Z117" s="5">
        <f t="shared" ref="Z117:Z120" si="63">IF(T117=0,0,X117/T117)</f>
        <v>9.2139000331815074E-2</v>
      </c>
    </row>
    <row r="118" spans="1:26" s="24" customFormat="1" hidden="1" outlineLevel="2" x14ac:dyDescent="0.25">
      <c r="A118" s="28"/>
      <c r="B118" s="11" t="str">
        <f>CONCATENATE("          ", "6283", " - ", "PLANT SERVICE")</f>
        <v xml:space="preserve">          6283 - PLANT SERVICE</v>
      </c>
      <c r="C118" s="11"/>
      <c r="D118" s="6">
        <v>59.55</v>
      </c>
      <c r="E118" s="2"/>
      <c r="F118" s="7">
        <f t="shared" si="56"/>
        <v>1.9535376253642983E-4</v>
      </c>
      <c r="G118" s="2"/>
      <c r="H118" s="6">
        <v>56</v>
      </c>
      <c r="I118" s="2"/>
      <c r="J118" s="7">
        <f t="shared" si="57"/>
        <v>2.0430900087316559E-4</v>
      </c>
      <c r="K118" s="2"/>
      <c r="L118" s="6">
        <f t="shared" si="58"/>
        <v>3.5499999999999972</v>
      </c>
      <c r="M118" s="2"/>
      <c r="N118" s="7">
        <f t="shared" si="59"/>
        <v>6.3392857142857098E-2</v>
      </c>
      <c r="O118" s="11"/>
      <c r="P118" s="6">
        <v>178.65</v>
      </c>
      <c r="Q118" s="2"/>
      <c r="R118" s="7">
        <f t="shared" si="60"/>
        <v>2.0783322675457775E-4</v>
      </c>
      <c r="S118" s="2"/>
      <c r="T118" s="6">
        <v>168</v>
      </c>
      <c r="U118" s="2"/>
      <c r="V118" s="7">
        <f t="shared" si="61"/>
        <v>2.2061103794761972E-4</v>
      </c>
      <c r="W118" s="2"/>
      <c r="X118" s="6">
        <f t="shared" si="62"/>
        <v>10.650000000000006</v>
      </c>
      <c r="Y118" s="2"/>
      <c r="Z118" s="7">
        <f t="shared" si="63"/>
        <v>6.3392857142857181E-2</v>
      </c>
    </row>
    <row r="119" spans="1:26" s="24" customFormat="1" hidden="1" outlineLevel="2" x14ac:dyDescent="0.25">
      <c r="A119" s="28"/>
      <c r="B119" s="11" t="str">
        <f>CONCATENATE("          ", "6284", " - ", "TRASH REMOVAL EXPENSE")</f>
        <v xml:space="preserve">          6284 - TRASH REMOVAL EXPENSE</v>
      </c>
      <c r="C119" s="11"/>
      <c r="D119" s="6">
        <v>134.82</v>
      </c>
      <c r="E119" s="2"/>
      <c r="F119" s="7">
        <f t="shared" si="56"/>
        <v>4.4227698178272832E-4</v>
      </c>
      <c r="G119" s="2"/>
      <c r="H119" s="6">
        <v>121.46</v>
      </c>
      <c r="I119" s="2"/>
      <c r="J119" s="7">
        <f t="shared" si="57"/>
        <v>4.4313162939383375E-4</v>
      </c>
      <c r="K119" s="2"/>
      <c r="L119" s="6">
        <f t="shared" si="58"/>
        <v>13.36</v>
      </c>
      <c r="M119" s="2"/>
      <c r="N119" s="7">
        <f t="shared" si="59"/>
        <v>0.10999506010209123</v>
      </c>
      <c r="O119" s="11"/>
      <c r="P119" s="6">
        <v>404.46</v>
      </c>
      <c r="Q119" s="2"/>
      <c r="R119" s="7">
        <f t="shared" si="60"/>
        <v>4.7053023729726564E-4</v>
      </c>
      <c r="S119" s="2"/>
      <c r="T119" s="6">
        <v>364.38</v>
      </c>
      <c r="U119" s="2"/>
      <c r="V119" s="7">
        <f t="shared" si="61"/>
        <v>4.7848958337710521E-4</v>
      </c>
      <c r="W119" s="2"/>
      <c r="X119" s="6">
        <f t="shared" si="62"/>
        <v>40.079999999999984</v>
      </c>
      <c r="Y119" s="2"/>
      <c r="Z119" s="7">
        <f t="shared" si="63"/>
        <v>0.10999506010209117</v>
      </c>
    </row>
    <row r="120" spans="1:26" s="24" customFormat="1" hidden="1" outlineLevel="2" x14ac:dyDescent="0.25">
      <c r="A120" s="28"/>
      <c r="B120" s="11" t="str">
        <f>CONCATENATE("          ", "6285", " - ", "JANITORIAL SERVICES")</f>
        <v xml:space="preserve">          6285 - JANITORIAL SERVICES</v>
      </c>
      <c r="C120" s="11"/>
      <c r="D120" s="6">
        <v>47</v>
      </c>
      <c r="E120" s="2"/>
      <c r="F120" s="7">
        <f t="shared" si="56"/>
        <v>1.5418349016309326E-4</v>
      </c>
      <c r="G120" s="2"/>
      <c r="H120" s="6">
        <v>139.27000000000001</v>
      </c>
      <c r="I120" s="2"/>
      <c r="J120" s="7">
        <f t="shared" si="57"/>
        <v>5.0810918842153171E-4</v>
      </c>
      <c r="K120" s="2"/>
      <c r="L120" s="6">
        <f t="shared" si="58"/>
        <v>-92.27000000000001</v>
      </c>
      <c r="M120" s="2"/>
      <c r="N120" s="7">
        <f t="shared" si="59"/>
        <v>-0.66252602857758314</v>
      </c>
      <c r="O120" s="11"/>
      <c r="P120" s="6">
        <v>141</v>
      </c>
      <c r="Q120" s="2"/>
      <c r="R120" s="7">
        <f t="shared" si="60"/>
        <v>1.6403294135122003E-4</v>
      </c>
      <c r="S120" s="2"/>
      <c r="T120" s="6">
        <v>130.63999999999999</v>
      </c>
      <c r="U120" s="2"/>
      <c r="V120" s="7">
        <f t="shared" si="61"/>
        <v>1.7155134522307759E-4</v>
      </c>
      <c r="W120" s="2"/>
      <c r="X120" s="6">
        <f t="shared" si="62"/>
        <v>10.360000000000014</v>
      </c>
      <c r="Y120" s="2"/>
      <c r="Z120" s="7">
        <f t="shared" si="63"/>
        <v>7.9301898346601465E-2</v>
      </c>
    </row>
    <row r="121" spans="1:26" s="29" customFormat="1" outlineLevel="1" collapsed="1" x14ac:dyDescent="0.25">
      <c r="A121" s="27"/>
      <c r="B121" s="14" t="str">
        <f>CONCATENATE("     ","Subscriptions &amp; Dues                              ")</f>
        <v xml:space="preserve">     Subscriptions &amp; Dues                              </v>
      </c>
      <c r="C121" s="14"/>
      <c r="D121" s="1">
        <f>SUM(OSRRefD22_17x_0)</f>
        <v>296.64</v>
      </c>
      <c r="E121" s="1"/>
      <c r="F121" s="5">
        <f t="shared" ref="F121:F128" si="64">IF(D$12=0,0,D121/D$12)</f>
        <v>9.7312745791446769E-4</v>
      </c>
      <c r="G121" s="1"/>
      <c r="H121" s="1">
        <f>SUM(OSRRefH22_17x_0)</f>
        <v>129.97999999999999</v>
      </c>
      <c r="I121" s="1"/>
      <c r="J121" s="5">
        <f t="shared" ref="J121:J128" si="65">IF(H$12=0,0,H121/H$12)</f>
        <v>4.7421578452667968E-4</v>
      </c>
      <c r="K121" s="1"/>
      <c r="L121" s="1">
        <f t="shared" ref="L121:L128" si="66">+D121-H121</f>
        <v>166.66</v>
      </c>
      <c r="M121" s="1"/>
      <c r="N121" s="5">
        <f t="shared" ref="N121:N128" si="67">IF(H121=0,0,L121/H121)</f>
        <v>1.2821972611170951</v>
      </c>
      <c r="O121" s="14"/>
      <c r="P121" s="1">
        <f>SUM(OSRRefP22_17x_0)</f>
        <v>310.06</v>
      </c>
      <c r="Q121" s="1"/>
      <c r="R121" s="5">
        <f t="shared" ref="R121:R128" si="68">IF(P$12=0,0,P121/P$12)</f>
        <v>3.6070960138552685E-4</v>
      </c>
      <c r="S121" s="1"/>
      <c r="T121" s="1">
        <f>SUM(OSRRefT22_17x_0)</f>
        <v>748.44</v>
      </c>
      <c r="U121" s="1"/>
      <c r="V121" s="5">
        <f t="shared" ref="V121:V128" si="69">IF(T$12=0,0,T121/T$12)</f>
        <v>9.82822174056646E-4</v>
      </c>
      <c r="W121" s="1"/>
      <c r="X121" s="1">
        <f t="shared" ref="X121:X128" si="70">+P121-T121</f>
        <v>-438.38000000000005</v>
      </c>
      <c r="Y121" s="1"/>
      <c r="Z121" s="5">
        <f t="shared" ref="Z121:Z128" si="71">IF(T121=0,0,X121/T121)</f>
        <v>-0.58572497461386352</v>
      </c>
    </row>
    <row r="122" spans="1:26" s="24" customFormat="1" hidden="1" outlineLevel="2" x14ac:dyDescent="0.25">
      <c r="A122" s="28"/>
      <c r="B122" s="11" t="str">
        <f>CONCATENATE("          ", "6275", " - ", "SUBSCRIPTIONS")</f>
        <v xml:space="preserve">          6275 - SUBSCRIPTIONS</v>
      </c>
      <c r="C122" s="11"/>
      <c r="D122" s="6">
        <v>296.64</v>
      </c>
      <c r="E122" s="2"/>
      <c r="F122" s="7">
        <f t="shared" si="64"/>
        <v>9.7312745791446769E-4</v>
      </c>
      <c r="G122" s="2"/>
      <c r="H122" s="6">
        <v>129.97999999999999</v>
      </c>
      <c r="I122" s="2"/>
      <c r="J122" s="7">
        <f t="shared" si="65"/>
        <v>4.7421578452667968E-4</v>
      </c>
      <c r="K122" s="2"/>
      <c r="L122" s="6">
        <f t="shared" si="66"/>
        <v>166.66</v>
      </c>
      <c r="M122" s="2"/>
      <c r="N122" s="7">
        <f t="shared" si="67"/>
        <v>1.2821972611170951</v>
      </c>
      <c r="O122" s="11"/>
      <c r="P122" s="6">
        <v>310.06</v>
      </c>
      <c r="Q122" s="2"/>
      <c r="R122" s="7">
        <f t="shared" si="68"/>
        <v>3.6070960138552685E-4</v>
      </c>
      <c r="S122" s="2"/>
      <c r="T122" s="6">
        <v>748.44</v>
      </c>
      <c r="U122" s="2"/>
      <c r="V122" s="7">
        <f t="shared" si="69"/>
        <v>9.82822174056646E-4</v>
      </c>
      <c r="W122" s="2"/>
      <c r="X122" s="6">
        <f t="shared" si="70"/>
        <v>-438.38000000000005</v>
      </c>
      <c r="Y122" s="2"/>
      <c r="Z122" s="7">
        <f t="shared" si="71"/>
        <v>-0.58572497461386352</v>
      </c>
    </row>
    <row r="123" spans="1:26" s="29" customFormat="1" outlineLevel="1" collapsed="1" x14ac:dyDescent="0.25">
      <c r="A123" s="27"/>
      <c r="B123" s="14" t="str">
        <f>CONCATENATE("     ","Supplies                                          ")</f>
        <v xml:space="preserve">     Supplies                                          </v>
      </c>
      <c r="C123" s="14"/>
      <c r="D123" s="1">
        <f>SUM(OSRRefD22_18x_0)</f>
        <v>866.06</v>
      </c>
      <c r="E123" s="1"/>
      <c r="F123" s="5">
        <f t="shared" si="64"/>
        <v>2.8411096487372029E-3</v>
      </c>
      <c r="G123" s="1"/>
      <c r="H123" s="1">
        <f>SUM(OSRRefH22_18x_0)</f>
        <v>304.18</v>
      </c>
      <c r="I123" s="1"/>
      <c r="J123" s="5">
        <f t="shared" si="65"/>
        <v>1.1097627122428485E-3</v>
      </c>
      <c r="K123" s="1"/>
      <c r="L123" s="1">
        <f t="shared" si="66"/>
        <v>561.87999999999988</v>
      </c>
      <c r="M123" s="1"/>
      <c r="N123" s="5">
        <f t="shared" si="67"/>
        <v>1.8471957393648493</v>
      </c>
      <c r="O123" s="14"/>
      <c r="P123" s="1">
        <f>SUM(OSRRefP22_18x_0)</f>
        <v>2721.1400000000003</v>
      </c>
      <c r="Q123" s="1"/>
      <c r="R123" s="5">
        <f t="shared" si="68"/>
        <v>3.1656496314075105E-3</v>
      </c>
      <c r="S123" s="1"/>
      <c r="T123" s="1">
        <f>SUM(OSRRefT22_18x_0)</f>
        <v>2411.67</v>
      </c>
      <c r="U123" s="1"/>
      <c r="V123" s="5">
        <f t="shared" si="69"/>
        <v>3.166910844566286E-3</v>
      </c>
      <c r="W123" s="1"/>
      <c r="X123" s="1">
        <f t="shared" si="70"/>
        <v>309.47000000000025</v>
      </c>
      <c r="Y123" s="1"/>
      <c r="Z123" s="5">
        <f t="shared" si="71"/>
        <v>0.12832186824897279</v>
      </c>
    </row>
    <row r="124" spans="1:26" s="24" customFormat="1" hidden="1" outlineLevel="2" x14ac:dyDescent="0.25">
      <c r="A124" s="28"/>
      <c r="B124" s="11" t="str">
        <f>CONCATENATE("          ", "6234", " - ", "EXPENDABLE SUPPLIES &amp; EQUIPMEN")</f>
        <v xml:space="preserve">          6234 - EXPENDABLE SUPPLIES &amp; EQUIPMEN</v>
      </c>
      <c r="C124" s="11"/>
      <c r="D124" s="6"/>
      <c r="E124" s="2"/>
      <c r="F124" s="7">
        <f t="shared" si="64"/>
        <v>0</v>
      </c>
      <c r="G124" s="2"/>
      <c r="H124" s="6"/>
      <c r="I124" s="2"/>
      <c r="J124" s="7">
        <f t="shared" si="65"/>
        <v>0</v>
      </c>
      <c r="K124" s="2"/>
      <c r="L124" s="6">
        <f t="shared" si="66"/>
        <v>0</v>
      </c>
      <c r="M124" s="2"/>
      <c r="N124" s="7">
        <f t="shared" si="67"/>
        <v>0</v>
      </c>
      <c r="O124" s="11"/>
      <c r="P124" s="6">
        <v>-15.95</v>
      </c>
      <c r="Q124" s="2"/>
      <c r="R124" s="7">
        <f t="shared" si="68"/>
        <v>-1.855549939398553E-5</v>
      </c>
      <c r="S124" s="2"/>
      <c r="T124" s="6"/>
      <c r="U124" s="2"/>
      <c r="V124" s="7">
        <f t="shared" si="69"/>
        <v>0</v>
      </c>
      <c r="W124" s="2"/>
      <c r="X124" s="6">
        <f t="shared" si="70"/>
        <v>-15.95</v>
      </c>
      <c r="Y124" s="2"/>
      <c r="Z124" s="7">
        <f t="shared" si="71"/>
        <v>0</v>
      </c>
    </row>
    <row r="125" spans="1:26" s="24" customFormat="1" hidden="1" outlineLevel="2" x14ac:dyDescent="0.25">
      <c r="A125" s="28"/>
      <c r="B125" s="11" t="str">
        <f>CONCATENATE("          ", "6237", " - ", "JANITORIAL SUPPLIES")</f>
        <v xml:space="preserve">          6237 - JANITORIAL SUPPLIES</v>
      </c>
      <c r="C125" s="11"/>
      <c r="D125" s="6">
        <v>204.66</v>
      </c>
      <c r="E125" s="2"/>
      <c r="F125" s="7">
        <f t="shared" si="64"/>
        <v>6.7138708716550351E-4</v>
      </c>
      <c r="G125" s="2"/>
      <c r="H125" s="6"/>
      <c r="I125" s="2"/>
      <c r="J125" s="7">
        <f t="shared" si="65"/>
        <v>0</v>
      </c>
      <c r="K125" s="2"/>
      <c r="L125" s="6">
        <f t="shared" si="66"/>
        <v>204.66</v>
      </c>
      <c r="M125" s="2"/>
      <c r="N125" s="7">
        <f t="shared" si="67"/>
        <v>0</v>
      </c>
      <c r="O125" s="11"/>
      <c r="P125" s="6">
        <v>204.66</v>
      </c>
      <c r="Q125" s="2"/>
      <c r="R125" s="7">
        <f t="shared" si="68"/>
        <v>2.3809206934000493E-4</v>
      </c>
      <c r="S125" s="2"/>
      <c r="T125" s="6">
        <v>172.74</v>
      </c>
      <c r="U125" s="2"/>
      <c r="V125" s="7">
        <f t="shared" si="69"/>
        <v>2.2683542080399901E-4</v>
      </c>
      <c r="W125" s="2"/>
      <c r="X125" s="6">
        <f t="shared" si="70"/>
        <v>31.919999999999987</v>
      </c>
      <c r="Y125" s="2"/>
      <c r="Z125" s="7">
        <f t="shared" si="71"/>
        <v>0.18478638416116699</v>
      </c>
    </row>
    <row r="126" spans="1:26" s="24" customFormat="1" hidden="1" outlineLevel="2" x14ac:dyDescent="0.25">
      <c r="A126" s="28"/>
      <c r="B126" s="11" t="str">
        <f>CONCATENATE("          ", "6241", " - ", "OFFICE EXPENSE")</f>
        <v xml:space="preserve">          6241 - OFFICE EXPENSE</v>
      </c>
      <c r="C126" s="11"/>
      <c r="D126" s="6">
        <v>508.76</v>
      </c>
      <c r="E126" s="2"/>
      <c r="F126" s="7">
        <f t="shared" si="64"/>
        <v>1.6689870735186239E-3</v>
      </c>
      <c r="G126" s="2"/>
      <c r="H126" s="6">
        <v>97.18</v>
      </c>
      <c r="I126" s="2"/>
      <c r="J126" s="7">
        <f t="shared" si="65"/>
        <v>3.5454908401525418E-4</v>
      </c>
      <c r="K126" s="2"/>
      <c r="L126" s="6">
        <f t="shared" si="66"/>
        <v>411.58</v>
      </c>
      <c r="M126" s="2"/>
      <c r="N126" s="7">
        <f t="shared" si="67"/>
        <v>4.2352335871578513</v>
      </c>
      <c r="O126" s="11"/>
      <c r="P126" s="6">
        <v>2352.8000000000002</v>
      </c>
      <c r="Q126" s="2"/>
      <c r="R126" s="7">
        <f t="shared" si="68"/>
        <v>2.7371397475968126E-3</v>
      </c>
      <c r="S126" s="2"/>
      <c r="T126" s="6">
        <v>972.58</v>
      </c>
      <c r="U126" s="2"/>
      <c r="V126" s="7">
        <f t="shared" si="69"/>
        <v>1.2771540671850951E-3</v>
      </c>
      <c r="W126" s="2"/>
      <c r="X126" s="6">
        <f t="shared" si="70"/>
        <v>1380.2200000000003</v>
      </c>
      <c r="Y126" s="2"/>
      <c r="Z126" s="7">
        <f t="shared" si="71"/>
        <v>1.4191326163400442</v>
      </c>
    </row>
    <row r="127" spans="1:26" s="24" customFormat="1" hidden="1" outlineLevel="2" x14ac:dyDescent="0.25">
      <c r="A127" s="28"/>
      <c r="B127" s="11" t="str">
        <f>CONCATENATE("          ", "6245", " - ", "PRINTING")</f>
        <v xml:space="preserve">          6245 - PRINTING</v>
      </c>
      <c r="C127" s="11"/>
      <c r="D127" s="6"/>
      <c r="E127" s="2"/>
      <c r="F127" s="7">
        <f t="shared" si="64"/>
        <v>0</v>
      </c>
      <c r="G127" s="2"/>
      <c r="H127" s="6"/>
      <c r="I127" s="2"/>
      <c r="J127" s="7">
        <f t="shared" si="65"/>
        <v>0</v>
      </c>
      <c r="K127" s="2"/>
      <c r="L127" s="6">
        <f t="shared" si="66"/>
        <v>0</v>
      </c>
      <c r="M127" s="2"/>
      <c r="N127" s="7">
        <f t="shared" si="67"/>
        <v>0</v>
      </c>
      <c r="O127" s="11"/>
      <c r="P127" s="6"/>
      <c r="Q127" s="2"/>
      <c r="R127" s="7">
        <f t="shared" si="68"/>
        <v>0</v>
      </c>
      <c r="S127" s="2"/>
      <c r="T127" s="6">
        <v>970.75</v>
      </c>
      <c r="U127" s="2"/>
      <c r="V127" s="7">
        <f t="shared" si="69"/>
        <v>1.2747509826645943E-3</v>
      </c>
      <c r="W127" s="2"/>
      <c r="X127" s="6">
        <f t="shared" si="70"/>
        <v>-970.75</v>
      </c>
      <c r="Y127" s="2"/>
      <c r="Z127" s="7">
        <f t="shared" si="71"/>
        <v>-1</v>
      </c>
    </row>
    <row r="128" spans="1:26" s="24" customFormat="1" hidden="1" outlineLevel="2" x14ac:dyDescent="0.25">
      <c r="A128" s="28"/>
      <c r="B128" s="11" t="str">
        <f>CONCATENATE("          ", "6247", " - ", "STORE SUPPLIES")</f>
        <v xml:space="preserve">          6247 - STORE SUPPLIES</v>
      </c>
      <c r="C128" s="11"/>
      <c r="D128" s="6">
        <v>152.63999999999999</v>
      </c>
      <c r="E128" s="2"/>
      <c r="F128" s="7">
        <f t="shared" si="64"/>
        <v>5.0073548805307558E-4</v>
      </c>
      <c r="G128" s="2"/>
      <c r="H128" s="6">
        <v>207</v>
      </c>
      <c r="I128" s="2"/>
      <c r="J128" s="7">
        <f t="shared" si="65"/>
        <v>7.5521362822759421E-4</v>
      </c>
      <c r="K128" s="2"/>
      <c r="L128" s="6">
        <f t="shared" si="66"/>
        <v>-54.360000000000014</v>
      </c>
      <c r="M128" s="2"/>
      <c r="N128" s="7">
        <f t="shared" si="67"/>
        <v>-0.26260869565217398</v>
      </c>
      <c r="O128" s="11"/>
      <c r="P128" s="6">
        <v>179.63</v>
      </c>
      <c r="Q128" s="2"/>
      <c r="R128" s="7">
        <f t="shared" si="68"/>
        <v>2.0897331386467841E-4</v>
      </c>
      <c r="S128" s="2"/>
      <c r="T128" s="6">
        <v>295.60000000000002</v>
      </c>
      <c r="U128" s="2"/>
      <c r="V128" s="7">
        <f t="shared" si="69"/>
        <v>3.8817037391259757E-4</v>
      </c>
      <c r="W128" s="2"/>
      <c r="X128" s="6">
        <f t="shared" si="70"/>
        <v>-115.97000000000003</v>
      </c>
      <c r="Y128" s="2"/>
      <c r="Z128" s="7">
        <f t="shared" si="71"/>
        <v>-0.39232070365358601</v>
      </c>
    </row>
    <row r="129" spans="1:26" s="29" customFormat="1" outlineLevel="1" collapsed="1" x14ac:dyDescent="0.25">
      <c r="A129" s="27"/>
      <c r="B129" s="14" t="str">
        <f>CONCATENATE("     ","Telephone/Data Lines                              ")</f>
        <v xml:space="preserve">     Telephone/Data Lines                              </v>
      </c>
      <c r="C129" s="14"/>
      <c r="D129" s="1">
        <f>SUM(OSRRefD22_19x_0)</f>
        <v>2664.97</v>
      </c>
      <c r="E129" s="1"/>
      <c r="F129" s="5">
        <f t="shared" ref="F129:F136" si="72">IF(D$12=0,0,D129/D$12)</f>
        <v>8.7424335272327357E-3</v>
      </c>
      <c r="G129" s="1"/>
      <c r="H129" s="1">
        <f>SUM(OSRRefH22_19x_0)</f>
        <v>1881.79</v>
      </c>
      <c r="I129" s="1"/>
      <c r="J129" s="5">
        <f t="shared" ref="J129:J136" si="73">IF(H$12=0,0,H129/H$12)</f>
        <v>6.8654756205913259E-3</v>
      </c>
      <c r="K129" s="1"/>
      <c r="L129" s="1">
        <f t="shared" ref="L129:L136" si="74">+D129-H129</f>
        <v>783.17999999999984</v>
      </c>
      <c r="M129" s="1"/>
      <c r="N129" s="5">
        <f t="shared" ref="N129:N136" si="75">IF(H129=0,0,L129/H129)</f>
        <v>0.41618884147540364</v>
      </c>
      <c r="O129" s="14"/>
      <c r="P129" s="1">
        <f>SUM(OSRRefP22_19x_0)</f>
        <v>4025.42</v>
      </c>
      <c r="Q129" s="1"/>
      <c r="R129" s="5">
        <f t="shared" ref="R129:R136" si="76">IF(P$12=0,0,P129/P$12)</f>
        <v>4.6829892395321149E-3</v>
      </c>
      <c r="S129" s="1"/>
      <c r="T129" s="1">
        <f>SUM(OSRRefT22_19x_0)</f>
        <v>3564.27</v>
      </c>
      <c r="U129" s="1"/>
      <c r="V129" s="5">
        <f t="shared" ref="V129:V136" si="77">IF(T$12=0,0,T129/T$12)</f>
        <v>4.6804601441997771E-3</v>
      </c>
      <c r="W129" s="1"/>
      <c r="X129" s="1">
        <f t="shared" ref="X129:X136" si="78">+P129-T129</f>
        <v>461.15000000000009</v>
      </c>
      <c r="Y129" s="1"/>
      <c r="Z129" s="5">
        <f t="shared" ref="Z129:Z136" si="79">IF(T129=0,0,X129/T129)</f>
        <v>0.12938133194174406</v>
      </c>
    </row>
    <row r="130" spans="1:26" s="24" customFormat="1" hidden="1" outlineLevel="2" x14ac:dyDescent="0.25">
      <c r="A130" s="28"/>
      <c r="B130" s="11" t="str">
        <f>CONCATENATE("          ", "6309", " - ", "TELEPHONE")</f>
        <v xml:space="preserve">          6309 - TELEPHONE</v>
      </c>
      <c r="C130" s="11"/>
      <c r="D130" s="6">
        <v>2664.97</v>
      </c>
      <c r="E130" s="2"/>
      <c r="F130" s="7">
        <f t="shared" si="72"/>
        <v>8.7424335272327357E-3</v>
      </c>
      <c r="G130" s="2"/>
      <c r="H130" s="6">
        <v>1881.79</v>
      </c>
      <c r="I130" s="2"/>
      <c r="J130" s="7">
        <f t="shared" si="73"/>
        <v>6.8654756205913259E-3</v>
      </c>
      <c r="K130" s="2"/>
      <c r="L130" s="6">
        <f t="shared" si="74"/>
        <v>783.17999999999984</v>
      </c>
      <c r="M130" s="2"/>
      <c r="N130" s="7">
        <f t="shared" si="75"/>
        <v>0.41618884147540364</v>
      </c>
      <c r="O130" s="11"/>
      <c r="P130" s="6">
        <v>4025.42</v>
      </c>
      <c r="Q130" s="2"/>
      <c r="R130" s="7">
        <f t="shared" si="76"/>
        <v>4.6829892395321149E-3</v>
      </c>
      <c r="S130" s="2"/>
      <c r="T130" s="6">
        <v>3564.27</v>
      </c>
      <c r="U130" s="2"/>
      <c r="V130" s="7">
        <f t="shared" si="77"/>
        <v>4.6804601441997771E-3</v>
      </c>
      <c r="W130" s="2"/>
      <c r="X130" s="6">
        <f t="shared" si="78"/>
        <v>461.15000000000009</v>
      </c>
      <c r="Y130" s="2"/>
      <c r="Z130" s="7">
        <f t="shared" si="79"/>
        <v>0.12938133194174406</v>
      </c>
    </row>
    <row r="131" spans="1:26" s="29" customFormat="1" outlineLevel="1" collapsed="1" x14ac:dyDescent="0.25">
      <c r="A131" s="27"/>
      <c r="B131" s="14" t="str">
        <f>CONCATENATE("     ","Training                                          ")</f>
        <v xml:space="preserve">     Training                                          </v>
      </c>
      <c r="C131" s="14"/>
      <c r="D131" s="1">
        <f>SUM(OSRRefD22_20x_0)</f>
        <v>0</v>
      </c>
      <c r="E131" s="1"/>
      <c r="F131" s="5">
        <f t="shared" si="72"/>
        <v>0</v>
      </c>
      <c r="G131" s="1"/>
      <c r="H131" s="1">
        <f>SUM(OSRRefH22_20x_0)</f>
        <v>-196</v>
      </c>
      <c r="I131" s="1"/>
      <c r="J131" s="5">
        <f t="shared" si="73"/>
        <v>-7.1508150305607955E-4</v>
      </c>
      <c r="K131" s="1"/>
      <c r="L131" s="1">
        <f t="shared" si="74"/>
        <v>196</v>
      </c>
      <c r="M131" s="1"/>
      <c r="N131" s="5">
        <f t="shared" si="75"/>
        <v>-1</v>
      </c>
      <c r="O131" s="14"/>
      <c r="P131" s="1">
        <f>SUM(OSRRefP22_20x_0)</f>
        <v>103.5</v>
      </c>
      <c r="Q131" s="1"/>
      <c r="R131" s="5">
        <f t="shared" si="76"/>
        <v>1.204071590769594E-4</v>
      </c>
      <c r="S131" s="1"/>
      <c r="T131" s="1">
        <f>SUM(OSRRefT22_20x_0)</f>
        <v>83.4</v>
      </c>
      <c r="U131" s="1"/>
      <c r="V131" s="5">
        <f t="shared" si="77"/>
        <v>1.0951762240971123E-4</v>
      </c>
      <c r="W131" s="1"/>
      <c r="X131" s="1">
        <f t="shared" si="78"/>
        <v>20.099999999999994</v>
      </c>
      <c r="Y131" s="1"/>
      <c r="Z131" s="5">
        <f t="shared" si="79"/>
        <v>0.24100719424460423</v>
      </c>
    </row>
    <row r="132" spans="1:26" s="24" customFormat="1" hidden="1" outlineLevel="2" x14ac:dyDescent="0.25">
      <c r="A132" s="28"/>
      <c r="B132" s="11" t="str">
        <f>CONCATENATE("          ", "6376", " - ", "TRAINING")</f>
        <v xml:space="preserve">          6376 - TRAINING</v>
      </c>
      <c r="C132" s="11"/>
      <c r="D132" s="6"/>
      <c r="E132" s="2"/>
      <c r="F132" s="7">
        <f t="shared" si="72"/>
        <v>0</v>
      </c>
      <c r="G132" s="2"/>
      <c r="H132" s="6">
        <v>-196</v>
      </c>
      <c r="I132" s="2"/>
      <c r="J132" s="7">
        <f t="shared" si="73"/>
        <v>-7.1508150305607955E-4</v>
      </c>
      <c r="K132" s="2"/>
      <c r="L132" s="6">
        <f t="shared" si="74"/>
        <v>196</v>
      </c>
      <c r="M132" s="2"/>
      <c r="N132" s="7">
        <f t="shared" si="75"/>
        <v>-1</v>
      </c>
      <c r="O132" s="11"/>
      <c r="P132" s="6">
        <v>103.5</v>
      </c>
      <c r="Q132" s="2"/>
      <c r="R132" s="7">
        <f t="shared" si="76"/>
        <v>1.204071590769594E-4</v>
      </c>
      <c r="S132" s="2"/>
      <c r="T132" s="6">
        <v>83.4</v>
      </c>
      <c r="U132" s="2"/>
      <c r="V132" s="7">
        <f t="shared" si="77"/>
        <v>1.0951762240971123E-4</v>
      </c>
      <c r="W132" s="2"/>
      <c r="X132" s="6">
        <f t="shared" si="78"/>
        <v>20.099999999999994</v>
      </c>
      <c r="Y132" s="2"/>
      <c r="Z132" s="7">
        <f t="shared" si="79"/>
        <v>0.24100719424460423</v>
      </c>
    </row>
    <row r="133" spans="1:26" s="29" customFormat="1" outlineLevel="1" collapsed="1" x14ac:dyDescent="0.25">
      <c r="A133" s="27"/>
      <c r="B133" s="14" t="str">
        <f>CONCATENATE("     ","Travel                                            ")</f>
        <v xml:space="preserve">     Travel                                            </v>
      </c>
      <c r="C133" s="14"/>
      <c r="D133" s="1">
        <f>SUM(OSRRefD22_21x_0)</f>
        <v>33.43</v>
      </c>
      <c r="E133" s="1"/>
      <c r="F133" s="5">
        <f t="shared" si="72"/>
        <v>1.0966710800323845E-4</v>
      </c>
      <c r="G133" s="1"/>
      <c r="H133" s="1">
        <f>SUM(OSRRefH22_21x_0)</f>
        <v>55.81</v>
      </c>
      <c r="I133" s="1"/>
      <c r="J133" s="5">
        <f t="shared" si="73"/>
        <v>2.0361580962020308E-4</v>
      </c>
      <c r="K133" s="1"/>
      <c r="L133" s="1">
        <f t="shared" si="74"/>
        <v>-22.380000000000003</v>
      </c>
      <c r="M133" s="1"/>
      <c r="N133" s="5">
        <f t="shared" si="75"/>
        <v>-0.40100340440781224</v>
      </c>
      <c r="O133" s="14"/>
      <c r="P133" s="1">
        <f>SUM(OSRRefP22_21x_0)</f>
        <v>102.1</v>
      </c>
      <c r="Q133" s="1"/>
      <c r="R133" s="5">
        <f t="shared" si="76"/>
        <v>1.1877846320538699E-4</v>
      </c>
      <c r="S133" s="1"/>
      <c r="T133" s="1">
        <f>SUM(OSRRefT22_21x_0)</f>
        <v>255.77</v>
      </c>
      <c r="U133" s="1"/>
      <c r="V133" s="5">
        <f t="shared" si="77"/>
        <v>3.3586717366584939E-4</v>
      </c>
      <c r="W133" s="1"/>
      <c r="X133" s="1">
        <f t="shared" si="78"/>
        <v>-153.67000000000002</v>
      </c>
      <c r="Y133" s="1"/>
      <c r="Z133" s="5">
        <f t="shared" si="79"/>
        <v>-0.6008132306369004</v>
      </c>
    </row>
    <row r="134" spans="1:26" s="24" customFormat="1" hidden="1" outlineLevel="2" x14ac:dyDescent="0.25">
      <c r="A134" s="28"/>
      <c r="B134" s="11" t="str">
        <f>CONCATENATE("          ", "6294", " - ", "TRAVEL OPERATIONAL")</f>
        <v xml:space="preserve">          6294 - TRAVEL OPERATIONAL</v>
      </c>
      <c r="C134" s="11"/>
      <c r="D134" s="6">
        <v>33.43</v>
      </c>
      <c r="E134" s="2"/>
      <c r="F134" s="7">
        <f t="shared" si="72"/>
        <v>1.0966710800323845E-4</v>
      </c>
      <c r="G134" s="2"/>
      <c r="H134" s="6">
        <v>55.81</v>
      </c>
      <c r="I134" s="2"/>
      <c r="J134" s="7">
        <f t="shared" si="73"/>
        <v>2.0361580962020308E-4</v>
      </c>
      <c r="K134" s="2"/>
      <c r="L134" s="6">
        <f t="shared" si="74"/>
        <v>-22.380000000000003</v>
      </c>
      <c r="M134" s="2"/>
      <c r="N134" s="7">
        <f t="shared" si="75"/>
        <v>-0.40100340440781224</v>
      </c>
      <c r="O134" s="11"/>
      <c r="P134" s="6">
        <v>102.1</v>
      </c>
      <c r="Q134" s="2"/>
      <c r="R134" s="7">
        <f t="shared" si="76"/>
        <v>1.1877846320538699E-4</v>
      </c>
      <c r="S134" s="2"/>
      <c r="T134" s="6">
        <v>255.77</v>
      </c>
      <c r="U134" s="2"/>
      <c r="V134" s="7">
        <f t="shared" si="77"/>
        <v>3.3586717366584939E-4</v>
      </c>
      <c r="W134" s="2"/>
      <c r="X134" s="6">
        <f t="shared" si="78"/>
        <v>-153.67000000000002</v>
      </c>
      <c r="Y134" s="2"/>
      <c r="Z134" s="7">
        <f t="shared" si="79"/>
        <v>-0.6008132306369004</v>
      </c>
    </row>
    <row r="135" spans="1:26" s="29" customFormat="1" outlineLevel="1" collapsed="1" x14ac:dyDescent="0.25">
      <c r="A135" s="27"/>
      <c r="B135" s="14" t="str">
        <f>CONCATENATE("     ","Utilities                                         ")</f>
        <v xml:space="preserve">     Utilities                                         </v>
      </c>
      <c r="C135" s="14"/>
      <c r="D135" s="1">
        <f>SUM(OSRRefD22_22x_0)</f>
        <v>55.02</v>
      </c>
      <c r="E135" s="1"/>
      <c r="F135" s="5">
        <f t="shared" si="72"/>
        <v>1.8049309848454023E-4</v>
      </c>
      <c r="G135" s="1"/>
      <c r="H135" s="1">
        <f>SUM(OSRRefH22_22x_0)</f>
        <v>62.19</v>
      </c>
      <c r="I135" s="1"/>
      <c r="J135" s="5">
        <f t="shared" si="73"/>
        <v>2.2689244221968155E-4</v>
      </c>
      <c r="K135" s="1"/>
      <c r="L135" s="1">
        <f t="shared" si="74"/>
        <v>-7.1699999999999946</v>
      </c>
      <c r="M135" s="1"/>
      <c r="N135" s="5">
        <f t="shared" si="75"/>
        <v>-0.11529184756391694</v>
      </c>
      <c r="O135" s="14"/>
      <c r="P135" s="1">
        <f>SUM(OSRRefP22_22x_0)</f>
        <v>151.80000000000001</v>
      </c>
      <c r="Q135" s="1"/>
      <c r="R135" s="5">
        <f t="shared" si="76"/>
        <v>1.7659716664620713E-4</v>
      </c>
      <c r="S135" s="1"/>
      <c r="T135" s="1">
        <f>SUM(OSRRefT22_22x_0)</f>
        <v>203.55</v>
      </c>
      <c r="U135" s="1"/>
      <c r="V135" s="5">
        <f t="shared" si="77"/>
        <v>2.6729390937046428E-4</v>
      </c>
      <c r="W135" s="1"/>
      <c r="X135" s="1">
        <f t="shared" si="78"/>
        <v>-51.75</v>
      </c>
      <c r="Y135" s="1"/>
      <c r="Z135" s="5">
        <f t="shared" si="79"/>
        <v>-0.25423728813559321</v>
      </c>
    </row>
    <row r="136" spans="1:26" s="24" customFormat="1" hidden="1" outlineLevel="2" x14ac:dyDescent="0.25">
      <c r="A136" s="28"/>
      <c r="B136" s="11" t="str">
        <f>CONCATENATE("          ", "6274", " - ", "UTILITIES")</f>
        <v xml:space="preserve">          6274 - UTILITIES</v>
      </c>
      <c r="C136" s="11"/>
      <c r="D136" s="6">
        <v>55.02</v>
      </c>
      <c r="E136" s="2"/>
      <c r="F136" s="7">
        <f t="shared" si="72"/>
        <v>1.8049309848454023E-4</v>
      </c>
      <c r="G136" s="2"/>
      <c r="H136" s="6">
        <v>62.19</v>
      </c>
      <c r="I136" s="2"/>
      <c r="J136" s="7">
        <f t="shared" si="73"/>
        <v>2.2689244221968155E-4</v>
      </c>
      <c r="K136" s="2"/>
      <c r="L136" s="6">
        <f t="shared" si="74"/>
        <v>-7.1699999999999946</v>
      </c>
      <c r="M136" s="2"/>
      <c r="N136" s="7">
        <f t="shared" si="75"/>
        <v>-0.11529184756391694</v>
      </c>
      <c r="O136" s="11"/>
      <c r="P136" s="6">
        <v>151.80000000000001</v>
      </c>
      <c r="Q136" s="2"/>
      <c r="R136" s="7">
        <f t="shared" si="76"/>
        <v>1.7659716664620713E-4</v>
      </c>
      <c r="S136" s="2"/>
      <c r="T136" s="6">
        <v>203.55</v>
      </c>
      <c r="U136" s="2"/>
      <c r="V136" s="7">
        <f t="shared" si="77"/>
        <v>2.6729390937046428E-4</v>
      </c>
      <c r="W136" s="2"/>
      <c r="X136" s="6">
        <f t="shared" si="78"/>
        <v>-51.75</v>
      </c>
      <c r="Y136" s="2"/>
      <c r="Z136" s="7">
        <f t="shared" si="79"/>
        <v>-0.25423728813559321</v>
      </c>
    </row>
    <row r="137" spans="1:26" s="53" customFormat="1" x14ac:dyDescent="0.25">
      <c r="A137" s="37"/>
      <c r="B137" s="37"/>
      <c r="C137" s="37"/>
      <c r="D137" s="1"/>
      <c r="E137" s="1"/>
      <c r="F137" s="5"/>
      <c r="G137" s="1"/>
      <c r="H137" s="1"/>
      <c r="I137" s="1"/>
      <c r="J137" s="5"/>
      <c r="K137" s="1"/>
      <c r="L137" s="1"/>
      <c r="M137" s="1"/>
      <c r="N137" s="5"/>
      <c r="O137" s="37"/>
      <c r="P137" s="1"/>
      <c r="Q137" s="1"/>
      <c r="R137" s="5"/>
      <c r="S137" s="1"/>
      <c r="T137" s="1"/>
      <c r="U137" s="1"/>
      <c r="V137" s="5"/>
      <c r="W137" s="1"/>
      <c r="X137" s="1"/>
      <c r="Y137" s="1"/>
      <c r="Z137" s="5"/>
    </row>
    <row r="138" spans="1:26" s="23" customFormat="1" collapsed="1" x14ac:dyDescent="0.25">
      <c r="A138" s="10"/>
      <c r="B138" s="25" t="s">
        <v>0</v>
      </c>
      <c r="C138" s="10"/>
      <c r="D138" s="4">
        <f>SUM(OSRRefD25x_0)</f>
        <v>0</v>
      </c>
      <c r="E138" s="4"/>
      <c r="F138" s="12">
        <f t="shared" ref="F138:F139" si="80">IF(D$12=0,0,D138/D$12)</f>
        <v>0</v>
      </c>
      <c r="G138" s="4"/>
      <c r="H138" s="4">
        <f>SUM(OSRRefH25x_0)</f>
        <v>15167.42</v>
      </c>
      <c r="I138" s="4"/>
      <c r="J138" s="12">
        <f t="shared" ref="J138:J139" si="81">IF(H$12=0,0,H138/H$12)</f>
        <v>5.5336436178994093E-2</v>
      </c>
      <c r="K138" s="4"/>
      <c r="L138" s="4">
        <f t="shared" ref="L138:L139" si="82">+D138-H138</f>
        <v>-15167.42</v>
      </c>
      <c r="M138" s="4"/>
      <c r="N138" s="12">
        <f t="shared" ref="N138:N139" si="83">IF(H138=0,0,L138/H138)</f>
        <v>-1</v>
      </c>
      <c r="O138" s="10"/>
      <c r="P138" s="4">
        <f>SUM(OSRRefP25x_0)</f>
        <v>14396.98</v>
      </c>
      <c r="Q138" s="4"/>
      <c r="R138" s="12">
        <f t="shared" ref="R138:R139" si="84">IF(P$12=0,0,P138/P$12)</f>
        <v>1.6748787063650267E-2</v>
      </c>
      <c r="S138" s="4"/>
      <c r="T138" s="4">
        <f>SUM(OSRRefT25x_0)</f>
        <v>33553.230000000003</v>
      </c>
      <c r="U138" s="4"/>
      <c r="V138" s="12">
        <f t="shared" ref="V138:V139" si="85">IF(T$12=0,0,T138/T$12)</f>
        <v>4.4060791052352458E-2</v>
      </c>
      <c r="W138" s="4"/>
      <c r="X138" s="4">
        <f t="shared" ref="X138:X139" si="86">+P138-T138</f>
        <v>-19156.250000000004</v>
      </c>
      <c r="Y138" s="4"/>
      <c r="Z138" s="12">
        <f t="shared" ref="Z138:Z139" si="87">IF(T138=0,0,X138/T138)</f>
        <v>-0.57092119000167796</v>
      </c>
    </row>
    <row r="139" spans="1:26" s="24" customFormat="1" hidden="1" outlineLevel="1" x14ac:dyDescent="0.25">
      <c r="A139" s="44"/>
      <c r="B139" s="11" t="str">
        <f>CONCATENATE("          ", "9150", " - ", "MISC. INCOME")</f>
        <v xml:space="preserve">          9150 - MISC. INCOME</v>
      </c>
      <c r="C139" s="11"/>
      <c r="D139" s="2">
        <f>0</f>
        <v>0</v>
      </c>
      <c r="E139" s="2"/>
      <c r="F139" s="19">
        <f t="shared" si="80"/>
        <v>0</v>
      </c>
      <c r="G139" s="2"/>
      <c r="H139" s="2">
        <f>--15167.42</f>
        <v>15167.42</v>
      </c>
      <c r="I139" s="2"/>
      <c r="J139" s="19">
        <f t="shared" si="81"/>
        <v>5.5336436178994093E-2</v>
      </c>
      <c r="K139" s="2"/>
      <c r="L139" s="2">
        <f t="shared" si="82"/>
        <v>-15167.42</v>
      </c>
      <c r="M139" s="2"/>
      <c r="N139" s="19">
        <f t="shared" si="83"/>
        <v>-1</v>
      </c>
      <c r="O139" s="11"/>
      <c r="P139" s="2">
        <f>--14396.98</f>
        <v>14396.98</v>
      </c>
      <c r="Q139" s="2"/>
      <c r="R139" s="19">
        <f t="shared" si="84"/>
        <v>1.6748787063650267E-2</v>
      </c>
      <c r="S139" s="2"/>
      <c r="T139" s="2">
        <f>--33553.23</f>
        <v>33553.230000000003</v>
      </c>
      <c r="U139" s="2"/>
      <c r="V139" s="19">
        <f t="shared" si="85"/>
        <v>4.4060791052352458E-2</v>
      </c>
      <c r="W139" s="2"/>
      <c r="X139" s="2">
        <f t="shared" si="86"/>
        <v>-19156.250000000004</v>
      </c>
      <c r="Y139" s="2"/>
      <c r="Z139" s="19">
        <f t="shared" si="87"/>
        <v>-0.57092119000167796</v>
      </c>
    </row>
    <row r="140" spans="1:26" x14ac:dyDescent="0.25">
      <c r="A140" s="9"/>
      <c r="B140" s="10"/>
      <c r="C140" s="10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O140" s="10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x14ac:dyDescent="0.25">
      <c r="A141" s="10"/>
      <c r="B141" s="26" t="s">
        <v>3</v>
      </c>
      <c r="C141" s="26"/>
      <c r="D141" s="21">
        <f>+D67-D69+D138</f>
        <v>93648.830000000147</v>
      </c>
      <c r="E141" s="13"/>
      <c r="F141" s="20">
        <f>IF(D$12=0,0,D141/D$12)</f>
        <v>0.30721496721468544</v>
      </c>
      <c r="G141" s="13"/>
      <c r="H141" s="21">
        <f>+H67-H69+H138</f>
        <v>101768.25000000001</v>
      </c>
      <c r="I141" s="13"/>
      <c r="J141" s="20">
        <f>IF(H$12=0,0,H141/H$12)</f>
        <v>0.37128874068054529</v>
      </c>
      <c r="K141" s="15"/>
      <c r="L141" s="21">
        <f>+D141-H141</f>
        <v>-8119.4199999998673</v>
      </c>
      <c r="M141" s="15"/>
      <c r="N141" s="20">
        <f>IF(H141=0,0,L141/H141)</f>
        <v>-7.9783429507728251E-2</v>
      </c>
      <c r="O141" s="25"/>
      <c r="P141" s="21">
        <f>+P67-P69+P138</f>
        <v>238342.49000000011</v>
      </c>
      <c r="Q141" s="13"/>
      <c r="R141" s="20">
        <f>IF(P$12=0,0,P141/P$12)</f>
        <v>0.27727673534520403</v>
      </c>
      <c r="S141" s="13"/>
      <c r="T141" s="21">
        <f>+T67-T69+T138</f>
        <v>231499.7400000004</v>
      </c>
      <c r="U141" s="13"/>
      <c r="V141" s="20">
        <f>IF(T$12=0,0,T141/T$12)</f>
        <v>0.30399641622621537</v>
      </c>
      <c r="W141" s="15"/>
      <c r="X141" s="21">
        <f>+P141-T141</f>
        <v>6842.749999999709</v>
      </c>
      <c r="Y141" s="15"/>
      <c r="Z141" s="20">
        <f>IF(T141=0,0,X141/T141)</f>
        <v>2.9558348532053198E-2</v>
      </c>
    </row>
    <row r="142" spans="1:26" x14ac:dyDescent="0.25">
      <c r="A142" s="9"/>
      <c r="B142" s="10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x14ac:dyDescent="0.25">
      <c r="A143" s="51"/>
      <c r="B143" s="10" t="s">
        <v>13</v>
      </c>
      <c r="C143" s="10"/>
      <c r="D143" s="4">
        <v>23163.21</v>
      </c>
      <c r="E143" s="4"/>
      <c r="F143" s="12">
        <f>IF(D$12=0,0,D143/D$12)</f>
        <v>7.5986905557035384E-2</v>
      </c>
      <c r="G143" s="4"/>
      <c r="H143" s="4">
        <v>17895</v>
      </c>
      <c r="I143" s="4"/>
      <c r="J143" s="12">
        <f>IF(H$12=0,0,H143/H$12)</f>
        <v>6.5287670904023182E-2</v>
      </c>
      <c r="K143" s="4"/>
      <c r="L143" s="4">
        <f>+D143-H143</f>
        <v>5268.2099999999991</v>
      </c>
      <c r="M143" s="4"/>
      <c r="N143" s="12">
        <f>IF(H143=0,0,L143/H143)</f>
        <v>0.29439564124056994</v>
      </c>
      <c r="O143" s="10"/>
      <c r="P143" s="4">
        <v>92330.65</v>
      </c>
      <c r="Q143" s="4"/>
      <c r="R143" s="12">
        <f>IF(P$12=0,0,P143/P$12)</f>
        <v>0.1074132489104257</v>
      </c>
      <c r="S143" s="4"/>
      <c r="T143" s="4">
        <v>67658.960000000006</v>
      </c>
      <c r="U143" s="4"/>
      <c r="V143" s="12">
        <f>IF(T$12=0,0,T143/T$12)</f>
        <v>8.8847103524145751E-2</v>
      </c>
      <c r="W143" s="4"/>
      <c r="X143" s="4">
        <f>+P143-T143</f>
        <v>24671.689999999988</v>
      </c>
      <c r="Y143" s="4"/>
      <c r="Z143" s="12">
        <f>IF(T143=0,0,X143/T143)</f>
        <v>0.36464778648681545</v>
      </c>
    </row>
    <row r="144" spans="1:26" x14ac:dyDescent="0.25">
      <c r="A144" s="9"/>
      <c r="B144" s="10"/>
      <c r="C144" s="10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O144" s="10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ht="15.75" thickBot="1" x14ac:dyDescent="0.3">
      <c r="A145" s="10"/>
      <c r="B145" s="26" t="s">
        <v>4</v>
      </c>
      <c r="C145" s="26"/>
      <c r="D145" s="35">
        <f>+D141-D143</f>
        <v>70485.620000000141</v>
      </c>
      <c r="E145" s="13"/>
      <c r="F145" s="30">
        <f>IF(D$12=0,0,D145/D$12)</f>
        <v>0.23122806165765</v>
      </c>
      <c r="G145" s="13"/>
      <c r="H145" s="35">
        <f>+H141-H143</f>
        <v>83873.250000000015</v>
      </c>
      <c r="I145" s="13"/>
      <c r="J145" s="30">
        <f>IF(H$12=0,0,H145/H$12)</f>
        <v>0.30600106977652214</v>
      </c>
      <c r="K145" s="15"/>
      <c r="L145" s="35">
        <f>D145-H145</f>
        <v>-13387.629999999874</v>
      </c>
      <c r="M145" s="15"/>
      <c r="N145" s="30">
        <f>IF(H145=0,0,L145/H145)</f>
        <v>-0.15961739887270221</v>
      </c>
      <c r="O145" s="25"/>
      <c r="P145" s="35">
        <f>+P141-P143</f>
        <v>146011.84000000011</v>
      </c>
      <c r="Q145" s="13"/>
      <c r="R145" s="30">
        <f>IF(P$12=0,0,P145/P$12)</f>
        <v>0.16986348643477833</v>
      </c>
      <c r="S145" s="13"/>
      <c r="T145" s="35">
        <f>+T141-T143</f>
        <v>163840.78000000038</v>
      </c>
      <c r="U145" s="13"/>
      <c r="V145" s="30">
        <f>IF(T$12=0,0,T145/T$12)</f>
        <v>0.21514931270206963</v>
      </c>
      <c r="W145" s="15"/>
      <c r="X145" s="35">
        <f>P145-T145</f>
        <v>-17828.940000000264</v>
      </c>
      <c r="Y145" s="15"/>
      <c r="Z145" s="30">
        <f>IF(T145=0,0,X145/T145)</f>
        <v>-0.10881869580943293</v>
      </c>
    </row>
    <row r="146" spans="1:26" ht="15.75" thickTop="1" x14ac:dyDescent="0.25">
      <c r="A146" s="9"/>
      <c r="B146" s="9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x14ac:dyDescent="0.25">
      <c r="A147" s="9"/>
      <c r="B147" s="9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ht="15.75" thickBot="1" x14ac:dyDescent="0.3">
      <c r="A148" s="10"/>
      <c r="B148" s="26" t="s">
        <v>5</v>
      </c>
      <c r="C148" s="26"/>
      <c r="D148" s="36">
        <f>SUM(D145:D147)</f>
        <v>70485.620000000141</v>
      </c>
      <c r="E148" s="13"/>
      <c r="F148" s="31">
        <f>IF(D$12=0,0,D148/D$12)</f>
        <v>0.23122806165765</v>
      </c>
      <c r="G148" s="13"/>
      <c r="H148" s="36">
        <f>SUM(H145:H147)</f>
        <v>83873.250000000015</v>
      </c>
      <c r="I148" s="13"/>
      <c r="J148" s="31">
        <f>IF(H$12=0,0,H148/H$12)</f>
        <v>0.30600106977652214</v>
      </c>
      <c r="K148" s="15"/>
      <c r="L148" s="36">
        <f>+D148-H148</f>
        <v>-13387.629999999874</v>
      </c>
      <c r="M148" s="15"/>
      <c r="N148" s="31">
        <f>IF(H148=0,0,L148/H148)</f>
        <v>-0.15961739887270221</v>
      </c>
      <c r="O148" s="25"/>
      <c r="P148" s="36">
        <f>SUM(P145:P147)</f>
        <v>146011.84000000011</v>
      </c>
      <c r="Q148" s="13"/>
      <c r="R148" s="31">
        <f>IF(P$12=0,0,P148/P$12)</f>
        <v>0.16986348643477833</v>
      </c>
      <c r="S148" s="13"/>
      <c r="T148" s="36">
        <f>SUM(T145:T147)</f>
        <v>163840.78000000038</v>
      </c>
      <c r="U148" s="13"/>
      <c r="V148" s="31">
        <f>IF(T$12=0,0,T148/T$12)</f>
        <v>0.21514931270206963</v>
      </c>
      <c r="W148" s="15"/>
      <c r="X148" s="36">
        <f>+P148-T148</f>
        <v>-17828.940000000264</v>
      </c>
      <c r="Y148" s="15"/>
      <c r="Z148" s="31">
        <f>IF(T148=0,0,X148/T148)</f>
        <v>-0.10881869580943293</v>
      </c>
    </row>
    <row r="149" spans="1:26" ht="15.75" thickTop="1" x14ac:dyDescent="0.25">
      <c r="A149" s="9"/>
      <c r="C149" s="9"/>
      <c r="D149" s="18"/>
      <c r="E149" s="18"/>
      <c r="G149" s="18"/>
      <c r="H149" s="18"/>
      <c r="I149" s="18"/>
      <c r="J149" s="42"/>
      <c r="K149" s="18"/>
      <c r="L149" s="18"/>
      <c r="M149" s="18"/>
      <c r="P149" s="18"/>
      <c r="Q149" s="18"/>
      <c r="R149" s="42"/>
      <c r="S149" s="18"/>
      <c r="T149" s="18"/>
      <c r="U149" s="18"/>
      <c r="V149" s="42"/>
      <c r="W149" s="18"/>
      <c r="X149" s="18"/>
    </row>
    <row r="150" spans="1:26" x14ac:dyDescent="0.25">
      <c r="A150" s="9"/>
      <c r="B150" s="55">
        <v>43756.462544097223</v>
      </c>
      <c r="D150" s="18"/>
      <c r="E150" s="18"/>
      <c r="G150" s="18"/>
      <c r="H150" s="18"/>
      <c r="I150" s="18"/>
      <c r="J150" s="42"/>
      <c r="K150" s="18"/>
      <c r="L150" s="18"/>
      <c r="M150" s="18"/>
      <c r="P150" s="18"/>
      <c r="Q150" s="18"/>
      <c r="R150" s="42"/>
      <c r="S150" s="18"/>
      <c r="T150" s="18"/>
      <c r="U150" s="18"/>
      <c r="V150" s="42"/>
      <c r="W150" s="18"/>
      <c r="X150" s="18"/>
    </row>
    <row r="151" spans="1:26" x14ac:dyDescent="0.25">
      <c r="A151" s="9"/>
      <c r="B151" s="56" t="s">
        <v>313</v>
      </c>
      <c r="D151" s="18"/>
      <c r="E151" s="18"/>
      <c r="G151" s="18"/>
      <c r="H151" s="18"/>
      <c r="I151" s="18"/>
      <c r="J151" s="42"/>
      <c r="K151" s="18"/>
      <c r="L151" s="18"/>
      <c r="M151" s="18"/>
      <c r="P151" s="18"/>
      <c r="Q151" s="18"/>
      <c r="R151" s="42"/>
      <c r="S151" s="18"/>
      <c r="T151" s="18"/>
      <c r="U151" s="18"/>
      <c r="V151" s="42"/>
      <c r="W151" s="18"/>
      <c r="X151" s="18"/>
    </row>
    <row r="152" spans="1:26" x14ac:dyDescent="0.25">
      <c r="A152" s="9"/>
      <c r="B152" s="57"/>
      <c r="D152" s="18"/>
      <c r="E152" s="18"/>
      <c r="G152" s="18"/>
      <c r="H152" s="18"/>
      <c r="I152" s="18"/>
      <c r="J152" s="42"/>
      <c r="K152" s="18"/>
      <c r="L152" s="18"/>
      <c r="M152" s="18"/>
      <c r="P152" s="18"/>
      <c r="Q152" s="18"/>
      <c r="R152" s="42"/>
      <c r="S152" s="18"/>
      <c r="T152" s="18"/>
      <c r="U152" s="18"/>
      <c r="V152" s="42"/>
      <c r="W152" s="18"/>
      <c r="X152" s="18"/>
    </row>
    <row r="153" spans="1:26" x14ac:dyDescent="0.25">
      <c r="D153" s="18"/>
      <c r="E153" s="18"/>
      <c r="G153" s="18"/>
      <c r="H153" s="18"/>
      <c r="I153" s="18"/>
      <c r="J153" s="42"/>
      <c r="K153" s="18"/>
      <c r="L153" s="18"/>
      <c r="M153" s="18"/>
      <c r="P153" s="18"/>
      <c r="Q153" s="18"/>
      <c r="R153" s="42"/>
      <c r="S153" s="18"/>
      <c r="T153" s="18"/>
      <c r="U153" s="18"/>
      <c r="V153" s="42"/>
      <c r="W153" s="18"/>
      <c r="X153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297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","315", " - ", "Beach Shop")</f>
        <v>Department 315 - Beach Shop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272268.90000000008</v>
      </c>
      <c r="E12" s="4"/>
      <c r="F12" s="12"/>
      <c r="G12" s="4"/>
      <c r="H12" s="4">
        <f>SUM(OSRRefH13x_0)</f>
        <v>239416.10999999996</v>
      </c>
      <c r="I12" s="4"/>
      <c r="J12" s="12"/>
      <c r="K12" s="4"/>
      <c r="L12" s="4">
        <f t="shared" ref="L12:L32" si="0">+D12-H12</f>
        <v>32852.790000000125</v>
      </c>
      <c r="M12" s="4"/>
      <c r="N12" s="12">
        <f t="shared" ref="N12:N32" si="1">IF(H12=0,0,L12/H12)</f>
        <v>0.13722046523936979</v>
      </c>
      <c r="O12" s="10"/>
      <c r="P12" s="4">
        <f>SUM(OSRRefP13x_0)</f>
        <v>706044.76000000013</v>
      </c>
      <c r="Q12" s="4"/>
      <c r="R12" s="12"/>
      <c r="S12" s="4"/>
      <c r="T12" s="4">
        <f>SUM(OSRRefT13x_0)</f>
        <v>631894.95000000019</v>
      </c>
      <c r="U12" s="4"/>
      <c r="V12" s="12"/>
      <c r="W12" s="4"/>
      <c r="X12" s="4">
        <f t="shared" ref="X12:X32" si="2">+P12-T12</f>
        <v>74149.809999999939</v>
      </c>
      <c r="Y12" s="4"/>
      <c r="Z12" s="12">
        <f t="shared" ref="Z12:Z32" si="3">IF(T12=0,0,X12/T12)</f>
        <v>0.11734515365251759</v>
      </c>
    </row>
    <row r="13" spans="1:26" s="24" customFormat="1" hidden="1" outlineLevel="1" x14ac:dyDescent="0.25">
      <c r="A13" s="44"/>
      <c r="B13" s="11" t="str">
        <f>CONCATENATE("          ", "4040", " - ", "TAXABLE SALES-LOGO CLOTHING")</f>
        <v xml:space="preserve">          4040 - TAXABLE SALES-LOGO CLOTHING</v>
      </c>
      <c r="C13" s="11"/>
      <c r="D13" s="2">
        <f>--215346.19</f>
        <v>215346.19</v>
      </c>
      <c r="E13" s="2"/>
      <c r="F13" s="19"/>
      <c r="G13" s="2"/>
      <c r="H13" s="2">
        <f>--183423.28</f>
        <v>183423.28</v>
      </c>
      <c r="I13" s="2"/>
      <c r="J13" s="19"/>
      <c r="K13" s="2"/>
      <c r="L13" s="2">
        <f t="shared" si="0"/>
        <v>31922.910000000003</v>
      </c>
      <c r="M13" s="2"/>
      <c r="N13" s="19">
        <f t="shared" si="1"/>
        <v>0.17403957665570044</v>
      </c>
      <c r="O13" s="11"/>
      <c r="P13" s="2">
        <f>--504543.07</f>
        <v>504543.07</v>
      </c>
      <c r="Q13" s="2"/>
      <c r="R13" s="19"/>
      <c r="S13" s="2"/>
      <c r="T13" s="2">
        <f>--435353.55</f>
        <v>435353.55</v>
      </c>
      <c r="U13" s="2"/>
      <c r="V13" s="19"/>
      <c r="W13" s="2"/>
      <c r="X13" s="2">
        <f t="shared" si="2"/>
        <v>69189.520000000019</v>
      </c>
      <c r="Y13" s="2"/>
      <c r="Z13" s="19">
        <f t="shared" si="3"/>
        <v>0.15892719836555833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--25084.64</f>
        <v>25084.639999999999</v>
      </c>
      <c r="E14" s="2"/>
      <c r="F14" s="19"/>
      <c r="G14" s="2"/>
      <c r="H14" s="2">
        <f>--27625.61</f>
        <v>27625.61</v>
      </c>
      <c r="I14" s="2"/>
      <c r="J14" s="19"/>
      <c r="K14" s="2"/>
      <c r="L14" s="2">
        <f t="shared" si="0"/>
        <v>-2540.9700000000012</v>
      </c>
      <c r="M14" s="2"/>
      <c r="N14" s="19">
        <f t="shared" si="1"/>
        <v>-9.1978783454917418E-2</v>
      </c>
      <c r="O14" s="11"/>
      <c r="P14" s="2">
        <f>--88943.72</f>
        <v>88943.72</v>
      </c>
      <c r="Q14" s="2"/>
      <c r="R14" s="19"/>
      <c r="S14" s="2"/>
      <c r="T14" s="2">
        <f>--85059.99</f>
        <v>85059.99</v>
      </c>
      <c r="U14" s="2"/>
      <c r="V14" s="19"/>
      <c r="W14" s="2"/>
      <c r="X14" s="2">
        <f t="shared" si="2"/>
        <v>3883.7299999999959</v>
      </c>
      <c r="Y14" s="2"/>
      <c r="Z14" s="19">
        <f t="shared" si="3"/>
        <v>4.5658716865590927E-2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--25079.09</f>
        <v>25079.09</v>
      </c>
      <c r="E15" s="2"/>
      <c r="F15" s="19"/>
      <c r="G15" s="2"/>
      <c r="H15" s="2">
        <f>--21327.25</f>
        <v>21327.25</v>
      </c>
      <c r="I15" s="2"/>
      <c r="J15" s="19"/>
      <c r="K15" s="2"/>
      <c r="L15" s="2">
        <f t="shared" si="0"/>
        <v>3751.84</v>
      </c>
      <c r="M15" s="2"/>
      <c r="N15" s="19">
        <f t="shared" si="1"/>
        <v>0.17591766402138109</v>
      </c>
      <c r="O15" s="11"/>
      <c r="P15" s="2">
        <f>--63877.88</f>
        <v>63877.88</v>
      </c>
      <c r="Q15" s="2"/>
      <c r="R15" s="19"/>
      <c r="S15" s="2"/>
      <c r="T15" s="2">
        <f>--45611.19</f>
        <v>45611.19</v>
      </c>
      <c r="U15" s="2"/>
      <c r="V15" s="19"/>
      <c r="W15" s="2"/>
      <c r="X15" s="2">
        <f t="shared" si="2"/>
        <v>18266.689999999995</v>
      </c>
      <c r="Y15" s="2"/>
      <c r="Z15" s="19">
        <f t="shared" si="3"/>
        <v>0.40048702960830435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--253.89</f>
        <v>253.89</v>
      </c>
      <c r="E16" s="2"/>
      <c r="F16" s="19"/>
      <c r="G16" s="2"/>
      <c r="H16" s="2">
        <f>--233.23</f>
        <v>233.23</v>
      </c>
      <c r="I16" s="2"/>
      <c r="J16" s="19"/>
      <c r="K16" s="2"/>
      <c r="L16" s="2">
        <f t="shared" si="0"/>
        <v>20.659999999999997</v>
      </c>
      <c r="M16" s="2"/>
      <c r="N16" s="19">
        <f t="shared" si="1"/>
        <v>8.8582086352527539E-2</v>
      </c>
      <c r="O16" s="11"/>
      <c r="P16" s="2">
        <f>--362.08</f>
        <v>362.08</v>
      </c>
      <c r="Q16" s="2"/>
      <c r="R16" s="19"/>
      <c r="S16" s="2"/>
      <c r="T16" s="2">
        <f>--378.17</f>
        <v>378.17</v>
      </c>
      <c r="U16" s="2"/>
      <c r="V16" s="19"/>
      <c r="W16" s="2"/>
      <c r="X16" s="2">
        <f t="shared" si="2"/>
        <v>-16.090000000000032</v>
      </c>
      <c r="Y16" s="2"/>
      <c r="Z16" s="19">
        <f t="shared" si="3"/>
        <v>-4.2547002670756617E-2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>--6274.79</f>
        <v>6274.79</v>
      </c>
      <c r="E17" s="2"/>
      <c r="F17" s="19"/>
      <c r="G17" s="2"/>
      <c r="H17" s="2">
        <f>--7008.4</f>
        <v>7008.4</v>
      </c>
      <c r="I17" s="2"/>
      <c r="J17" s="19"/>
      <c r="K17" s="2"/>
      <c r="L17" s="2">
        <f t="shared" si="0"/>
        <v>-733.60999999999967</v>
      </c>
      <c r="M17" s="2"/>
      <c r="N17" s="19">
        <f t="shared" si="1"/>
        <v>-0.10467581759032014</v>
      </c>
      <c r="O17" s="11"/>
      <c r="P17" s="2">
        <f>--27289.91</f>
        <v>27289.91</v>
      </c>
      <c r="Q17" s="2"/>
      <c r="R17" s="19"/>
      <c r="S17" s="2"/>
      <c r="T17" s="2">
        <f>--28421.78</f>
        <v>28421.78</v>
      </c>
      <c r="U17" s="2"/>
      <c r="V17" s="19"/>
      <c r="W17" s="2"/>
      <c r="X17" s="2">
        <f t="shared" si="2"/>
        <v>-1131.869999999999</v>
      </c>
      <c r="Y17" s="2"/>
      <c r="Z17" s="19">
        <f t="shared" si="3"/>
        <v>-3.9824036355217689E-2</v>
      </c>
    </row>
    <row r="18" spans="1:26" s="24" customFormat="1" hidden="1" outlineLevel="1" x14ac:dyDescent="0.25">
      <c r="A18" s="44"/>
      <c r="B18" s="11" t="str">
        <f>CONCATENATE("          ", "4045", " - ", "TAXABLE SALES-SPECIAL ORDERS")</f>
        <v xml:space="preserve">          4045 - TAXABLE SALES-SPECIAL ORDERS</v>
      </c>
      <c r="C18" s="11"/>
      <c r="D18" s="2">
        <f>--5803.07</f>
        <v>5803.07</v>
      </c>
      <c r="E18" s="2"/>
      <c r="F18" s="19"/>
      <c r="G18" s="2"/>
      <c r="H18" s="2">
        <f>--5590.46</f>
        <v>5590.46</v>
      </c>
      <c r="I18" s="2"/>
      <c r="J18" s="19"/>
      <c r="K18" s="2"/>
      <c r="L18" s="2">
        <f t="shared" si="0"/>
        <v>212.60999999999967</v>
      </c>
      <c r="M18" s="2"/>
      <c r="N18" s="19">
        <f t="shared" si="1"/>
        <v>3.8030859714585148E-2</v>
      </c>
      <c r="O18" s="11"/>
      <c r="P18" s="2">
        <f>--30959.35</f>
        <v>30959.35</v>
      </c>
      <c r="Q18" s="2"/>
      <c r="R18" s="19"/>
      <c r="S18" s="2"/>
      <c r="T18" s="2">
        <f>--48100.09</f>
        <v>48100.09</v>
      </c>
      <c r="U18" s="2"/>
      <c r="V18" s="19"/>
      <c r="W18" s="2"/>
      <c r="X18" s="2">
        <f t="shared" si="2"/>
        <v>-17140.739999999998</v>
      </c>
      <c r="Y18" s="2"/>
      <c r="Z18" s="19">
        <f t="shared" si="3"/>
        <v>-0.35635567417857222</v>
      </c>
    </row>
    <row r="19" spans="1:26" s="24" customFormat="1" hidden="1" outlineLevel="1" x14ac:dyDescent="0.25">
      <c r="A19" s="44"/>
      <c r="B19" s="11" t="str">
        <f>CONCATENATE("          ", "4140", " - ", "NON-TAXABLE SALES-LOGO CLOTHIN")</f>
        <v xml:space="preserve">          4140 - NON-TAXABLE SALES-LOGO CLOTHIN</v>
      </c>
      <c r="C19" s="11"/>
      <c r="D19" s="2">
        <f>--3114.74</f>
        <v>3114.74</v>
      </c>
      <c r="E19" s="2"/>
      <c r="F19" s="19"/>
      <c r="G19" s="2"/>
      <c r="H19" s="2">
        <f>--2646.49</f>
        <v>2646.49</v>
      </c>
      <c r="I19" s="2"/>
      <c r="J19" s="19"/>
      <c r="K19" s="2"/>
      <c r="L19" s="2">
        <f t="shared" si="0"/>
        <v>468.25</v>
      </c>
      <c r="M19" s="2"/>
      <c r="N19" s="19">
        <f t="shared" si="1"/>
        <v>0.1769324652653137</v>
      </c>
      <c r="O19" s="11"/>
      <c r="P19" s="2">
        <f>--8257.7</f>
        <v>8257.7000000000007</v>
      </c>
      <c r="Q19" s="2"/>
      <c r="R19" s="19"/>
      <c r="S19" s="2"/>
      <c r="T19" s="2">
        <f>--7904.3</f>
        <v>7904.3</v>
      </c>
      <c r="U19" s="2"/>
      <c r="V19" s="19"/>
      <c r="W19" s="2"/>
      <c r="X19" s="2">
        <f t="shared" si="2"/>
        <v>353.40000000000055</v>
      </c>
      <c r="Y19" s="2"/>
      <c r="Z19" s="19">
        <f t="shared" si="3"/>
        <v>4.470984147868888E-2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--144.99</f>
        <v>144.99</v>
      </c>
      <c r="E20" s="2"/>
      <c r="F20" s="19"/>
      <c r="G20" s="2"/>
      <c r="H20" s="2">
        <f>--205.09</f>
        <v>205.09</v>
      </c>
      <c r="I20" s="2"/>
      <c r="J20" s="19"/>
      <c r="K20" s="2"/>
      <c r="L20" s="2">
        <f t="shared" si="0"/>
        <v>-60.099999999999994</v>
      </c>
      <c r="M20" s="2"/>
      <c r="N20" s="19">
        <f t="shared" si="1"/>
        <v>-0.29304207908722996</v>
      </c>
      <c r="O20" s="11"/>
      <c r="P20" s="2">
        <f>--661.89</f>
        <v>661.89</v>
      </c>
      <c r="Q20" s="2"/>
      <c r="R20" s="19"/>
      <c r="S20" s="2"/>
      <c r="T20" s="2">
        <f>--540.84</f>
        <v>540.84</v>
      </c>
      <c r="U20" s="2"/>
      <c r="V20" s="19"/>
      <c r="W20" s="2"/>
      <c r="X20" s="2">
        <f t="shared" si="2"/>
        <v>121.04999999999995</v>
      </c>
      <c r="Y20" s="2"/>
      <c r="Z20" s="19">
        <f t="shared" si="3"/>
        <v>0.22381850454848004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--516.4</f>
        <v>516.4</v>
      </c>
      <c r="E21" s="2"/>
      <c r="F21" s="19"/>
      <c r="G21" s="2"/>
      <c r="H21" s="2">
        <f>--53.77</f>
        <v>53.77</v>
      </c>
      <c r="I21" s="2"/>
      <c r="J21" s="19"/>
      <c r="K21" s="2"/>
      <c r="L21" s="2">
        <f t="shared" si="0"/>
        <v>462.63</v>
      </c>
      <c r="M21" s="2"/>
      <c r="N21" s="19">
        <f t="shared" si="1"/>
        <v>8.6038683280639763</v>
      </c>
      <c r="O21" s="11"/>
      <c r="P21" s="2">
        <f>--821.53</f>
        <v>821.53</v>
      </c>
      <c r="Q21" s="2"/>
      <c r="R21" s="19"/>
      <c r="S21" s="2"/>
      <c r="T21" s="2">
        <f>--142.26</f>
        <v>142.26</v>
      </c>
      <c r="U21" s="2"/>
      <c r="V21" s="19"/>
      <c r="W21" s="2"/>
      <c r="X21" s="2">
        <f t="shared" si="2"/>
        <v>679.27</v>
      </c>
      <c r="Y21" s="2"/>
      <c r="Z21" s="19">
        <f t="shared" si="3"/>
        <v>4.7748488682693662</v>
      </c>
    </row>
    <row r="22" spans="1:26" s="24" customFormat="1" hidden="1" outlineLevel="1" x14ac:dyDescent="0.25">
      <c r="A22" s="44"/>
      <c r="B22" s="11" t="str">
        <f>CONCATENATE("          ", "4144", " - ", "NON-TAXABLE SALES-ACCESSORIES")</f>
        <v xml:space="preserve">          4144 - NON-TAXABLE SALES-ACCESSORIES</v>
      </c>
      <c r="C22" s="11"/>
      <c r="D22" s="2">
        <f t="shared" ref="D22:D23" si="4">0</f>
        <v>0</v>
      </c>
      <c r="E22" s="2"/>
      <c r="F22" s="19"/>
      <c r="G22" s="2"/>
      <c r="H22" s="2">
        <f>--89.85</f>
        <v>89.85</v>
      </c>
      <c r="I22" s="2"/>
      <c r="J22" s="19"/>
      <c r="K22" s="2"/>
      <c r="L22" s="2">
        <f t="shared" si="0"/>
        <v>-89.85</v>
      </c>
      <c r="M22" s="2"/>
      <c r="N22" s="19">
        <f t="shared" si="1"/>
        <v>-1</v>
      </c>
      <c r="O22" s="11"/>
      <c r="P22" s="2">
        <f>--139.76</f>
        <v>139.76</v>
      </c>
      <c r="Q22" s="2"/>
      <c r="R22" s="19"/>
      <c r="S22" s="2"/>
      <c r="T22" s="2">
        <f>--174.75</f>
        <v>174.75</v>
      </c>
      <c r="U22" s="2"/>
      <c r="V22" s="19"/>
      <c r="W22" s="2"/>
      <c r="X22" s="2">
        <f t="shared" si="2"/>
        <v>-34.990000000000009</v>
      </c>
      <c r="Y22" s="2"/>
      <c r="Z22" s="19">
        <f t="shared" si="3"/>
        <v>-0.20022889842632338</v>
      </c>
    </row>
    <row r="23" spans="1:26" s="24" customFormat="1" hidden="1" outlineLevel="1" x14ac:dyDescent="0.25">
      <c r="A23" s="44"/>
      <c r="B23" s="11" t="str">
        <f>CONCATENATE("          ", "4145", " - ", "NON-TAXABLE SALES-SPECIAL ORDE")</f>
        <v xml:space="preserve">          4145 - NON-TAXABLE SALES-SPECIAL ORDE</v>
      </c>
      <c r="C23" s="11"/>
      <c r="D23" s="2">
        <f t="shared" si="4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--90</f>
        <v>90</v>
      </c>
      <c r="Q23" s="2"/>
      <c r="R23" s="19"/>
      <c r="S23" s="2"/>
      <c r="T23" s="2">
        <f>--201.75</f>
        <v>201.75</v>
      </c>
      <c r="U23" s="2"/>
      <c r="V23" s="19"/>
      <c r="W23" s="2"/>
      <c r="X23" s="2">
        <f t="shared" si="2"/>
        <v>-111.75</v>
      </c>
      <c r="Y23" s="2"/>
      <c r="Z23" s="19">
        <f t="shared" si="3"/>
        <v>-0.55390334572490707</v>
      </c>
    </row>
    <row r="24" spans="1:26" s="24" customFormat="1" hidden="1" outlineLevel="1" x14ac:dyDescent="0.25">
      <c r="A24" s="44"/>
      <c r="B24" s="11" t="str">
        <f>CONCATENATE("          ", "4240", " - ", "SALES RETURN TAXABLE-LOGO CLOT")</f>
        <v xml:space="preserve">          4240 - SALES RETURN TAXABLE-LOGO CLOT</v>
      </c>
      <c r="C24" s="11"/>
      <c r="D24" s="2">
        <f>-8248.29</f>
        <v>-8248.2900000000009</v>
      </c>
      <c r="E24" s="2"/>
      <c r="F24" s="19"/>
      <c r="G24" s="2"/>
      <c r="H24" s="2">
        <f>-7461.28</f>
        <v>-7461.28</v>
      </c>
      <c r="I24" s="2"/>
      <c r="J24" s="19"/>
      <c r="K24" s="2"/>
      <c r="L24" s="2">
        <f t="shared" si="0"/>
        <v>-787.01000000000113</v>
      </c>
      <c r="M24" s="2"/>
      <c r="N24" s="19">
        <f t="shared" si="1"/>
        <v>0.10547922072352213</v>
      </c>
      <c r="O24" s="11"/>
      <c r="P24" s="2">
        <f>-16436.94</f>
        <v>-16436.939999999999</v>
      </c>
      <c r="Q24" s="2"/>
      <c r="R24" s="19"/>
      <c r="S24" s="2"/>
      <c r="T24" s="2">
        <f>-15391.32</f>
        <v>-15391.32</v>
      </c>
      <c r="U24" s="2"/>
      <c r="V24" s="19"/>
      <c r="W24" s="2"/>
      <c r="X24" s="2">
        <f t="shared" si="2"/>
        <v>-1045.619999999999</v>
      </c>
      <c r="Y24" s="2"/>
      <c r="Z24" s="19">
        <f t="shared" si="3"/>
        <v>6.7935693624718282E-2</v>
      </c>
    </row>
    <row r="25" spans="1:26" s="24" customFormat="1" hidden="1" outlineLevel="1" x14ac:dyDescent="0.25">
      <c r="A25" s="44"/>
      <c r="B25" s="11" t="str">
        <f>CONCATENATE("          ", "4241", " - ", "SALES RETURN TAXABLE-LOGO GIFT")</f>
        <v xml:space="preserve">          4241 - SALES RETURN TAXABLE-LOGO GIFT</v>
      </c>
      <c r="C25" s="11"/>
      <c r="D25" s="2">
        <f>-210.33</f>
        <v>-210.33</v>
      </c>
      <c r="E25" s="2"/>
      <c r="F25" s="19"/>
      <c r="G25" s="2"/>
      <c r="H25" s="2">
        <f>-657.53</f>
        <v>-657.53</v>
      </c>
      <c r="I25" s="2"/>
      <c r="J25" s="19"/>
      <c r="K25" s="2"/>
      <c r="L25" s="2">
        <f t="shared" si="0"/>
        <v>447.19999999999993</v>
      </c>
      <c r="M25" s="2"/>
      <c r="N25" s="19">
        <f t="shared" si="1"/>
        <v>-0.6801210591151734</v>
      </c>
      <c r="O25" s="11"/>
      <c r="P25" s="2">
        <f>-1100.63</f>
        <v>-1100.6300000000001</v>
      </c>
      <c r="Q25" s="2"/>
      <c r="R25" s="19"/>
      <c r="S25" s="2"/>
      <c r="T25" s="2">
        <f>-1609.99</f>
        <v>-1609.99</v>
      </c>
      <c r="U25" s="2"/>
      <c r="V25" s="19"/>
      <c r="W25" s="2"/>
      <c r="X25" s="2">
        <f t="shared" si="2"/>
        <v>509.3599999999999</v>
      </c>
      <c r="Y25" s="2"/>
      <c r="Z25" s="19">
        <f t="shared" si="3"/>
        <v>-0.31637463586730347</v>
      </c>
    </row>
    <row r="26" spans="1:26" s="24" customFormat="1" hidden="1" outlineLevel="1" x14ac:dyDescent="0.25">
      <c r="A26" s="44"/>
      <c r="B26" s="11" t="str">
        <f>CONCATENATE("          ", "4242", " - ", "SALES RETURN TAXABLE-EVERYDAY")</f>
        <v xml:space="preserve">          4242 - SALES RETURN TAXABLE-EVERYDAY</v>
      </c>
      <c r="C26" s="11"/>
      <c r="D26" s="2">
        <f>-74.81</f>
        <v>-74.81</v>
      </c>
      <c r="E26" s="2"/>
      <c r="F26" s="19"/>
      <c r="G26" s="2"/>
      <c r="H26" s="2">
        <f>-316.56</f>
        <v>-316.56</v>
      </c>
      <c r="I26" s="2"/>
      <c r="J26" s="19"/>
      <c r="K26" s="2"/>
      <c r="L26" s="2">
        <f t="shared" si="0"/>
        <v>241.75</v>
      </c>
      <c r="M26" s="2"/>
      <c r="N26" s="19">
        <f t="shared" si="1"/>
        <v>-0.76367829163507706</v>
      </c>
      <c r="O26" s="11"/>
      <c r="P26" s="2">
        <f>-739.13</f>
        <v>-739.13</v>
      </c>
      <c r="Q26" s="2"/>
      <c r="R26" s="19"/>
      <c r="S26" s="2"/>
      <c r="T26" s="2">
        <f>-634.51</f>
        <v>-634.51</v>
      </c>
      <c r="U26" s="2"/>
      <c r="V26" s="19"/>
      <c r="W26" s="2"/>
      <c r="X26" s="2">
        <f t="shared" si="2"/>
        <v>-104.62</v>
      </c>
      <c r="Y26" s="2"/>
      <c r="Z26" s="19">
        <f t="shared" si="3"/>
        <v>0.1648831381696112</v>
      </c>
    </row>
    <row r="27" spans="1:26" s="24" customFormat="1" hidden="1" outlineLevel="1" x14ac:dyDescent="0.25">
      <c r="A27" s="44"/>
      <c r="B27" s="11" t="str">
        <f>CONCATENATE("          ", "4243", " - ", "SALES RETURN TAXABLE-CARDS")</f>
        <v xml:space="preserve">          4243 - SALES RETURN TAXABLE-CARDS</v>
      </c>
      <c r="C27" s="11"/>
      <c r="D27" s="2">
        <f>-4.5</f>
        <v>-4.5</v>
      </c>
      <c r="E27" s="2"/>
      <c r="F27" s="19"/>
      <c r="G27" s="2"/>
      <c r="H27" s="2">
        <f>-12.95</f>
        <v>-12.95</v>
      </c>
      <c r="I27" s="2"/>
      <c r="J27" s="19"/>
      <c r="K27" s="2"/>
      <c r="L27" s="2">
        <f t="shared" si="0"/>
        <v>8.4499999999999993</v>
      </c>
      <c r="M27" s="2"/>
      <c r="N27" s="19">
        <f t="shared" si="1"/>
        <v>-0.65250965250965254</v>
      </c>
      <c r="O27" s="11"/>
      <c r="P27" s="2">
        <f>-4.5</f>
        <v>-4.5</v>
      </c>
      <c r="Q27" s="2"/>
      <c r="R27" s="19"/>
      <c r="S27" s="2"/>
      <c r="T27" s="2">
        <f>-12.95</f>
        <v>-12.95</v>
      </c>
      <c r="U27" s="2"/>
      <c r="V27" s="19"/>
      <c r="W27" s="2"/>
      <c r="X27" s="2">
        <f t="shared" si="2"/>
        <v>8.4499999999999993</v>
      </c>
      <c r="Y27" s="2"/>
      <c r="Z27" s="19">
        <f t="shared" si="3"/>
        <v>-0.65250965250965254</v>
      </c>
    </row>
    <row r="28" spans="1:26" s="24" customFormat="1" hidden="1" outlineLevel="1" x14ac:dyDescent="0.25">
      <c r="A28" s="44"/>
      <c r="B28" s="11" t="str">
        <f>CONCATENATE("          ", "4244", " - ", "SALES RETURN TAXABLE-ACCESSORI")</f>
        <v xml:space="preserve">          4244 - SALES RETURN TAXABLE-ACCESSORI</v>
      </c>
      <c r="C28" s="11"/>
      <c r="D28" s="2">
        <f>-704.04</f>
        <v>-704.04</v>
      </c>
      <c r="E28" s="2"/>
      <c r="F28" s="19"/>
      <c r="G28" s="2"/>
      <c r="H28" s="2">
        <f>-264.1</f>
        <v>-264.10000000000002</v>
      </c>
      <c r="I28" s="2"/>
      <c r="J28" s="19"/>
      <c r="K28" s="2"/>
      <c r="L28" s="2">
        <f t="shared" si="0"/>
        <v>-439.93999999999994</v>
      </c>
      <c r="M28" s="2"/>
      <c r="N28" s="19">
        <f t="shared" si="1"/>
        <v>1.6658084059068532</v>
      </c>
      <c r="O28" s="11"/>
      <c r="P28" s="2">
        <f>-1231.56</f>
        <v>-1231.56</v>
      </c>
      <c r="Q28" s="2"/>
      <c r="R28" s="19"/>
      <c r="S28" s="2"/>
      <c r="T28" s="2">
        <f>-1923.41</f>
        <v>-1923.41</v>
      </c>
      <c r="U28" s="2"/>
      <c r="V28" s="19"/>
      <c r="W28" s="2"/>
      <c r="X28" s="2">
        <f t="shared" si="2"/>
        <v>691.85000000000014</v>
      </c>
      <c r="Y28" s="2"/>
      <c r="Z28" s="19">
        <f t="shared" si="3"/>
        <v>-0.359699700011958</v>
      </c>
    </row>
    <row r="29" spans="1:26" s="24" customFormat="1" hidden="1" outlineLevel="1" x14ac:dyDescent="0.25">
      <c r="A29" s="44"/>
      <c r="B29" s="11" t="str">
        <f>CONCATENATE("          ", "4245", " - ", "SALES RETURN TAXABLE-SPECIAL O")</f>
        <v xml:space="preserve">          4245 - SALES RETURN TAXABLE-SPECIAL O</v>
      </c>
      <c r="C29" s="11"/>
      <c r="D29" s="2">
        <f>-71.98</f>
        <v>-71.98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-71.98</v>
      </c>
      <c r="M29" s="2"/>
      <c r="N29" s="19">
        <f t="shared" si="1"/>
        <v>0</v>
      </c>
      <c r="O29" s="11"/>
      <c r="P29" s="2">
        <f>-81.97</f>
        <v>-81.97</v>
      </c>
      <c r="Q29" s="2"/>
      <c r="R29" s="19"/>
      <c r="S29" s="2"/>
      <c r="T29" s="2">
        <f>-154.9</f>
        <v>-154.9</v>
      </c>
      <c r="U29" s="2"/>
      <c r="V29" s="19"/>
      <c r="W29" s="2"/>
      <c r="X29" s="2">
        <f t="shared" si="2"/>
        <v>72.930000000000007</v>
      </c>
      <c r="Y29" s="2"/>
      <c r="Z29" s="19">
        <f t="shared" si="3"/>
        <v>-0.47081988379599743</v>
      </c>
    </row>
    <row r="30" spans="1:26" s="24" customFormat="1" hidden="1" outlineLevel="1" x14ac:dyDescent="0.25">
      <c r="A30" s="44"/>
      <c r="B30" s="11" t="str">
        <f>CONCATENATE("          ", "4340", " - ", "SALES RETURN NON TAXABLE-LOGO")</f>
        <v xml:space="preserve">          4340 - SALES RETURN NON TAXABLE-LOGO</v>
      </c>
      <c r="C30" s="11"/>
      <c r="D30" s="2">
        <f>-24.95</f>
        <v>-24.95</v>
      </c>
      <c r="E30" s="2"/>
      <c r="F30" s="19"/>
      <c r="G30" s="2"/>
      <c r="H30" s="2">
        <f>-34.95</f>
        <v>-34.950000000000003</v>
      </c>
      <c r="I30" s="2"/>
      <c r="J30" s="19"/>
      <c r="K30" s="2"/>
      <c r="L30" s="2">
        <f t="shared" si="0"/>
        <v>10.000000000000004</v>
      </c>
      <c r="M30" s="2"/>
      <c r="N30" s="19">
        <f t="shared" si="1"/>
        <v>-0.28612303290414887</v>
      </c>
      <c r="O30" s="11"/>
      <c r="P30" s="2">
        <f>-293.45</f>
        <v>-293.45</v>
      </c>
      <c r="Q30" s="2"/>
      <c r="R30" s="19"/>
      <c r="S30" s="2"/>
      <c r="T30" s="2">
        <f>-226.69</f>
        <v>-226.69</v>
      </c>
      <c r="U30" s="2"/>
      <c r="V30" s="19"/>
      <c r="W30" s="2"/>
      <c r="X30" s="2">
        <f t="shared" si="2"/>
        <v>-66.759999999999991</v>
      </c>
      <c r="Y30" s="2"/>
      <c r="Z30" s="19">
        <f t="shared" si="3"/>
        <v>0.29449909568132687</v>
      </c>
    </row>
    <row r="31" spans="1:26" s="24" customFormat="1" hidden="1" outlineLevel="1" x14ac:dyDescent="0.25">
      <c r="A31" s="44"/>
      <c r="B31" s="11" t="str">
        <f>CONCATENATE("          ", "4341", " - ", "SALES RETURN NON TAXABLE-LOGO")</f>
        <v xml:space="preserve">          4341 - SALES RETURN NON TAXABLE-LOGO</v>
      </c>
      <c r="C31" s="11"/>
      <c r="D31" s="2">
        <f>0</f>
        <v>0</v>
      </c>
      <c r="E31" s="2"/>
      <c r="F31" s="19"/>
      <c r="G31" s="2"/>
      <c r="H31" s="2">
        <f>-39.95</f>
        <v>-39.950000000000003</v>
      </c>
      <c r="I31" s="2"/>
      <c r="J31" s="19"/>
      <c r="K31" s="2"/>
      <c r="L31" s="2">
        <f t="shared" si="0"/>
        <v>39.950000000000003</v>
      </c>
      <c r="M31" s="2"/>
      <c r="N31" s="19">
        <f t="shared" si="1"/>
        <v>-1</v>
      </c>
      <c r="O31" s="11"/>
      <c r="P31" s="2">
        <f>-3.95</f>
        <v>-3.95</v>
      </c>
      <c r="Q31" s="2"/>
      <c r="R31" s="19"/>
      <c r="S31" s="2"/>
      <c r="T31" s="2">
        <f>-39.95</f>
        <v>-39.950000000000003</v>
      </c>
      <c r="U31" s="2"/>
      <c r="V31" s="19"/>
      <c r="W31" s="2"/>
      <c r="X31" s="2">
        <f t="shared" si="2"/>
        <v>36</v>
      </c>
      <c r="Y31" s="2"/>
      <c r="Z31" s="19">
        <f t="shared" si="3"/>
        <v>-0.90112640801001243</v>
      </c>
    </row>
    <row r="32" spans="1:26" s="24" customFormat="1" hidden="1" outlineLevel="1" x14ac:dyDescent="0.25">
      <c r="A32" s="44"/>
      <c r="B32" s="11" t="str">
        <f>CONCATENATE("          ", "4342", " - ", "SALES RETURN NON TAXABLE-EVERY")</f>
        <v xml:space="preserve">          4342 - SALES RETURN NON TAXABLE-EVERY</v>
      </c>
      <c r="C32" s="11"/>
      <c r="D32" s="2">
        <f>-10</f>
        <v>-10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-10</v>
      </c>
      <c r="M32" s="2"/>
      <c r="N32" s="19">
        <f t="shared" si="1"/>
        <v>0</v>
      </c>
      <c r="O32" s="11"/>
      <c r="P32" s="2">
        <f>-10</f>
        <v>-10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-10</v>
      </c>
      <c r="Y32" s="2"/>
      <c r="Z32" s="19">
        <f t="shared" si="3"/>
        <v>0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5" t="s">
        <v>8</v>
      </c>
      <c r="C34" s="10"/>
      <c r="D34" s="4">
        <f>SUM(OSRRefD16x_0)</f>
        <v>123485.38</v>
      </c>
      <c r="E34" s="4"/>
      <c r="F34" s="12">
        <f t="shared" ref="F34:F48" si="5">IF(D$12=0,0,D34/D$12)</f>
        <v>0.45354199469715406</v>
      </c>
      <c r="G34" s="4"/>
      <c r="H34" s="4">
        <f>SUM(OSRRefH16x_0)</f>
        <v>112979.61</v>
      </c>
      <c r="I34" s="4"/>
      <c r="J34" s="12">
        <f t="shared" ref="J34:J48" si="6">IF(H$12=0,0,H34/H$12)</f>
        <v>0.47189644005159059</v>
      </c>
      <c r="K34" s="4"/>
      <c r="L34" s="4">
        <f t="shared" ref="L34:L48" si="7">+D34-H34</f>
        <v>10505.770000000004</v>
      </c>
      <c r="M34" s="4"/>
      <c r="N34" s="12">
        <f t="shared" ref="N34:N48" si="8">IF(H34=0,0,L34/H34)</f>
        <v>9.2988194949513492E-2</v>
      </c>
      <c r="O34" s="10"/>
      <c r="P34" s="4">
        <f>SUM(OSRRefP16x_0)</f>
        <v>325008.66000000009</v>
      </c>
      <c r="Q34" s="4"/>
      <c r="R34" s="12">
        <f t="shared" ref="R34:R48" si="9">IF(P$12=0,0,P34/P$12)</f>
        <v>0.46032302541272319</v>
      </c>
      <c r="S34" s="4"/>
      <c r="T34" s="4">
        <f>SUM(OSRRefT16x_0)</f>
        <v>299058.74000000011</v>
      </c>
      <c r="U34" s="4"/>
      <c r="V34" s="12">
        <f t="shared" ref="V34:V48" si="10">IF(T$12=0,0,T34/T$12)</f>
        <v>0.47327287549932157</v>
      </c>
      <c r="W34" s="4"/>
      <c r="X34" s="4">
        <f t="shared" ref="X34:X48" si="11">+P34-T34</f>
        <v>25949.919999999984</v>
      </c>
      <c r="Y34" s="4"/>
      <c r="Z34" s="12">
        <f t="shared" ref="Z34:Z48" si="12">IF(T34=0,0,X34/T34)</f>
        <v>8.6771983323409893E-2</v>
      </c>
    </row>
    <row r="35" spans="1:26" s="24" customFormat="1" hidden="1" outlineLevel="1" x14ac:dyDescent="0.25">
      <c r="A35" s="44"/>
      <c r="B35" s="11" t="str">
        <f>CONCATENATE("          ", "5040", " - ", "PURCHASES @ COST-LOGO CLOTHING")</f>
        <v xml:space="preserve">          5040 - PURCHASES @ COST-LOGO CLOTHING</v>
      </c>
      <c r="C35" s="11"/>
      <c r="D35" s="2">
        <v>123711.69000000002</v>
      </c>
      <c r="E35" s="2"/>
      <c r="F35" s="19">
        <f t="shared" si="5"/>
        <v>0.45437319502888496</v>
      </c>
      <c r="G35" s="2"/>
      <c r="H35" s="2">
        <v>108285.52</v>
      </c>
      <c r="I35" s="2"/>
      <c r="J35" s="19">
        <f t="shared" si="6"/>
        <v>0.45229003177772803</v>
      </c>
      <c r="K35" s="2"/>
      <c r="L35" s="2">
        <f t="shared" si="7"/>
        <v>15426.170000000013</v>
      </c>
      <c r="M35" s="2"/>
      <c r="N35" s="19">
        <f t="shared" si="8"/>
        <v>0.14245828989877882</v>
      </c>
      <c r="O35" s="11"/>
      <c r="P35" s="2">
        <v>251429.50000000003</v>
      </c>
      <c r="Q35" s="2"/>
      <c r="R35" s="19">
        <f t="shared" si="9"/>
        <v>0.3561098590973184</v>
      </c>
      <c r="S35" s="2"/>
      <c r="T35" s="2">
        <v>233606.64</v>
      </c>
      <c r="U35" s="2"/>
      <c r="V35" s="19">
        <f t="shared" si="10"/>
        <v>0.36969220912431716</v>
      </c>
      <c r="W35" s="2"/>
      <c r="X35" s="2">
        <f t="shared" si="11"/>
        <v>17822.860000000015</v>
      </c>
      <c r="Y35" s="2"/>
      <c r="Z35" s="19">
        <f t="shared" si="12"/>
        <v>7.6294321086078781E-2</v>
      </c>
    </row>
    <row r="36" spans="1:26" s="24" customFormat="1" hidden="1" outlineLevel="1" x14ac:dyDescent="0.25">
      <c r="A36" s="44"/>
      <c r="B36" s="11" t="str">
        <f>CONCATENATE("          ", "5041", " - ", "PURCHASES @ COST-LOGO GIFTS")</f>
        <v xml:space="preserve">          5041 - PURCHASES @ COST-LOGO GIFTS</v>
      </c>
      <c r="C36" s="11"/>
      <c r="D36" s="2">
        <v>11249.19</v>
      </c>
      <c r="E36" s="2"/>
      <c r="F36" s="19">
        <f t="shared" si="5"/>
        <v>4.131647059212417E-2</v>
      </c>
      <c r="G36" s="2"/>
      <c r="H36" s="2">
        <v>1618.45</v>
      </c>
      <c r="I36" s="2"/>
      <c r="J36" s="19">
        <f t="shared" si="6"/>
        <v>6.7599878721611517E-3</v>
      </c>
      <c r="K36" s="2"/>
      <c r="L36" s="2">
        <f t="shared" si="7"/>
        <v>9630.74</v>
      </c>
      <c r="M36" s="2"/>
      <c r="N36" s="19">
        <f t="shared" si="8"/>
        <v>5.9505947048101575</v>
      </c>
      <c r="O36" s="11"/>
      <c r="P36" s="2">
        <v>31311.73</v>
      </c>
      <c r="Q36" s="2"/>
      <c r="R36" s="19">
        <f t="shared" si="9"/>
        <v>4.4348080708084277E-2</v>
      </c>
      <c r="S36" s="2"/>
      <c r="T36" s="2">
        <v>35555.760000000002</v>
      </c>
      <c r="U36" s="2"/>
      <c r="V36" s="19">
        <f t="shared" si="10"/>
        <v>5.6268466776004444E-2</v>
      </c>
      <c r="W36" s="2"/>
      <c r="X36" s="2">
        <f t="shared" si="11"/>
        <v>-4244.0300000000025</v>
      </c>
      <c r="Y36" s="2"/>
      <c r="Z36" s="19">
        <f t="shared" si="12"/>
        <v>-0.11936265741471992</v>
      </c>
    </row>
    <row r="37" spans="1:26" s="24" customFormat="1" hidden="1" outlineLevel="1" x14ac:dyDescent="0.25">
      <c r="A37" s="44"/>
      <c r="B37" s="11" t="str">
        <f>CONCATENATE("          ", "5042", " - ", "PURCHASES @ COST-EVERYDAY GIFT")</f>
        <v xml:space="preserve">          5042 - PURCHASES @ COST-EVERYDAY GIFT</v>
      </c>
      <c r="C37" s="11"/>
      <c r="D37" s="2">
        <v>10312.81</v>
      </c>
      <c r="E37" s="2"/>
      <c r="F37" s="19">
        <f t="shared" si="5"/>
        <v>3.7877297039801451E-2</v>
      </c>
      <c r="G37" s="2"/>
      <c r="H37" s="2">
        <v>10793.06</v>
      </c>
      <c r="I37" s="2"/>
      <c r="J37" s="19">
        <f t="shared" si="6"/>
        <v>4.5080759185336362E-2</v>
      </c>
      <c r="K37" s="2"/>
      <c r="L37" s="2">
        <f t="shared" si="7"/>
        <v>-480.25</v>
      </c>
      <c r="M37" s="2"/>
      <c r="N37" s="19">
        <f t="shared" si="8"/>
        <v>-4.4496185511801102E-2</v>
      </c>
      <c r="O37" s="11"/>
      <c r="P37" s="2">
        <v>27656.510000000002</v>
      </c>
      <c r="Q37" s="2"/>
      <c r="R37" s="19">
        <f t="shared" si="9"/>
        <v>3.9171043490217244E-2</v>
      </c>
      <c r="S37" s="2"/>
      <c r="T37" s="2">
        <v>30905.31</v>
      </c>
      <c r="U37" s="2"/>
      <c r="V37" s="19">
        <f t="shared" si="10"/>
        <v>4.8908936524971428E-2</v>
      </c>
      <c r="W37" s="2"/>
      <c r="X37" s="2">
        <f t="shared" si="11"/>
        <v>-3248.7999999999993</v>
      </c>
      <c r="Y37" s="2"/>
      <c r="Z37" s="19">
        <f t="shared" si="12"/>
        <v>-0.10512109407736078</v>
      </c>
    </row>
    <row r="38" spans="1:26" s="24" customFormat="1" hidden="1" outlineLevel="1" x14ac:dyDescent="0.25">
      <c r="A38" s="44"/>
      <c r="B38" s="11" t="str">
        <f>CONCATENATE("          ", "5043", " - ", "PURCHASES @ COST-CARDS")</f>
        <v xml:space="preserve">          5043 - PURCHASES @ COST-CARDS</v>
      </c>
      <c r="C38" s="11"/>
      <c r="D38" s="2">
        <v>495.49</v>
      </c>
      <c r="E38" s="2"/>
      <c r="F38" s="19">
        <f t="shared" si="5"/>
        <v>1.8198552974651157E-3</v>
      </c>
      <c r="G38" s="2"/>
      <c r="H38" s="2">
        <v>674.24</v>
      </c>
      <c r="I38" s="2"/>
      <c r="J38" s="19">
        <f t="shared" si="6"/>
        <v>2.8161847588284686E-3</v>
      </c>
      <c r="K38" s="2"/>
      <c r="L38" s="2">
        <f t="shared" si="7"/>
        <v>-178.75</v>
      </c>
      <c r="M38" s="2"/>
      <c r="N38" s="19">
        <f t="shared" si="8"/>
        <v>-0.26511331276696726</v>
      </c>
      <c r="O38" s="11"/>
      <c r="P38" s="2">
        <v>1008.99</v>
      </c>
      <c r="Q38" s="2"/>
      <c r="R38" s="19">
        <f t="shared" si="9"/>
        <v>1.4290737034858808E-3</v>
      </c>
      <c r="S38" s="2"/>
      <c r="T38" s="2">
        <v>1138.05</v>
      </c>
      <c r="U38" s="2"/>
      <c r="V38" s="19">
        <f t="shared" si="10"/>
        <v>1.8010113864654238E-3</v>
      </c>
      <c r="W38" s="2"/>
      <c r="X38" s="2">
        <f t="shared" si="11"/>
        <v>-129.05999999999995</v>
      </c>
      <c r="Y38" s="2"/>
      <c r="Z38" s="19">
        <f t="shared" si="12"/>
        <v>-0.11340450771055749</v>
      </c>
    </row>
    <row r="39" spans="1:26" s="24" customFormat="1" hidden="1" outlineLevel="1" x14ac:dyDescent="0.25">
      <c r="A39" s="44"/>
      <c r="B39" s="11" t="str">
        <f>CONCATENATE("          ", "5044", " - ", "PURCHASES @ COST-ACCESSORIES")</f>
        <v xml:space="preserve">          5044 - PURCHASES @ COST-ACCESSORIES</v>
      </c>
      <c r="C39" s="11"/>
      <c r="D39" s="2">
        <v>2061.4299999999998</v>
      </c>
      <c r="E39" s="2"/>
      <c r="F39" s="19">
        <f t="shared" si="5"/>
        <v>7.571301753523811E-3</v>
      </c>
      <c r="G39" s="2"/>
      <c r="H39" s="2">
        <v>6436.21</v>
      </c>
      <c r="I39" s="2"/>
      <c r="J39" s="19">
        <f t="shared" si="6"/>
        <v>2.6882944510292148E-2</v>
      </c>
      <c r="K39" s="2"/>
      <c r="L39" s="2">
        <f t="shared" si="7"/>
        <v>-4374.7800000000007</v>
      </c>
      <c r="M39" s="2"/>
      <c r="N39" s="19">
        <f t="shared" si="8"/>
        <v>-0.67971368243112029</v>
      </c>
      <c r="O39" s="11"/>
      <c r="P39" s="2">
        <v>18656.22</v>
      </c>
      <c r="Q39" s="2"/>
      <c r="R39" s="19">
        <f t="shared" si="9"/>
        <v>2.6423565554115857E-2</v>
      </c>
      <c r="S39" s="2"/>
      <c r="T39" s="2">
        <v>11922.4</v>
      </c>
      <c r="U39" s="2"/>
      <c r="V39" s="19">
        <f t="shared" si="10"/>
        <v>1.8867693118927435E-2</v>
      </c>
      <c r="W39" s="2"/>
      <c r="X39" s="2">
        <f t="shared" si="11"/>
        <v>6733.8200000000015</v>
      </c>
      <c r="Y39" s="2"/>
      <c r="Z39" s="19">
        <f t="shared" si="12"/>
        <v>0.56480406629537694</v>
      </c>
    </row>
    <row r="40" spans="1:26" s="24" customFormat="1" hidden="1" outlineLevel="1" x14ac:dyDescent="0.25">
      <c r="A40" s="44"/>
      <c r="B40" s="11" t="str">
        <f>CONCATENATE("          ", "5045", " - ", "PURCHASES @ COST-SPECIAL ORDER")</f>
        <v xml:space="preserve">          5045 - PURCHASES @ COST-SPECIAL ORDER</v>
      </c>
      <c r="C40" s="11"/>
      <c r="D40" s="2">
        <v>5585.6</v>
      </c>
      <c r="E40" s="2"/>
      <c r="F40" s="19">
        <f t="shared" si="5"/>
        <v>2.0515012915540476E-2</v>
      </c>
      <c r="G40" s="2"/>
      <c r="H40" s="2">
        <v>3158.4</v>
      </c>
      <c r="I40" s="2"/>
      <c r="J40" s="19">
        <f t="shared" si="6"/>
        <v>1.3192094717435683E-2</v>
      </c>
      <c r="K40" s="2"/>
      <c r="L40" s="2">
        <f t="shared" si="7"/>
        <v>2427.2000000000003</v>
      </c>
      <c r="M40" s="2"/>
      <c r="N40" s="19">
        <f t="shared" si="8"/>
        <v>0.7684903748733537</v>
      </c>
      <c r="O40" s="11"/>
      <c r="P40" s="2">
        <v>25432.230000000003</v>
      </c>
      <c r="Q40" s="2"/>
      <c r="R40" s="19">
        <f t="shared" si="9"/>
        <v>3.6020704976268074E-2</v>
      </c>
      <c r="S40" s="2"/>
      <c r="T40" s="2">
        <v>33065.449999999997</v>
      </c>
      <c r="U40" s="2"/>
      <c r="V40" s="19">
        <f t="shared" si="10"/>
        <v>5.2327447782261886E-2</v>
      </c>
      <c r="W40" s="2"/>
      <c r="X40" s="2">
        <f t="shared" si="11"/>
        <v>-7633.2199999999939</v>
      </c>
      <c r="Y40" s="2"/>
      <c r="Z40" s="19">
        <f t="shared" si="12"/>
        <v>-0.23085184081873963</v>
      </c>
    </row>
    <row r="41" spans="1:26" s="24" customFormat="1" hidden="1" outlineLevel="1" x14ac:dyDescent="0.25">
      <c r="A41" s="44"/>
      <c r="B41" s="11" t="str">
        <f>CONCATENATE("          ", "5200", " - ", "PURCHASES OFFSET")</f>
        <v xml:space="preserve">          5200 - PURCHASES OFFSET</v>
      </c>
      <c r="C41" s="11"/>
      <c r="D41" s="2">
        <v>-156307</v>
      </c>
      <c r="E41" s="2"/>
      <c r="F41" s="19">
        <f t="shared" si="5"/>
        <v>-0.57409054063831733</v>
      </c>
      <c r="G41" s="2"/>
      <c r="H41" s="2">
        <v>-135073</v>
      </c>
      <c r="I41" s="2"/>
      <c r="J41" s="19">
        <f t="shared" si="6"/>
        <v>-0.56417673814848979</v>
      </c>
      <c r="K41" s="2"/>
      <c r="L41" s="2">
        <f t="shared" si="7"/>
        <v>-21234</v>
      </c>
      <c r="M41" s="2"/>
      <c r="N41" s="19">
        <f t="shared" si="8"/>
        <v>0.15720388234510227</v>
      </c>
      <c r="O41" s="11"/>
      <c r="P41" s="2">
        <v>-361895</v>
      </c>
      <c r="Q41" s="2"/>
      <c r="R41" s="19">
        <f t="shared" si="9"/>
        <v>-0.51256665370620402</v>
      </c>
      <c r="S41" s="2"/>
      <c r="T41" s="2">
        <v>-356182</v>
      </c>
      <c r="U41" s="2"/>
      <c r="V41" s="19">
        <f t="shared" si="10"/>
        <v>-0.56367280669041575</v>
      </c>
      <c r="W41" s="2"/>
      <c r="X41" s="2">
        <f t="shared" si="11"/>
        <v>-5713</v>
      </c>
      <c r="Y41" s="2"/>
      <c r="Z41" s="19">
        <f t="shared" si="12"/>
        <v>1.6039552812887794E-2</v>
      </c>
    </row>
    <row r="42" spans="1:26" s="24" customFormat="1" hidden="1" outlineLevel="1" x14ac:dyDescent="0.25">
      <c r="A42" s="44"/>
      <c r="B42" s="11" t="str">
        <f>CONCATENATE("          ", "5300", " - ", "COG$ OFFSET")</f>
        <v xml:space="preserve">          5300 - COG$ OFFSET</v>
      </c>
      <c r="C42" s="11"/>
      <c r="D42" s="2">
        <v>123486.00000000001</v>
      </c>
      <c r="E42" s="2"/>
      <c r="F42" s="19">
        <f t="shared" si="5"/>
        <v>0.45354427185771118</v>
      </c>
      <c r="G42" s="2"/>
      <c r="H42" s="2">
        <v>112980</v>
      </c>
      <c r="I42" s="2"/>
      <c r="J42" s="19">
        <f t="shared" si="6"/>
        <v>0.47189806901465409</v>
      </c>
      <c r="K42" s="2"/>
      <c r="L42" s="2">
        <f t="shared" si="7"/>
        <v>10506.000000000015</v>
      </c>
      <c r="M42" s="2"/>
      <c r="N42" s="19">
        <f t="shared" si="8"/>
        <v>9.298990971853438E-2</v>
      </c>
      <c r="O42" s="11"/>
      <c r="P42" s="2">
        <v>325011</v>
      </c>
      <c r="Q42" s="2"/>
      <c r="R42" s="19">
        <f t="shared" si="9"/>
        <v>0.46032633965019432</v>
      </c>
      <c r="S42" s="2"/>
      <c r="T42" s="2">
        <v>299060</v>
      </c>
      <c r="U42" s="2"/>
      <c r="V42" s="19">
        <f t="shared" si="10"/>
        <v>0.47327486950164727</v>
      </c>
      <c r="W42" s="2"/>
      <c r="X42" s="2">
        <f t="shared" si="11"/>
        <v>25951</v>
      </c>
      <c r="Y42" s="2"/>
      <c r="Z42" s="19">
        <f t="shared" si="12"/>
        <v>8.6775229051026553E-2</v>
      </c>
    </row>
    <row r="43" spans="1:26" s="24" customFormat="1" hidden="1" outlineLevel="1" x14ac:dyDescent="0.25">
      <c r="A43" s="44"/>
      <c r="B43" s="11" t="str">
        <f>CONCATENATE("          ", "5540", " - ", "FREIGHT-IN-LOGO CLOTHING")</f>
        <v xml:space="preserve">          5540 - FREIGHT-IN-LOGO CLOTHING</v>
      </c>
      <c r="C43" s="11"/>
      <c r="D43" s="2">
        <v>2672.92</v>
      </c>
      <c r="E43" s="2"/>
      <c r="F43" s="19">
        <f t="shared" si="5"/>
        <v>9.8172064455396817E-3</v>
      </c>
      <c r="G43" s="2"/>
      <c r="H43" s="2">
        <v>2773.09</v>
      </c>
      <c r="I43" s="2"/>
      <c r="J43" s="19">
        <f t="shared" si="6"/>
        <v>1.1582720978968376E-2</v>
      </c>
      <c r="K43" s="2"/>
      <c r="L43" s="2">
        <f t="shared" si="7"/>
        <v>-100.17000000000007</v>
      </c>
      <c r="M43" s="2"/>
      <c r="N43" s="19">
        <f t="shared" si="8"/>
        <v>-3.6122159756805612E-2</v>
      </c>
      <c r="O43" s="11"/>
      <c r="P43" s="2">
        <v>5004.8599999999997</v>
      </c>
      <c r="Q43" s="2"/>
      <c r="R43" s="19">
        <f t="shared" si="9"/>
        <v>7.0885874147695663E-3</v>
      </c>
      <c r="S43" s="2"/>
      <c r="T43" s="2">
        <v>5681.28</v>
      </c>
      <c r="U43" s="2"/>
      <c r="V43" s="19">
        <f t="shared" si="10"/>
        <v>8.9908615348168203E-3</v>
      </c>
      <c r="W43" s="2"/>
      <c r="X43" s="2">
        <f t="shared" si="11"/>
        <v>-676.42000000000007</v>
      </c>
      <c r="Y43" s="2"/>
      <c r="Z43" s="19">
        <f t="shared" si="12"/>
        <v>-0.11906119747662501</v>
      </c>
    </row>
    <row r="44" spans="1:26" s="24" customFormat="1" hidden="1" outlineLevel="1" x14ac:dyDescent="0.25">
      <c r="A44" s="44"/>
      <c r="B44" s="11" t="str">
        <f>CONCATENATE("          ", "5541", " - ", "FREIGHT-IN-LOGO GIFTS")</f>
        <v xml:space="preserve">          5541 - FREIGHT-IN-LOGO GIFTS</v>
      </c>
      <c r="C44" s="11"/>
      <c r="D44" s="2">
        <v>97.6</v>
      </c>
      <c r="E44" s="2"/>
      <c r="F44" s="19">
        <f t="shared" si="5"/>
        <v>3.5846914575994528E-4</v>
      </c>
      <c r="G44" s="2"/>
      <c r="H44" s="2">
        <v>929.59</v>
      </c>
      <c r="I44" s="2"/>
      <c r="J44" s="19">
        <f t="shared" si="6"/>
        <v>3.8827378825927804E-3</v>
      </c>
      <c r="K44" s="2"/>
      <c r="L44" s="2">
        <f t="shared" si="7"/>
        <v>-831.99</v>
      </c>
      <c r="M44" s="2"/>
      <c r="N44" s="19">
        <f t="shared" si="8"/>
        <v>-0.8950074764143332</v>
      </c>
      <c r="O44" s="11"/>
      <c r="P44" s="2">
        <v>818.01</v>
      </c>
      <c r="Q44" s="2"/>
      <c r="R44" s="19">
        <f t="shared" si="9"/>
        <v>1.1585809375598225E-3</v>
      </c>
      <c r="S44" s="2"/>
      <c r="T44" s="2">
        <v>2171.12</v>
      </c>
      <c r="U44" s="2"/>
      <c r="V44" s="19">
        <f t="shared" si="10"/>
        <v>3.4358875632729763E-3</v>
      </c>
      <c r="W44" s="2"/>
      <c r="X44" s="2">
        <f t="shared" si="11"/>
        <v>-1353.11</v>
      </c>
      <c r="Y44" s="2"/>
      <c r="Z44" s="19">
        <f t="shared" si="12"/>
        <v>-0.62323132760971289</v>
      </c>
    </row>
    <row r="45" spans="1:26" s="24" customFormat="1" hidden="1" outlineLevel="1" x14ac:dyDescent="0.25">
      <c r="A45" s="44"/>
      <c r="B45" s="11" t="str">
        <f>CONCATENATE("          ", "5542", " - ", "FREIGHT-IN-EVERYDAY GIFTS")</f>
        <v xml:space="preserve">          5542 - FREIGHT-IN-EVERYDAY GIFTS</v>
      </c>
      <c r="C45" s="11"/>
      <c r="D45" s="2">
        <v>58.91</v>
      </c>
      <c r="E45" s="2"/>
      <c r="F45" s="19">
        <f t="shared" si="5"/>
        <v>2.1636698131883582E-4</v>
      </c>
      <c r="G45" s="2"/>
      <c r="H45" s="2">
        <v>54.74</v>
      </c>
      <c r="I45" s="2"/>
      <c r="J45" s="19">
        <f t="shared" si="6"/>
        <v>2.2863958486335782E-4</v>
      </c>
      <c r="K45" s="2"/>
      <c r="L45" s="2">
        <f t="shared" si="7"/>
        <v>4.1699999999999946</v>
      </c>
      <c r="M45" s="2"/>
      <c r="N45" s="19">
        <f t="shared" si="8"/>
        <v>7.6178297405918791E-2</v>
      </c>
      <c r="O45" s="11"/>
      <c r="P45" s="2">
        <v>171.68</v>
      </c>
      <c r="Q45" s="2"/>
      <c r="R45" s="19">
        <f t="shared" si="9"/>
        <v>2.4315738849191372E-4</v>
      </c>
      <c r="S45" s="2"/>
      <c r="T45" s="2">
        <v>477.53</v>
      </c>
      <c r="U45" s="2"/>
      <c r="V45" s="19">
        <f t="shared" si="10"/>
        <v>7.5571105608614186E-4</v>
      </c>
      <c r="W45" s="2"/>
      <c r="X45" s="2">
        <f t="shared" si="11"/>
        <v>-305.84999999999997</v>
      </c>
      <c r="Y45" s="2"/>
      <c r="Z45" s="19">
        <f t="shared" si="12"/>
        <v>-0.6404833204196595</v>
      </c>
    </row>
    <row r="46" spans="1:26" s="24" customFormat="1" hidden="1" outlineLevel="1" x14ac:dyDescent="0.25">
      <c r="A46" s="44"/>
      <c r="B46" s="11" t="str">
        <f>CONCATENATE("          ", "5543", " - ", "FREIGHT-IN-CARDS")</f>
        <v xml:space="preserve">          5543 - FREIGHT-IN-CARDS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4.58</v>
      </c>
      <c r="Q46" s="2"/>
      <c r="R46" s="19">
        <f t="shared" si="9"/>
        <v>6.4868408626104656E-6</v>
      </c>
      <c r="S46" s="2"/>
      <c r="T46" s="2"/>
      <c r="U46" s="2"/>
      <c r="V46" s="19">
        <f t="shared" si="10"/>
        <v>0</v>
      </c>
      <c r="W46" s="2"/>
      <c r="X46" s="2">
        <f t="shared" si="11"/>
        <v>4.58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"5544", " - ", "FREIGHT-IN-ACCESSORIES")</f>
        <v xml:space="preserve">          5544 - FREIGHT-IN-ACCESSORIES</v>
      </c>
      <c r="C47" s="11"/>
      <c r="D47" s="2">
        <v>34.18</v>
      </c>
      <c r="E47" s="2"/>
      <c r="F47" s="19">
        <f t="shared" si="5"/>
        <v>1.2553765780814479E-4</v>
      </c>
      <c r="G47" s="2"/>
      <c r="H47" s="2">
        <v>317.79000000000002</v>
      </c>
      <c r="I47" s="2"/>
      <c r="J47" s="19">
        <f t="shared" si="6"/>
        <v>1.3273542870611342E-3</v>
      </c>
      <c r="K47" s="2"/>
      <c r="L47" s="2">
        <f t="shared" si="7"/>
        <v>-283.61</v>
      </c>
      <c r="M47" s="2"/>
      <c r="N47" s="19">
        <f t="shared" si="8"/>
        <v>-0.89244469618301392</v>
      </c>
      <c r="O47" s="11"/>
      <c r="P47" s="2">
        <v>135.84</v>
      </c>
      <c r="Q47" s="2"/>
      <c r="R47" s="19">
        <f t="shared" si="9"/>
        <v>1.9239573423078727E-4</v>
      </c>
      <c r="S47" s="2"/>
      <c r="T47" s="2">
        <v>470.64</v>
      </c>
      <c r="U47" s="2"/>
      <c r="V47" s="19">
        <f t="shared" si="10"/>
        <v>7.4480734495504326E-4</v>
      </c>
      <c r="W47" s="2"/>
      <c r="X47" s="2">
        <f t="shared" si="11"/>
        <v>-334.79999999999995</v>
      </c>
      <c r="Y47" s="2"/>
      <c r="Z47" s="19">
        <f t="shared" si="12"/>
        <v>-0.71137174910759804</v>
      </c>
    </row>
    <row r="48" spans="1:26" s="24" customFormat="1" hidden="1" outlineLevel="1" x14ac:dyDescent="0.25">
      <c r="A48" s="44"/>
      <c r="B48" s="11" t="str">
        <f>CONCATENATE("          ", "5545", " - ", "FREIGHT-IN-SPECIAL ORDERS")</f>
        <v xml:space="preserve">          5545 - FREIGHT-IN-SPECIAL ORDERS</v>
      </c>
      <c r="C48" s="11"/>
      <c r="D48" s="2">
        <v>26.56</v>
      </c>
      <c r="E48" s="2"/>
      <c r="F48" s="19">
        <f t="shared" si="5"/>
        <v>9.7550619993690027E-5</v>
      </c>
      <c r="G48" s="2"/>
      <c r="H48" s="2">
        <v>31.52</v>
      </c>
      <c r="I48" s="2"/>
      <c r="J48" s="19">
        <f t="shared" si="6"/>
        <v>1.3165363015880596E-4</v>
      </c>
      <c r="K48" s="2"/>
      <c r="L48" s="2">
        <f t="shared" si="7"/>
        <v>-4.9600000000000009</v>
      </c>
      <c r="M48" s="2"/>
      <c r="N48" s="19">
        <f t="shared" si="8"/>
        <v>-0.15736040609137059</v>
      </c>
      <c r="O48" s="11"/>
      <c r="P48" s="2">
        <v>262.51</v>
      </c>
      <c r="Q48" s="2"/>
      <c r="R48" s="19">
        <f t="shared" si="9"/>
        <v>3.7180362332835663E-4</v>
      </c>
      <c r="S48" s="2"/>
      <c r="T48" s="2">
        <v>1186.56</v>
      </c>
      <c r="U48" s="2"/>
      <c r="V48" s="19">
        <f t="shared" si="10"/>
        <v>1.8777804760110831E-3</v>
      </c>
      <c r="W48" s="2"/>
      <c r="X48" s="2">
        <f t="shared" si="11"/>
        <v>-924.05</v>
      </c>
      <c r="Y48" s="2"/>
      <c r="Z48" s="19">
        <f t="shared" si="12"/>
        <v>-0.77876382146709822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6" t="s">
        <v>6</v>
      </c>
      <c r="C50" s="26"/>
      <c r="D50" s="21">
        <f>D12-D34</f>
        <v>148783.52000000008</v>
      </c>
      <c r="E50" s="13"/>
      <c r="F50" s="20">
        <f>IF(D$12=0,0,D50/D$12)</f>
        <v>0.54645800530284594</v>
      </c>
      <c r="G50" s="13"/>
      <c r="H50" s="21">
        <f>H12-H34</f>
        <v>126436.49999999996</v>
      </c>
      <c r="I50" s="13"/>
      <c r="J50" s="20">
        <f>IF(H$12=0,0,H50/H$12)</f>
        <v>0.52810355994840941</v>
      </c>
      <c r="K50" s="15"/>
      <c r="L50" s="21">
        <f>+D50-H50</f>
        <v>22347.02000000012</v>
      </c>
      <c r="M50" s="15"/>
      <c r="N50" s="20">
        <f>IF(H50=0,0,L50/H50)</f>
        <v>0.17674500638660615</v>
      </c>
      <c r="O50" s="25"/>
      <c r="P50" s="21">
        <f>P12-P34</f>
        <v>381036.10000000003</v>
      </c>
      <c r="Q50" s="13"/>
      <c r="R50" s="20">
        <f>IF(P$12=0,0,P50/P$12)</f>
        <v>0.53967697458727681</v>
      </c>
      <c r="S50" s="13"/>
      <c r="T50" s="21">
        <f>T12-T34</f>
        <v>332836.21000000008</v>
      </c>
      <c r="U50" s="13"/>
      <c r="V50" s="20">
        <f>IF(T$12=0,0,T50/T$12)</f>
        <v>0.52672712450067849</v>
      </c>
      <c r="W50" s="15"/>
      <c r="X50" s="21">
        <f>+P50-T50</f>
        <v>48199.889999999956</v>
      </c>
      <c r="Y50" s="15"/>
      <c r="Z50" s="20">
        <f>IF(T50=0,0,X50/T50)</f>
        <v>0.14481564370655448</v>
      </c>
    </row>
    <row r="51" spans="1:26" x14ac:dyDescent="0.25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25">
      <c r="A52" s="10"/>
      <c r="B52" s="25" t="s">
        <v>9</v>
      </c>
      <c r="C52" s="10"/>
      <c r="D52" s="22">
        <f>SUM(OSRRefD22x_0)</f>
        <v>49071.69999999999</v>
      </c>
      <c r="E52" s="22"/>
      <c r="F52" s="34">
        <f t="shared" ref="F52:F61" si="13">IF(D$12=0,0,D52/D$12)</f>
        <v>0.18023248340151951</v>
      </c>
      <c r="G52" s="22"/>
      <c r="H52" s="22">
        <f>SUM(OSRRefH22x_0)</f>
        <v>36071.140000000007</v>
      </c>
      <c r="I52" s="22"/>
      <c r="J52" s="34">
        <f t="shared" ref="J52:J61" si="14">IF(H$12=0,0,H52/H$12)</f>
        <v>0.15066296081746552</v>
      </c>
      <c r="K52" s="4"/>
      <c r="L52" s="22">
        <f t="shared" ref="L52:L61" si="15">+D52-H52</f>
        <v>13000.559999999983</v>
      </c>
      <c r="M52" s="4"/>
      <c r="N52" s="34">
        <f t="shared" ref="N52:N61" si="16">IF(H52=0,0,L52/H52)</f>
        <v>0.36041444767201647</v>
      </c>
      <c r="O52" s="10"/>
      <c r="P52" s="22">
        <f>SUM(OSRRefP22x_0)</f>
        <v>156074.66000000003</v>
      </c>
      <c r="Q52" s="22"/>
      <c r="R52" s="34">
        <f t="shared" ref="R52:R61" si="17">IF(P$12=0,0,P52/P$12)</f>
        <v>0.22105490875677627</v>
      </c>
      <c r="S52" s="22"/>
      <c r="T52" s="22">
        <f>SUM(OSRRefT22x_0)</f>
        <v>125253.5</v>
      </c>
      <c r="U52" s="22"/>
      <c r="V52" s="34">
        <f t="shared" ref="V52:V61" si="18">IF(T$12=0,0,T52/T$12)</f>
        <v>0.198218865335132</v>
      </c>
      <c r="W52" s="4"/>
      <c r="X52" s="22">
        <f t="shared" ref="X52:X61" si="19">+P52-T52</f>
        <v>30821.160000000033</v>
      </c>
      <c r="Y52" s="4"/>
      <c r="Z52" s="34">
        <f t="shared" ref="Z52:Z61" si="20">IF(T52=0,0,X52/T52)</f>
        <v>0.24607024953394541</v>
      </c>
    </row>
    <row r="53" spans="1:26" s="29" customFormat="1" outlineLevel="1" collapsed="1" x14ac:dyDescent="0.25">
      <c r="A53" s="27"/>
      <c r="B53" s="14" t="str">
        <f>CONCATENATE("     ","*Benefits                                         ")</f>
        <v xml:space="preserve">     *Benefits                                         </v>
      </c>
      <c r="C53" s="14"/>
      <c r="D53" s="1">
        <f>SUM(OSRRefD22_0x_0)</f>
        <v>7193.2</v>
      </c>
      <c r="E53" s="1"/>
      <c r="F53" s="5">
        <f t="shared" si="13"/>
        <v>2.6419469869676623E-2</v>
      </c>
      <c r="G53" s="1"/>
      <c r="H53" s="1">
        <f>SUM(OSRRefH22_0x_0)</f>
        <v>4458.67</v>
      </c>
      <c r="I53" s="1"/>
      <c r="J53" s="5">
        <f t="shared" si="14"/>
        <v>1.8623099339472187E-2</v>
      </c>
      <c r="K53" s="1"/>
      <c r="L53" s="1">
        <f t="shared" si="15"/>
        <v>2734.5299999999997</v>
      </c>
      <c r="M53" s="1"/>
      <c r="N53" s="5">
        <f t="shared" si="16"/>
        <v>0.61330621014786912</v>
      </c>
      <c r="O53" s="14"/>
      <c r="P53" s="1">
        <f>SUM(OSRRefP22_0x_0)</f>
        <v>21716.639999999999</v>
      </c>
      <c r="Q53" s="1"/>
      <c r="R53" s="5">
        <f t="shared" si="17"/>
        <v>3.0758163264323349E-2</v>
      </c>
      <c r="S53" s="1"/>
      <c r="T53" s="1">
        <f>SUM(OSRRefT22_0x_0)</f>
        <v>15397.089999999998</v>
      </c>
      <c r="U53" s="1"/>
      <c r="V53" s="5">
        <f t="shared" si="18"/>
        <v>2.4366534342456756E-2</v>
      </c>
      <c r="W53" s="1"/>
      <c r="X53" s="1">
        <f t="shared" si="19"/>
        <v>6319.5500000000011</v>
      </c>
      <c r="Y53" s="1"/>
      <c r="Z53" s="5">
        <f t="shared" si="20"/>
        <v>0.41043794639116882</v>
      </c>
    </row>
    <row r="54" spans="1:26" s="24" customFormat="1" hidden="1" outlineLevel="2" x14ac:dyDescent="0.25">
      <c r="A54" s="28"/>
      <c r="B54" s="11" t="str">
        <f>CONCATENATE("          ", "6111", " - ", "F.I.C.A.")</f>
        <v xml:space="preserve">          6111 - F.I.C.A.</v>
      </c>
      <c r="C54" s="11"/>
      <c r="D54" s="6">
        <v>1039.95</v>
      </c>
      <c r="E54" s="2"/>
      <c r="F54" s="7">
        <f t="shared" si="13"/>
        <v>3.8195695505435978E-3</v>
      </c>
      <c r="G54" s="2"/>
      <c r="H54" s="6">
        <v>995.89</v>
      </c>
      <c r="I54" s="2"/>
      <c r="J54" s="7">
        <f t="shared" si="14"/>
        <v>4.1596616033900144E-3</v>
      </c>
      <c r="K54" s="2"/>
      <c r="L54" s="6">
        <f t="shared" si="15"/>
        <v>44.060000000000059</v>
      </c>
      <c r="M54" s="2"/>
      <c r="N54" s="7">
        <f t="shared" si="16"/>
        <v>4.4241833937483113E-2</v>
      </c>
      <c r="O54" s="11"/>
      <c r="P54" s="6">
        <v>4437.76</v>
      </c>
      <c r="Q54" s="2"/>
      <c r="R54" s="7">
        <f t="shared" si="17"/>
        <v>6.2853805472616207E-3</v>
      </c>
      <c r="S54" s="2"/>
      <c r="T54" s="6">
        <v>3669</v>
      </c>
      <c r="U54" s="2"/>
      <c r="V54" s="7">
        <f t="shared" si="18"/>
        <v>5.8063448679246434E-3</v>
      </c>
      <c r="W54" s="2"/>
      <c r="X54" s="6">
        <f t="shared" si="19"/>
        <v>768.76000000000022</v>
      </c>
      <c r="Y54" s="2"/>
      <c r="Z54" s="7">
        <f t="shared" si="20"/>
        <v>0.2095284818751704</v>
      </c>
    </row>
    <row r="55" spans="1:26" s="24" customFormat="1" hidden="1" outlineLevel="2" x14ac:dyDescent="0.25">
      <c r="A55" s="28"/>
      <c r="B55" s="11" t="str">
        <f>CONCATENATE("          ", "6112", " - ", "COMPENSATION INSURANCE")</f>
        <v xml:space="preserve">          6112 - COMPENSATION INSURANCE</v>
      </c>
      <c r="C55" s="11"/>
      <c r="D55" s="6">
        <v>479.18</v>
      </c>
      <c r="E55" s="2"/>
      <c r="F55" s="7">
        <f t="shared" si="13"/>
        <v>1.7599512834554365E-3</v>
      </c>
      <c r="G55" s="2"/>
      <c r="H55" s="6"/>
      <c r="I55" s="2"/>
      <c r="J55" s="7">
        <f t="shared" si="14"/>
        <v>0</v>
      </c>
      <c r="K55" s="2"/>
      <c r="L55" s="6">
        <f t="shared" si="15"/>
        <v>479.18</v>
      </c>
      <c r="M55" s="2"/>
      <c r="N55" s="7">
        <f t="shared" si="16"/>
        <v>0</v>
      </c>
      <c r="O55" s="11"/>
      <c r="P55" s="6">
        <v>1361.29</v>
      </c>
      <c r="Q55" s="2"/>
      <c r="R55" s="7">
        <f t="shared" si="17"/>
        <v>1.9280505672189957E-3</v>
      </c>
      <c r="S55" s="2"/>
      <c r="T55" s="6">
        <v>500</v>
      </c>
      <c r="U55" s="2"/>
      <c r="V55" s="7">
        <f t="shared" si="18"/>
        <v>7.9127076423066817E-4</v>
      </c>
      <c r="W55" s="2"/>
      <c r="X55" s="6">
        <f t="shared" si="19"/>
        <v>861.29</v>
      </c>
      <c r="Y55" s="2"/>
      <c r="Z55" s="7">
        <f t="shared" si="20"/>
        <v>1.72258</v>
      </c>
    </row>
    <row r="56" spans="1:26" s="24" customFormat="1" hidden="1" outlineLevel="2" x14ac:dyDescent="0.25">
      <c r="A56" s="28"/>
      <c r="B56" s="11" t="str">
        <f>CONCATENATE("          ", "6113", " - ", "GROUP INSURANCE")</f>
        <v xml:space="preserve">          6113 - GROUP INSURANCE</v>
      </c>
      <c r="C56" s="11"/>
      <c r="D56" s="6">
        <v>3221.63</v>
      </c>
      <c r="E56" s="2"/>
      <c r="F56" s="7">
        <f t="shared" si="13"/>
        <v>1.1832530266952999E-2</v>
      </c>
      <c r="G56" s="2"/>
      <c r="H56" s="6">
        <v>1774.1</v>
      </c>
      <c r="I56" s="2"/>
      <c r="J56" s="7">
        <f t="shared" si="14"/>
        <v>7.4101112076376159E-3</v>
      </c>
      <c r="K56" s="2"/>
      <c r="L56" s="6">
        <f t="shared" si="15"/>
        <v>1447.5300000000002</v>
      </c>
      <c r="M56" s="2"/>
      <c r="N56" s="7">
        <f t="shared" si="16"/>
        <v>0.81592356687898104</v>
      </c>
      <c r="O56" s="11"/>
      <c r="P56" s="6">
        <v>7794.29</v>
      </c>
      <c r="Q56" s="2"/>
      <c r="R56" s="7">
        <f t="shared" si="17"/>
        <v>1.1039370931667276E-2</v>
      </c>
      <c r="S56" s="2"/>
      <c r="T56" s="6">
        <v>3990.5</v>
      </c>
      <c r="U56" s="2"/>
      <c r="V56" s="7">
        <f t="shared" si="18"/>
        <v>6.315131969324963E-3</v>
      </c>
      <c r="W56" s="2"/>
      <c r="X56" s="6">
        <f t="shared" si="19"/>
        <v>3803.79</v>
      </c>
      <c r="Y56" s="2"/>
      <c r="Z56" s="7">
        <f t="shared" si="20"/>
        <v>0.95321137702042347</v>
      </c>
    </row>
    <row r="57" spans="1:26" s="24" customFormat="1" hidden="1" outlineLevel="2" x14ac:dyDescent="0.25">
      <c r="A57" s="28"/>
      <c r="B57" s="11" t="str">
        <f>CONCATENATE("          ", "6114", " - ", "STATE UNEMPLOYMENT INSURANCE")</f>
        <v xml:space="preserve">          6114 - STATE UNEMPLOYMENT INSURANCE</v>
      </c>
      <c r="C57" s="11"/>
      <c r="D57" s="6">
        <v>65.569999999999993</v>
      </c>
      <c r="E57" s="2"/>
      <c r="F57" s="7">
        <f t="shared" si="13"/>
        <v>2.4082809310942225E-4</v>
      </c>
      <c r="G57" s="2"/>
      <c r="H57" s="6">
        <v>50.64</v>
      </c>
      <c r="I57" s="2"/>
      <c r="J57" s="7">
        <f t="shared" si="14"/>
        <v>2.1151458855462989E-4</v>
      </c>
      <c r="K57" s="2"/>
      <c r="L57" s="6">
        <f t="shared" si="15"/>
        <v>14.929999999999993</v>
      </c>
      <c r="M57" s="2"/>
      <c r="N57" s="7">
        <f t="shared" si="16"/>
        <v>0.29482622432859384</v>
      </c>
      <c r="O57" s="11"/>
      <c r="P57" s="6">
        <v>177.55</v>
      </c>
      <c r="Q57" s="2"/>
      <c r="R57" s="7">
        <f t="shared" si="17"/>
        <v>2.5147130898613281E-4</v>
      </c>
      <c r="S57" s="2"/>
      <c r="T57" s="6">
        <v>159.88</v>
      </c>
      <c r="U57" s="2"/>
      <c r="V57" s="7">
        <f t="shared" si="18"/>
        <v>2.5301673957039847E-4</v>
      </c>
      <c r="W57" s="2"/>
      <c r="X57" s="6">
        <f t="shared" si="19"/>
        <v>17.670000000000016</v>
      </c>
      <c r="Y57" s="2"/>
      <c r="Z57" s="7">
        <f t="shared" si="20"/>
        <v>0.11052039029271964</v>
      </c>
    </row>
    <row r="58" spans="1:26" s="24" customFormat="1" hidden="1" outlineLevel="2" x14ac:dyDescent="0.25">
      <c r="A58" s="28"/>
      <c r="B58" s="11" t="str">
        <f>CONCATENATE("          ", "6115", " - ", "P.E.R.S.")</f>
        <v xml:space="preserve">          6115 - P.E.R.S.</v>
      </c>
      <c r="C58" s="11"/>
      <c r="D58" s="6">
        <v>902.12</v>
      </c>
      <c r="E58" s="2"/>
      <c r="F58" s="7">
        <f t="shared" si="13"/>
        <v>3.3133420673459204E-3</v>
      </c>
      <c r="G58" s="2"/>
      <c r="H58" s="6">
        <v>616.73</v>
      </c>
      <c r="I58" s="2"/>
      <c r="J58" s="7">
        <f t="shared" si="14"/>
        <v>2.5759753593857996E-3</v>
      </c>
      <c r="K58" s="2"/>
      <c r="L58" s="6">
        <f t="shared" si="15"/>
        <v>285.39</v>
      </c>
      <c r="M58" s="2"/>
      <c r="N58" s="7">
        <f t="shared" si="16"/>
        <v>0.46274706921991793</v>
      </c>
      <c r="O58" s="11"/>
      <c r="P58" s="6">
        <v>2266.91</v>
      </c>
      <c r="Q58" s="2"/>
      <c r="R58" s="7">
        <f t="shared" si="17"/>
        <v>3.210717122240238E-3</v>
      </c>
      <c r="S58" s="2"/>
      <c r="T58" s="6">
        <v>2149.58</v>
      </c>
      <c r="U58" s="2"/>
      <c r="V58" s="7">
        <f t="shared" si="18"/>
        <v>3.4017996187499194E-3</v>
      </c>
      <c r="W58" s="2"/>
      <c r="X58" s="6">
        <f t="shared" si="19"/>
        <v>117.32999999999993</v>
      </c>
      <c r="Y58" s="2"/>
      <c r="Z58" s="7">
        <f t="shared" si="20"/>
        <v>5.4582755701113671E-2</v>
      </c>
    </row>
    <row r="59" spans="1:26" s="24" customFormat="1" hidden="1" outlineLevel="2" x14ac:dyDescent="0.25">
      <c r="A59" s="28"/>
      <c r="B59" s="11" t="str">
        <f>CONCATENATE("          ", "6118", " - ", "VACATION")</f>
        <v xml:space="preserve">          6118 - VACATION</v>
      </c>
      <c r="C59" s="11"/>
      <c r="D59" s="6">
        <v>753.6</v>
      </c>
      <c r="E59" s="2"/>
      <c r="F59" s="7">
        <f t="shared" si="13"/>
        <v>2.7678519287366271E-3</v>
      </c>
      <c r="G59" s="2"/>
      <c r="H59" s="6">
        <v>548.74</v>
      </c>
      <c r="I59" s="2"/>
      <c r="J59" s="7">
        <f t="shared" si="14"/>
        <v>2.2919927986466745E-3</v>
      </c>
      <c r="K59" s="2"/>
      <c r="L59" s="6">
        <f t="shared" si="15"/>
        <v>204.86</v>
      </c>
      <c r="M59" s="2"/>
      <c r="N59" s="7">
        <f t="shared" si="16"/>
        <v>0.37332798775376319</v>
      </c>
      <c r="O59" s="11"/>
      <c r="P59" s="6">
        <v>2272.61</v>
      </c>
      <c r="Q59" s="2"/>
      <c r="R59" s="7">
        <f t="shared" si="17"/>
        <v>3.2187902647985091E-3</v>
      </c>
      <c r="S59" s="2"/>
      <c r="T59" s="6">
        <v>2152.12</v>
      </c>
      <c r="U59" s="2"/>
      <c r="V59" s="7">
        <f t="shared" si="18"/>
        <v>3.4058192742322112E-3</v>
      </c>
      <c r="W59" s="2"/>
      <c r="X59" s="6">
        <f t="shared" si="19"/>
        <v>120.49000000000024</v>
      </c>
      <c r="Y59" s="2"/>
      <c r="Z59" s="7">
        <f t="shared" si="20"/>
        <v>5.5986655019236956E-2</v>
      </c>
    </row>
    <row r="60" spans="1:26" s="24" customFormat="1" hidden="1" outlineLevel="2" x14ac:dyDescent="0.25">
      <c r="A60" s="28"/>
      <c r="B60" s="11" t="str">
        <f>CONCATENATE("          ", "6119", " - ", "SICK LEAVE")</f>
        <v xml:space="preserve">          6119 - SICK LEAVE</v>
      </c>
      <c r="C60" s="11"/>
      <c r="D60" s="6">
        <v>465.7</v>
      </c>
      <c r="E60" s="2"/>
      <c r="F60" s="7">
        <f t="shared" si="13"/>
        <v>1.7104414055369522E-3</v>
      </c>
      <c r="G60" s="2"/>
      <c r="H60" s="6">
        <v>339.1</v>
      </c>
      <c r="I60" s="2"/>
      <c r="J60" s="7">
        <f t="shared" si="14"/>
        <v>1.4163624995828395E-3</v>
      </c>
      <c r="K60" s="2"/>
      <c r="L60" s="6">
        <f t="shared" si="15"/>
        <v>126.59999999999997</v>
      </c>
      <c r="M60" s="2"/>
      <c r="N60" s="7">
        <f t="shared" si="16"/>
        <v>0.37334119728693588</v>
      </c>
      <c r="O60" s="11"/>
      <c r="P60" s="6">
        <v>2846.2</v>
      </c>
      <c r="Q60" s="2"/>
      <c r="R60" s="7">
        <f t="shared" si="17"/>
        <v>4.0311891840964864E-3</v>
      </c>
      <c r="S60" s="2"/>
      <c r="T60" s="6">
        <v>2345.94</v>
      </c>
      <c r="U60" s="2"/>
      <c r="V60" s="7">
        <f t="shared" si="18"/>
        <v>3.7125474732785874E-3</v>
      </c>
      <c r="W60" s="2"/>
      <c r="X60" s="6">
        <f t="shared" si="19"/>
        <v>500.25999999999976</v>
      </c>
      <c r="Y60" s="2"/>
      <c r="Z60" s="7">
        <f t="shared" si="20"/>
        <v>0.21324501052882841</v>
      </c>
    </row>
    <row r="61" spans="1:26" s="24" customFormat="1" hidden="1" outlineLevel="2" x14ac:dyDescent="0.25">
      <c r="A61" s="28"/>
      <c r="B61" s="11" t="str">
        <f>CONCATENATE("          ", "6156", " - ", "EMPLOYEE MEALS")</f>
        <v xml:space="preserve">          6156 - EMPLOYEE MEALS</v>
      </c>
      <c r="C61" s="11"/>
      <c r="D61" s="6">
        <v>265.45</v>
      </c>
      <c r="E61" s="2"/>
      <c r="F61" s="7">
        <f t="shared" si="13"/>
        <v>9.7495527399567088E-4</v>
      </c>
      <c r="G61" s="2"/>
      <c r="H61" s="6">
        <v>133.47</v>
      </c>
      <c r="I61" s="2"/>
      <c r="J61" s="7">
        <f t="shared" si="14"/>
        <v>5.5748128227461392E-4</v>
      </c>
      <c r="K61" s="2"/>
      <c r="L61" s="6">
        <f t="shared" si="15"/>
        <v>131.97999999999999</v>
      </c>
      <c r="M61" s="2"/>
      <c r="N61" s="7">
        <f t="shared" si="16"/>
        <v>0.98883644264628745</v>
      </c>
      <c r="O61" s="11"/>
      <c r="P61" s="6">
        <v>560.03</v>
      </c>
      <c r="Q61" s="2"/>
      <c r="R61" s="7">
        <f t="shared" si="17"/>
        <v>7.9319333805409143E-4</v>
      </c>
      <c r="S61" s="2"/>
      <c r="T61" s="6">
        <v>430.07</v>
      </c>
      <c r="U61" s="2"/>
      <c r="V61" s="7">
        <f t="shared" si="18"/>
        <v>6.8060363514536686E-4</v>
      </c>
      <c r="W61" s="2"/>
      <c r="X61" s="6">
        <f t="shared" si="19"/>
        <v>129.95999999999998</v>
      </c>
      <c r="Y61" s="2"/>
      <c r="Z61" s="7">
        <f t="shared" si="20"/>
        <v>0.30218336549863972</v>
      </c>
    </row>
    <row r="62" spans="1:26" s="29" customFormat="1" outlineLevel="1" collapsed="1" x14ac:dyDescent="0.25">
      <c r="A62" s="27"/>
      <c r="B62" s="14" t="str">
        <f>CONCATENATE("     ","*Payroll                                          ")</f>
        <v xml:space="preserve">     *Payroll                                          </v>
      </c>
      <c r="C62" s="14"/>
      <c r="D62" s="1">
        <f>SUM(OSRRefD22_1x_0)</f>
        <v>26800.68</v>
      </c>
      <c r="E62" s="1"/>
      <c r="F62" s="5">
        <f t="shared" ref="F62:F67" si="21">IF(D$12=0,0,D62/D$12)</f>
        <v>9.843459903059068E-2</v>
      </c>
      <c r="G62" s="1"/>
      <c r="H62" s="1">
        <f>SUM(OSRRefH22_1x_0)</f>
        <v>19085.240000000002</v>
      </c>
      <c r="I62" s="1"/>
      <c r="J62" s="5">
        <f t="shared" ref="J62:J67" si="22">IF(H$12=0,0,H62/H$12)</f>
        <v>7.9715771841752853E-2</v>
      </c>
      <c r="K62" s="1"/>
      <c r="L62" s="1">
        <f t="shared" ref="L62:L67" si="23">+D62-H62</f>
        <v>7715.4399999999987</v>
      </c>
      <c r="M62" s="1"/>
      <c r="N62" s="5">
        <f t="shared" ref="N62:N67" si="24">IF(H62=0,0,L62/H62)</f>
        <v>0.40426214184364451</v>
      </c>
      <c r="O62" s="14"/>
      <c r="P62" s="1">
        <f>SUM(OSRRefP22_1x_0)</f>
        <v>75932.75</v>
      </c>
      <c r="Q62" s="1"/>
      <c r="R62" s="5">
        <f t="shared" ref="R62:R67" si="25">IF(P$12=0,0,P62/P$12)</f>
        <v>0.10754665185816263</v>
      </c>
      <c r="S62" s="1"/>
      <c r="T62" s="1">
        <f>SUM(OSRRefT22_1x_0)</f>
        <v>56617.770000000004</v>
      </c>
      <c r="U62" s="1"/>
      <c r="V62" s="5">
        <f t="shared" ref="V62:V67" si="26">IF(T$12=0,0,T62/T$12)</f>
        <v>8.9599972273872397E-2</v>
      </c>
      <c r="W62" s="1"/>
      <c r="X62" s="1">
        <f t="shared" ref="X62:X67" si="27">+P62-T62</f>
        <v>19314.979999999996</v>
      </c>
      <c r="Y62" s="1"/>
      <c r="Z62" s="5">
        <f t="shared" ref="Z62:Z67" si="28">IF(T62=0,0,X62/T62)</f>
        <v>0.34114695792504712</v>
      </c>
    </row>
    <row r="63" spans="1:26" s="24" customFormat="1" hidden="1" outlineLevel="2" x14ac:dyDescent="0.25">
      <c r="A63" s="28"/>
      <c r="B63" s="11" t="str">
        <f>CONCATENATE("          ", "6002", " - ", "STAFF SALARIES")</f>
        <v xml:space="preserve">          6002 - STAFF SALARIES</v>
      </c>
      <c r="C63" s="11"/>
      <c r="D63" s="6">
        <v>11099.56</v>
      </c>
      <c r="E63" s="2"/>
      <c r="F63" s="7">
        <f t="shared" si="21"/>
        <v>4.0766903601549775E-2</v>
      </c>
      <c r="G63" s="2"/>
      <c r="H63" s="6">
        <v>7205.8</v>
      </c>
      <c r="I63" s="2"/>
      <c r="J63" s="7">
        <f t="shared" si="22"/>
        <v>3.0097389854007742E-2</v>
      </c>
      <c r="K63" s="2"/>
      <c r="L63" s="6">
        <f t="shared" si="23"/>
        <v>3893.7599999999993</v>
      </c>
      <c r="M63" s="2"/>
      <c r="N63" s="7">
        <f t="shared" si="24"/>
        <v>0.54036470620888721</v>
      </c>
      <c r="O63" s="11"/>
      <c r="P63" s="6">
        <v>26719.63</v>
      </c>
      <c r="Q63" s="2"/>
      <c r="R63" s="7">
        <f t="shared" si="25"/>
        <v>3.7844102121797486E-2</v>
      </c>
      <c r="S63" s="2"/>
      <c r="T63" s="6">
        <v>21461.83</v>
      </c>
      <c r="U63" s="2"/>
      <c r="V63" s="7">
        <f t="shared" si="26"/>
        <v>3.3964237251777364E-2</v>
      </c>
      <c r="W63" s="2"/>
      <c r="X63" s="6">
        <f t="shared" si="27"/>
        <v>5257.7999999999993</v>
      </c>
      <c r="Y63" s="2"/>
      <c r="Z63" s="7">
        <f t="shared" si="28"/>
        <v>0.24498376885848033</v>
      </c>
    </row>
    <row r="64" spans="1:26" s="24" customFormat="1" hidden="1" outlineLevel="2" x14ac:dyDescent="0.25">
      <c r="A64" s="28"/>
      <c r="B64" s="11" t="str">
        <f>CONCATENATE("          ", "6005", " - ", "TEMPORARY WAGES-HOURLY")</f>
        <v xml:space="preserve">          6005 - TEMPORARY WAGES-HOURLY</v>
      </c>
      <c r="C64" s="11"/>
      <c r="D64" s="6">
        <v>2687.6</v>
      </c>
      <c r="E64" s="2"/>
      <c r="F64" s="7">
        <f t="shared" si="21"/>
        <v>9.8711237309880018E-3</v>
      </c>
      <c r="G64" s="2"/>
      <c r="H64" s="6">
        <v>4445.8900000000003</v>
      </c>
      <c r="I64" s="2"/>
      <c r="J64" s="7">
        <f t="shared" si="22"/>
        <v>1.8569719472929375E-2</v>
      </c>
      <c r="K64" s="2"/>
      <c r="L64" s="6">
        <f t="shared" si="23"/>
        <v>-1758.2900000000004</v>
      </c>
      <c r="M64" s="2"/>
      <c r="N64" s="7">
        <f t="shared" si="24"/>
        <v>-0.3954866179775029</v>
      </c>
      <c r="O64" s="11"/>
      <c r="P64" s="6">
        <v>10352.19</v>
      </c>
      <c r="Q64" s="2"/>
      <c r="R64" s="7">
        <f t="shared" si="25"/>
        <v>1.4662229063211232E-2</v>
      </c>
      <c r="S64" s="2"/>
      <c r="T64" s="6">
        <v>10053.25</v>
      </c>
      <c r="U64" s="2"/>
      <c r="V64" s="7">
        <f t="shared" si="26"/>
        <v>1.5909685621003929E-2</v>
      </c>
      <c r="W64" s="2"/>
      <c r="X64" s="6">
        <f t="shared" si="27"/>
        <v>298.94000000000051</v>
      </c>
      <c r="Y64" s="2"/>
      <c r="Z64" s="7">
        <f t="shared" si="28"/>
        <v>2.973565762315674E-2</v>
      </c>
    </row>
    <row r="65" spans="1:26" s="24" customFormat="1" hidden="1" outlineLevel="2" x14ac:dyDescent="0.25">
      <c r="A65" s="28"/>
      <c r="B65" s="11" t="str">
        <f>CONCATENATE("          ", "6006", " - ", "TEMPORARY PART TIME")</f>
        <v xml:space="preserve">          6006 - TEMPORARY PART TIME</v>
      </c>
      <c r="C65" s="11"/>
      <c r="D65" s="6"/>
      <c r="E65" s="2"/>
      <c r="F65" s="7">
        <f t="shared" si="21"/>
        <v>0</v>
      </c>
      <c r="G65" s="2"/>
      <c r="H65" s="6">
        <v>1255.5</v>
      </c>
      <c r="I65" s="2"/>
      <c r="J65" s="7">
        <f t="shared" si="22"/>
        <v>5.2440080160019321E-3</v>
      </c>
      <c r="K65" s="2"/>
      <c r="L65" s="6">
        <f t="shared" si="23"/>
        <v>-1255.5</v>
      </c>
      <c r="M65" s="2"/>
      <c r="N65" s="7">
        <f t="shared" si="24"/>
        <v>-1</v>
      </c>
      <c r="O65" s="11"/>
      <c r="P65" s="6"/>
      <c r="Q65" s="2"/>
      <c r="R65" s="7">
        <f t="shared" si="25"/>
        <v>0</v>
      </c>
      <c r="S65" s="2"/>
      <c r="T65" s="6">
        <v>3790.75</v>
      </c>
      <c r="U65" s="2"/>
      <c r="V65" s="7">
        <f t="shared" si="26"/>
        <v>5.9990192990148107E-3</v>
      </c>
      <c r="W65" s="2"/>
      <c r="X65" s="6">
        <f t="shared" si="27"/>
        <v>-3790.75</v>
      </c>
      <c r="Y65" s="2"/>
      <c r="Z65" s="7">
        <f t="shared" si="28"/>
        <v>-1</v>
      </c>
    </row>
    <row r="66" spans="1:26" s="24" customFormat="1" hidden="1" outlineLevel="2" x14ac:dyDescent="0.25">
      <c r="A66" s="28"/>
      <c r="B66" s="11" t="str">
        <f>CONCATENATE("          ", "6007", " - ", "STUDENT HOURLY")</f>
        <v xml:space="preserve">          6007 - STUDENT HOURLY</v>
      </c>
      <c r="C66" s="11"/>
      <c r="D66" s="6">
        <v>13013.52</v>
      </c>
      <c r="E66" s="2"/>
      <c r="F66" s="7">
        <f t="shared" si="21"/>
        <v>4.7796571698052903E-2</v>
      </c>
      <c r="G66" s="2"/>
      <c r="H66" s="6">
        <v>6178.05</v>
      </c>
      <c r="I66" s="2"/>
      <c r="J66" s="7">
        <f t="shared" si="22"/>
        <v>2.5804654498813806E-2</v>
      </c>
      <c r="K66" s="2"/>
      <c r="L66" s="6">
        <f t="shared" si="23"/>
        <v>6835.47</v>
      </c>
      <c r="M66" s="2"/>
      <c r="N66" s="7">
        <f t="shared" si="24"/>
        <v>1.1064122174472528</v>
      </c>
      <c r="O66" s="11"/>
      <c r="P66" s="6">
        <v>38665.93</v>
      </c>
      <c r="Q66" s="2"/>
      <c r="R66" s="7">
        <f t="shared" si="25"/>
        <v>5.4764134217213073E-2</v>
      </c>
      <c r="S66" s="2"/>
      <c r="T66" s="6">
        <v>21311.94</v>
      </c>
      <c r="U66" s="2"/>
      <c r="V66" s="7">
        <f t="shared" si="26"/>
        <v>3.372703010207629E-2</v>
      </c>
      <c r="W66" s="2"/>
      <c r="X66" s="6">
        <f t="shared" si="27"/>
        <v>17353.990000000002</v>
      </c>
      <c r="Y66" s="2"/>
      <c r="Z66" s="7">
        <f t="shared" si="28"/>
        <v>0.81428485628244085</v>
      </c>
    </row>
    <row r="67" spans="1:26" s="24" customFormat="1" hidden="1" outlineLevel="2" x14ac:dyDescent="0.25">
      <c r="A67" s="28"/>
      <c r="B67" s="11" t="str">
        <f>CONCATENATE("          ", "6008", " - ", "STUDENT HOURLY-FICA EXEMPT")</f>
        <v xml:space="preserve">          6008 - STUDENT HOURLY-FICA EXEMPT</v>
      </c>
      <c r="C67" s="11"/>
      <c r="D67" s="6"/>
      <c r="E67" s="2"/>
      <c r="F67" s="7">
        <f t="shared" si="21"/>
        <v>0</v>
      </c>
      <c r="G67" s="2"/>
      <c r="H67" s="6"/>
      <c r="I67" s="2"/>
      <c r="J67" s="7">
        <f t="shared" si="22"/>
        <v>0</v>
      </c>
      <c r="K67" s="2"/>
      <c r="L67" s="6">
        <f t="shared" si="23"/>
        <v>0</v>
      </c>
      <c r="M67" s="2"/>
      <c r="N67" s="7">
        <f t="shared" si="24"/>
        <v>0</v>
      </c>
      <c r="O67" s="11"/>
      <c r="P67" s="6">
        <v>195</v>
      </c>
      <c r="Q67" s="2"/>
      <c r="R67" s="7">
        <f t="shared" si="25"/>
        <v>2.7618645594083862E-4</v>
      </c>
      <c r="S67" s="2"/>
      <c r="T67" s="6"/>
      <c r="U67" s="2"/>
      <c r="V67" s="7">
        <f t="shared" si="26"/>
        <v>0</v>
      </c>
      <c r="W67" s="2"/>
      <c r="X67" s="6">
        <f t="shared" si="27"/>
        <v>195</v>
      </c>
      <c r="Y67" s="2"/>
      <c r="Z67" s="7">
        <f t="shared" si="28"/>
        <v>0</v>
      </c>
    </row>
    <row r="68" spans="1:26" s="29" customFormat="1" outlineLevel="1" collapsed="1" x14ac:dyDescent="0.25">
      <c r="A68" s="27"/>
      <c r="B68" s="14" t="str">
        <f>CONCATENATE("     ","Advertising/Promo                                 ")</f>
        <v xml:space="preserve">     Advertising/Promo                                 </v>
      </c>
      <c r="C68" s="14"/>
      <c r="D68" s="1">
        <f>SUM(OSRRefD22_2x_0)</f>
        <v>396.33</v>
      </c>
      <c r="E68" s="1"/>
      <c r="F68" s="5">
        <f t="shared" ref="F68:F72" si="29">IF(D$12=0,0,D68/D$12)</f>
        <v>1.4556565219163843E-3</v>
      </c>
      <c r="G68" s="1"/>
      <c r="H68" s="1">
        <f>SUM(OSRRefH22_2x_0)</f>
        <v>698.01</v>
      </c>
      <c r="I68" s="1"/>
      <c r="J68" s="5">
        <f t="shared" ref="J68:J72" si="30">IF(H$12=0,0,H68/H$12)</f>
        <v>2.915467969135411E-3</v>
      </c>
      <c r="K68" s="1"/>
      <c r="L68" s="1">
        <f t="shared" ref="L68:L72" si="31">+D68-H68</f>
        <v>-301.68</v>
      </c>
      <c r="M68" s="1"/>
      <c r="N68" s="5">
        <f t="shared" ref="N68:N72" si="32">IF(H68=0,0,L68/H68)</f>
        <v>-0.43220011174625006</v>
      </c>
      <c r="O68" s="14"/>
      <c r="P68" s="1">
        <f>SUM(OSRRefP22_2x_0)</f>
        <v>2762.11</v>
      </c>
      <c r="Q68" s="1"/>
      <c r="R68" s="5">
        <f t="shared" ref="R68:R72" si="33">IF(P$12=0,0,P68/P$12)</f>
        <v>3.912089086249999E-3</v>
      </c>
      <c r="S68" s="1"/>
      <c r="T68" s="1">
        <f>SUM(OSRRefT22_2x_0)</f>
        <v>1404.91</v>
      </c>
      <c r="U68" s="1"/>
      <c r="V68" s="5">
        <f t="shared" ref="V68:V72" si="34">IF(T$12=0,0,T68/T$12)</f>
        <v>2.2233284187506163E-3</v>
      </c>
      <c r="W68" s="1"/>
      <c r="X68" s="1">
        <f t="shared" ref="X68:X72" si="35">+P68-T68</f>
        <v>1357.2</v>
      </c>
      <c r="Y68" s="1"/>
      <c r="Z68" s="5">
        <f t="shared" ref="Z68:Z72" si="36">IF(T68=0,0,X68/T68)</f>
        <v>0.96604052928657347</v>
      </c>
    </row>
    <row r="69" spans="1:26" s="24" customFormat="1" hidden="1" outlineLevel="2" x14ac:dyDescent="0.25">
      <c r="A69" s="28"/>
      <c r="B69" s="11" t="str">
        <f>CONCATENATE("          ", "6362", " - ", "ADVERTISING EXPENSE")</f>
        <v xml:space="preserve">          6362 - ADVERTISING EXPENSE</v>
      </c>
      <c r="C69" s="11"/>
      <c r="D69" s="6">
        <v>396.33</v>
      </c>
      <c r="E69" s="2"/>
      <c r="F69" s="7">
        <f t="shared" si="29"/>
        <v>1.4556565219163843E-3</v>
      </c>
      <c r="G69" s="2"/>
      <c r="H69" s="6">
        <v>698.01</v>
      </c>
      <c r="I69" s="2"/>
      <c r="J69" s="7">
        <f t="shared" si="30"/>
        <v>2.915467969135411E-3</v>
      </c>
      <c r="K69" s="2"/>
      <c r="L69" s="6">
        <f t="shared" si="31"/>
        <v>-301.68</v>
      </c>
      <c r="M69" s="2"/>
      <c r="N69" s="7">
        <f t="shared" si="32"/>
        <v>-0.43220011174625006</v>
      </c>
      <c r="O69" s="11"/>
      <c r="P69" s="6">
        <v>2762.11</v>
      </c>
      <c r="Q69" s="2"/>
      <c r="R69" s="7">
        <f t="shared" si="33"/>
        <v>3.912089086249999E-3</v>
      </c>
      <c r="S69" s="2"/>
      <c r="T69" s="6">
        <v>1404.91</v>
      </c>
      <c r="U69" s="2"/>
      <c r="V69" s="7">
        <f t="shared" si="34"/>
        <v>2.2233284187506163E-3</v>
      </c>
      <c r="W69" s="2"/>
      <c r="X69" s="6">
        <f t="shared" si="35"/>
        <v>1357.2</v>
      </c>
      <c r="Y69" s="2"/>
      <c r="Z69" s="7">
        <f t="shared" si="36"/>
        <v>0.96604052928657347</v>
      </c>
    </row>
    <row r="70" spans="1:26" s="29" customFormat="1" outlineLevel="1" collapsed="1" x14ac:dyDescent="0.25">
      <c r="A70" s="27"/>
      <c r="B70" s="14" t="str">
        <f>CONCATENATE("     ","Discounts and Markdowns                           ")</f>
        <v xml:space="preserve">     Discounts and Markdowns                           </v>
      </c>
      <c r="C70" s="14"/>
      <c r="D70" s="1">
        <f>SUM(OSRRefD22_3x_0)</f>
        <v>9940.4499999999989</v>
      </c>
      <c r="E70" s="1"/>
      <c r="F70" s="5">
        <f t="shared" si="29"/>
        <v>3.650967848329352E-2</v>
      </c>
      <c r="G70" s="1"/>
      <c r="H70" s="1">
        <f>SUM(OSRRefH22_3x_0)</f>
        <v>9837.23</v>
      </c>
      <c r="I70" s="1"/>
      <c r="J70" s="5">
        <f t="shared" si="30"/>
        <v>4.1088421326367724E-2</v>
      </c>
      <c r="K70" s="1"/>
      <c r="L70" s="1">
        <f t="shared" si="31"/>
        <v>103.21999999999935</v>
      </c>
      <c r="M70" s="1"/>
      <c r="N70" s="5">
        <f t="shared" si="32"/>
        <v>1.0492791161739569E-2</v>
      </c>
      <c r="O70" s="14"/>
      <c r="P70" s="1">
        <f>SUM(OSRRefP22_3x_0)</f>
        <v>38235.449999999997</v>
      </c>
      <c r="Q70" s="1"/>
      <c r="R70" s="5">
        <f t="shared" si="33"/>
        <v>5.4154427829759676E-2</v>
      </c>
      <c r="S70" s="1"/>
      <c r="T70" s="1">
        <f>SUM(OSRRefT22_3x_0)</f>
        <v>38660.100000000006</v>
      </c>
      <c r="U70" s="1"/>
      <c r="V70" s="5">
        <f t="shared" si="34"/>
        <v>6.1181213744468117E-2</v>
      </c>
      <c r="W70" s="1"/>
      <c r="X70" s="1">
        <f t="shared" si="35"/>
        <v>-424.65000000000873</v>
      </c>
      <c r="Y70" s="1"/>
      <c r="Z70" s="5">
        <f t="shared" si="36"/>
        <v>-1.0984193005191623E-2</v>
      </c>
    </row>
    <row r="71" spans="1:26" s="24" customFormat="1" hidden="1" outlineLevel="2" x14ac:dyDescent="0.25">
      <c r="A71" s="28"/>
      <c r="B71" s="11" t="str">
        <f>CONCATENATE("          ", "6382", " - ", "DISCOUNTS/MARK DOWNS")</f>
        <v xml:space="preserve">          6382 - DISCOUNTS/MARK DOWNS</v>
      </c>
      <c r="C71" s="11"/>
      <c r="D71" s="6">
        <v>9978.7099999999991</v>
      </c>
      <c r="E71" s="2"/>
      <c r="F71" s="7">
        <f t="shared" si="29"/>
        <v>3.6650201326703109E-2</v>
      </c>
      <c r="G71" s="2"/>
      <c r="H71" s="6">
        <v>9853.83</v>
      </c>
      <c r="I71" s="2"/>
      <c r="J71" s="7">
        <f t="shared" si="30"/>
        <v>4.1157756677276239E-2</v>
      </c>
      <c r="K71" s="2"/>
      <c r="L71" s="6">
        <f t="shared" si="31"/>
        <v>124.8799999999992</v>
      </c>
      <c r="M71" s="2"/>
      <c r="N71" s="7">
        <f t="shared" si="32"/>
        <v>1.2673244819526945E-2</v>
      </c>
      <c r="O71" s="11"/>
      <c r="P71" s="6">
        <v>38273.71</v>
      </c>
      <c r="Q71" s="2"/>
      <c r="R71" s="7">
        <f t="shared" si="33"/>
        <v>5.4208617028756068E-2</v>
      </c>
      <c r="S71" s="2"/>
      <c r="T71" s="6">
        <v>38676.700000000004</v>
      </c>
      <c r="U71" s="2"/>
      <c r="V71" s="7">
        <f t="shared" si="34"/>
        <v>6.1207483933840574E-2</v>
      </c>
      <c r="W71" s="2"/>
      <c r="X71" s="6">
        <f t="shared" si="35"/>
        <v>-402.99000000000524</v>
      </c>
      <c r="Y71" s="2"/>
      <c r="Z71" s="7">
        <f t="shared" si="36"/>
        <v>-1.0419451504394254E-2</v>
      </c>
    </row>
    <row r="72" spans="1:26" s="24" customFormat="1" hidden="1" outlineLevel="2" x14ac:dyDescent="0.25">
      <c r="A72" s="28"/>
      <c r="B72" s="11" t="str">
        <f>CONCATENATE("          ", "9175", " - ", "EARNED DISCOUNTS")</f>
        <v xml:space="preserve">          9175 - EARNED DISCOUNTS</v>
      </c>
      <c r="C72" s="11"/>
      <c r="D72" s="6">
        <v>-38.26</v>
      </c>
      <c r="E72" s="2"/>
      <c r="F72" s="7">
        <f t="shared" si="29"/>
        <v>-1.4052284340958511E-4</v>
      </c>
      <c r="G72" s="2"/>
      <c r="H72" s="6">
        <v>-16.600000000000001</v>
      </c>
      <c r="I72" s="2"/>
      <c r="J72" s="7">
        <f t="shared" si="30"/>
        <v>-6.9335350908508224E-5</v>
      </c>
      <c r="K72" s="2"/>
      <c r="L72" s="6">
        <f t="shared" si="31"/>
        <v>-21.659999999999997</v>
      </c>
      <c r="M72" s="2"/>
      <c r="N72" s="7">
        <f t="shared" si="32"/>
        <v>1.3048192771084335</v>
      </c>
      <c r="O72" s="11"/>
      <c r="P72" s="6">
        <v>-38.26</v>
      </c>
      <c r="Q72" s="2"/>
      <c r="R72" s="7">
        <f t="shared" si="33"/>
        <v>-5.4189198996392226E-5</v>
      </c>
      <c r="S72" s="2"/>
      <c r="T72" s="6">
        <v>-16.600000000000001</v>
      </c>
      <c r="U72" s="2"/>
      <c r="V72" s="7">
        <f t="shared" si="34"/>
        <v>-2.6270189372458186E-5</v>
      </c>
      <c r="W72" s="2"/>
      <c r="X72" s="6">
        <f t="shared" si="35"/>
        <v>-21.659999999999997</v>
      </c>
      <c r="Y72" s="2"/>
      <c r="Z72" s="7">
        <f t="shared" si="36"/>
        <v>1.3048192771084335</v>
      </c>
    </row>
    <row r="73" spans="1:26" s="29" customFormat="1" outlineLevel="1" collapsed="1" x14ac:dyDescent="0.25">
      <c r="A73" s="27"/>
      <c r="B73" s="14" t="str">
        <f>CONCATENATE("     ","Employees' Appreciation                           ")</f>
        <v xml:space="preserve">     Employees' Appreciation                           </v>
      </c>
      <c r="C73" s="14"/>
      <c r="D73" s="1">
        <f>SUM(OSRRefD22_4x_0)</f>
        <v>0</v>
      </c>
      <c r="E73" s="1"/>
      <c r="F73" s="5">
        <f t="shared" ref="F73:F85" si="37">IF(D$12=0,0,D73/D$12)</f>
        <v>0</v>
      </c>
      <c r="G73" s="1"/>
      <c r="H73" s="1">
        <f>SUM(OSRRefH22_4x_0)</f>
        <v>0</v>
      </c>
      <c r="I73" s="1"/>
      <c r="J73" s="5">
        <f t="shared" ref="J73:J85" si="38">IF(H$12=0,0,H73/H$12)</f>
        <v>0</v>
      </c>
      <c r="K73" s="1"/>
      <c r="L73" s="1">
        <f t="shared" ref="L73:L85" si="39">+D73-H73</f>
        <v>0</v>
      </c>
      <c r="M73" s="1"/>
      <c r="N73" s="5">
        <f t="shared" ref="N73:N85" si="40">IF(H73=0,0,L73/H73)</f>
        <v>0</v>
      </c>
      <c r="O73" s="14"/>
      <c r="P73" s="1">
        <f>SUM(OSRRefP22_4x_0)</f>
        <v>12.98</v>
      </c>
      <c r="Q73" s="1"/>
      <c r="R73" s="5">
        <f t="shared" ref="R73:R85" si="41">IF(P$12=0,0,P73/P$12)</f>
        <v>1.8384103580061976E-5</v>
      </c>
      <c r="S73" s="1"/>
      <c r="T73" s="1">
        <f>SUM(OSRRefT22_4x_0)</f>
        <v>13.76</v>
      </c>
      <c r="U73" s="1"/>
      <c r="V73" s="5">
        <f t="shared" ref="V73:V85" si="42">IF(T$12=0,0,T73/T$12)</f>
        <v>2.1775771431627986E-5</v>
      </c>
      <c r="W73" s="1"/>
      <c r="X73" s="1">
        <f t="shared" ref="X73:X85" si="43">+P73-T73</f>
        <v>-0.77999999999999936</v>
      </c>
      <c r="Y73" s="1"/>
      <c r="Z73" s="5">
        <f t="shared" ref="Z73:Z85" si="44">IF(T73=0,0,X73/T73)</f>
        <v>-5.6686046511627862E-2</v>
      </c>
    </row>
    <row r="74" spans="1:26" s="24" customFormat="1" hidden="1" outlineLevel="2" x14ac:dyDescent="0.25">
      <c r="A74" s="28"/>
      <c r="B74" s="11" t="str">
        <f>CONCATENATE("          ", "6277", " - ", "EMPLOYEE APPRECIATION")</f>
        <v xml:space="preserve">          6277 - EMPLOYEE APPRECIATION</v>
      </c>
      <c r="C74" s="11"/>
      <c r="D74" s="6"/>
      <c r="E74" s="2"/>
      <c r="F74" s="7">
        <f t="shared" si="37"/>
        <v>0</v>
      </c>
      <c r="G74" s="2"/>
      <c r="H74" s="6"/>
      <c r="I74" s="2"/>
      <c r="J74" s="7">
        <f t="shared" si="38"/>
        <v>0</v>
      </c>
      <c r="K74" s="2"/>
      <c r="L74" s="6">
        <f t="shared" si="39"/>
        <v>0</v>
      </c>
      <c r="M74" s="2"/>
      <c r="N74" s="7">
        <f t="shared" si="40"/>
        <v>0</v>
      </c>
      <c r="O74" s="11"/>
      <c r="P74" s="6">
        <v>12.98</v>
      </c>
      <c r="Q74" s="2"/>
      <c r="R74" s="7">
        <f t="shared" si="41"/>
        <v>1.8384103580061976E-5</v>
      </c>
      <c r="S74" s="2"/>
      <c r="T74" s="6">
        <v>13.76</v>
      </c>
      <c r="U74" s="2"/>
      <c r="V74" s="7">
        <f t="shared" si="42"/>
        <v>2.1775771431627986E-5</v>
      </c>
      <c r="W74" s="2"/>
      <c r="X74" s="6">
        <f t="shared" si="43"/>
        <v>-0.77999999999999936</v>
      </c>
      <c r="Y74" s="2"/>
      <c r="Z74" s="7">
        <f t="shared" si="44"/>
        <v>-5.6686046511627862E-2</v>
      </c>
    </row>
    <row r="75" spans="1:26" s="29" customFormat="1" outlineLevel="1" collapsed="1" x14ac:dyDescent="0.25">
      <c r="A75" s="27"/>
      <c r="B75" s="14" t="str">
        <f>CONCATENATE("     ","Freight out/Postage                               ")</f>
        <v xml:space="preserve">     Freight out/Postage                               </v>
      </c>
      <c r="C75" s="14"/>
      <c r="D75" s="1">
        <f>SUM(OSRRefD22_5x_0)</f>
        <v>0</v>
      </c>
      <c r="E75" s="1"/>
      <c r="F75" s="5">
        <f t="shared" si="37"/>
        <v>0</v>
      </c>
      <c r="G75" s="1"/>
      <c r="H75" s="1">
        <f>SUM(OSRRefH22_5x_0)</f>
        <v>0</v>
      </c>
      <c r="I75" s="1"/>
      <c r="J75" s="5">
        <f t="shared" si="38"/>
        <v>0</v>
      </c>
      <c r="K75" s="1"/>
      <c r="L75" s="1">
        <f t="shared" si="39"/>
        <v>0</v>
      </c>
      <c r="M75" s="1"/>
      <c r="N75" s="5">
        <f t="shared" si="40"/>
        <v>0</v>
      </c>
      <c r="O75" s="14"/>
      <c r="P75" s="1">
        <f>SUM(OSRRefP22_5x_0)</f>
        <v>0</v>
      </c>
      <c r="Q75" s="1"/>
      <c r="R75" s="5">
        <f t="shared" si="41"/>
        <v>0</v>
      </c>
      <c r="S75" s="1"/>
      <c r="T75" s="1">
        <f>SUM(OSRRefT22_5x_0)</f>
        <v>4.88</v>
      </c>
      <c r="U75" s="1"/>
      <c r="V75" s="5">
        <f t="shared" si="42"/>
        <v>7.722802658891321E-6</v>
      </c>
      <c r="W75" s="1"/>
      <c r="X75" s="1">
        <f t="shared" si="43"/>
        <v>-4.88</v>
      </c>
      <c r="Y75" s="1"/>
      <c r="Z75" s="5">
        <f t="shared" si="44"/>
        <v>-1</v>
      </c>
    </row>
    <row r="76" spans="1:26" s="24" customFormat="1" hidden="1" outlineLevel="2" x14ac:dyDescent="0.25">
      <c r="A76" s="28"/>
      <c r="B76" s="11" t="str">
        <f>CONCATENATE("          ", "6305", " - ", "FREIGHT OUT")</f>
        <v xml:space="preserve">          6305 - FREIGHT OUT</v>
      </c>
      <c r="C76" s="11"/>
      <c r="D76" s="6"/>
      <c r="E76" s="2"/>
      <c r="F76" s="7">
        <f t="shared" si="37"/>
        <v>0</v>
      </c>
      <c r="G76" s="2"/>
      <c r="H76" s="6"/>
      <c r="I76" s="2"/>
      <c r="J76" s="7">
        <f t="shared" si="38"/>
        <v>0</v>
      </c>
      <c r="K76" s="2"/>
      <c r="L76" s="6">
        <f t="shared" si="39"/>
        <v>0</v>
      </c>
      <c r="M76" s="2"/>
      <c r="N76" s="7">
        <f t="shared" si="40"/>
        <v>0</v>
      </c>
      <c r="O76" s="11"/>
      <c r="P76" s="6"/>
      <c r="Q76" s="2"/>
      <c r="R76" s="7">
        <f t="shared" si="41"/>
        <v>0</v>
      </c>
      <c r="S76" s="2"/>
      <c r="T76" s="6">
        <v>4.88</v>
      </c>
      <c r="U76" s="2"/>
      <c r="V76" s="7">
        <f t="shared" si="42"/>
        <v>7.722802658891321E-6</v>
      </c>
      <c r="W76" s="2"/>
      <c r="X76" s="6">
        <f t="shared" si="43"/>
        <v>-4.88</v>
      </c>
      <c r="Y76" s="2"/>
      <c r="Z76" s="7">
        <f t="shared" si="44"/>
        <v>-1</v>
      </c>
    </row>
    <row r="77" spans="1:26" s="29" customFormat="1" outlineLevel="1" collapsed="1" x14ac:dyDescent="0.25">
      <c r="A77" s="27"/>
      <c r="B77" s="14" t="str">
        <f>CONCATENATE("     ","General                                           ")</f>
        <v xml:space="preserve">     General                                           </v>
      </c>
      <c r="C77" s="14"/>
      <c r="D77" s="1">
        <f>SUM(OSRRefD22_6x_0)</f>
        <v>0</v>
      </c>
      <c r="E77" s="1"/>
      <c r="F77" s="5">
        <f t="shared" si="37"/>
        <v>0</v>
      </c>
      <c r="G77" s="1"/>
      <c r="H77" s="1">
        <f>SUM(OSRRefH22_6x_0)</f>
        <v>0</v>
      </c>
      <c r="I77" s="1"/>
      <c r="J77" s="5">
        <f t="shared" si="38"/>
        <v>0</v>
      </c>
      <c r="K77" s="1"/>
      <c r="L77" s="1">
        <f t="shared" si="39"/>
        <v>0</v>
      </c>
      <c r="M77" s="1"/>
      <c r="N77" s="5">
        <f t="shared" si="40"/>
        <v>0</v>
      </c>
      <c r="O77" s="14"/>
      <c r="P77" s="1">
        <f>SUM(OSRRefP22_6x_0)</f>
        <v>0</v>
      </c>
      <c r="Q77" s="1"/>
      <c r="R77" s="5">
        <f t="shared" si="41"/>
        <v>0</v>
      </c>
      <c r="S77" s="1"/>
      <c r="T77" s="1">
        <f>SUM(OSRRefT22_6x_0)</f>
        <v>33.06</v>
      </c>
      <c r="U77" s="1"/>
      <c r="V77" s="5">
        <f t="shared" si="42"/>
        <v>5.2318822930931782E-5</v>
      </c>
      <c r="W77" s="1"/>
      <c r="X77" s="1">
        <f t="shared" si="43"/>
        <v>-33.06</v>
      </c>
      <c r="Y77" s="1"/>
      <c r="Z77" s="5">
        <f t="shared" si="44"/>
        <v>-1</v>
      </c>
    </row>
    <row r="78" spans="1:26" s="24" customFormat="1" hidden="1" outlineLevel="2" x14ac:dyDescent="0.25">
      <c r="A78" s="28"/>
      <c r="B78" s="11" t="str">
        <f>CONCATENATE("          ", "6279", " - ", "GENERAL EXPENSE")</f>
        <v xml:space="preserve">          6279 - GENERAL EXPENSE</v>
      </c>
      <c r="C78" s="11"/>
      <c r="D78" s="6"/>
      <c r="E78" s="2"/>
      <c r="F78" s="7">
        <f t="shared" si="37"/>
        <v>0</v>
      </c>
      <c r="G78" s="2"/>
      <c r="H78" s="6"/>
      <c r="I78" s="2"/>
      <c r="J78" s="7">
        <f t="shared" si="38"/>
        <v>0</v>
      </c>
      <c r="K78" s="2"/>
      <c r="L78" s="6">
        <f t="shared" si="39"/>
        <v>0</v>
      </c>
      <c r="M78" s="2"/>
      <c r="N78" s="7">
        <f t="shared" si="40"/>
        <v>0</v>
      </c>
      <c r="O78" s="11"/>
      <c r="P78" s="6"/>
      <c r="Q78" s="2"/>
      <c r="R78" s="7">
        <f t="shared" si="41"/>
        <v>0</v>
      </c>
      <c r="S78" s="2"/>
      <c r="T78" s="6">
        <v>33.06</v>
      </c>
      <c r="U78" s="2"/>
      <c r="V78" s="7">
        <f t="shared" si="42"/>
        <v>5.2318822930931782E-5</v>
      </c>
      <c r="W78" s="2"/>
      <c r="X78" s="6">
        <f t="shared" si="43"/>
        <v>-33.06</v>
      </c>
      <c r="Y78" s="2"/>
      <c r="Z78" s="7">
        <f t="shared" si="44"/>
        <v>-1</v>
      </c>
    </row>
    <row r="79" spans="1:26" s="29" customFormat="1" outlineLevel="1" collapsed="1" x14ac:dyDescent="0.25">
      <c r="A79" s="27"/>
      <c r="B79" s="14" t="str">
        <f>CONCATENATE("     ","Inventory Adjustment                              ")</f>
        <v xml:space="preserve">     Inventory Adjustment                              </v>
      </c>
      <c r="C79" s="14"/>
      <c r="D79" s="1">
        <f>SUM(OSRRefD22_7x_0)</f>
        <v>2850</v>
      </c>
      <c r="E79" s="1"/>
      <c r="F79" s="5">
        <f t="shared" si="37"/>
        <v>1.0467592883359059E-2</v>
      </c>
      <c r="G79" s="1"/>
      <c r="H79" s="1">
        <f>SUM(OSRRefH22_7x_0)</f>
        <v>1000</v>
      </c>
      <c r="I79" s="1"/>
      <c r="J79" s="5">
        <f t="shared" si="38"/>
        <v>4.1768283679824228E-3</v>
      </c>
      <c r="K79" s="1"/>
      <c r="L79" s="1">
        <f t="shared" si="39"/>
        <v>1850</v>
      </c>
      <c r="M79" s="1"/>
      <c r="N79" s="5">
        <f t="shared" si="40"/>
        <v>1.85</v>
      </c>
      <c r="O79" s="14"/>
      <c r="P79" s="1">
        <f>SUM(OSRRefP22_7x_0)</f>
        <v>8550</v>
      </c>
      <c r="Q79" s="1"/>
      <c r="R79" s="5">
        <f t="shared" si="41"/>
        <v>1.2109713837406E-2</v>
      </c>
      <c r="S79" s="1"/>
      <c r="T79" s="1">
        <f>SUM(OSRRefT22_7x_0)</f>
        <v>3000</v>
      </c>
      <c r="U79" s="1"/>
      <c r="V79" s="5">
        <f t="shared" si="42"/>
        <v>4.7476245853840093E-3</v>
      </c>
      <c r="W79" s="1"/>
      <c r="X79" s="1">
        <f t="shared" si="43"/>
        <v>5550</v>
      </c>
      <c r="Y79" s="1"/>
      <c r="Z79" s="5">
        <f t="shared" si="44"/>
        <v>1.85</v>
      </c>
    </row>
    <row r="80" spans="1:26" s="24" customFormat="1" hidden="1" outlineLevel="2" x14ac:dyDescent="0.25">
      <c r="A80" s="28"/>
      <c r="B80" s="11" t="str">
        <f>CONCATENATE("          ", "6408", " - ", "INVENTORY ADJUSTMENT")</f>
        <v xml:space="preserve">          6408 - INVENTORY ADJUSTMENT</v>
      </c>
      <c r="C80" s="11"/>
      <c r="D80" s="6">
        <v>2850</v>
      </c>
      <c r="E80" s="2"/>
      <c r="F80" s="7">
        <f t="shared" si="37"/>
        <v>1.0467592883359059E-2</v>
      </c>
      <c r="G80" s="2"/>
      <c r="H80" s="6">
        <v>1000</v>
      </c>
      <c r="I80" s="2"/>
      <c r="J80" s="7">
        <f t="shared" si="38"/>
        <v>4.1768283679824228E-3</v>
      </c>
      <c r="K80" s="2"/>
      <c r="L80" s="6">
        <f t="shared" si="39"/>
        <v>1850</v>
      </c>
      <c r="M80" s="2"/>
      <c r="N80" s="7">
        <f t="shared" si="40"/>
        <v>1.85</v>
      </c>
      <c r="O80" s="11"/>
      <c r="P80" s="6">
        <v>8550</v>
      </c>
      <c r="Q80" s="2"/>
      <c r="R80" s="7">
        <f t="shared" si="41"/>
        <v>1.2109713837406E-2</v>
      </c>
      <c r="S80" s="2"/>
      <c r="T80" s="6">
        <v>3000</v>
      </c>
      <c r="U80" s="2"/>
      <c r="V80" s="7">
        <f t="shared" si="42"/>
        <v>4.7476245853840093E-3</v>
      </c>
      <c r="W80" s="2"/>
      <c r="X80" s="6">
        <f t="shared" si="43"/>
        <v>5550</v>
      </c>
      <c r="Y80" s="2"/>
      <c r="Z80" s="7">
        <f t="shared" si="44"/>
        <v>1.85</v>
      </c>
    </row>
    <row r="81" spans="1:26" s="29" customFormat="1" outlineLevel="1" collapsed="1" x14ac:dyDescent="0.25">
      <c r="A81" s="27"/>
      <c r="B81" s="14" t="str">
        <f>CONCATENATE("     ","Repair and Maintenance                            ")</f>
        <v xml:space="preserve">     Repair and Maintenance                            </v>
      </c>
      <c r="C81" s="14"/>
      <c r="D81" s="1">
        <f>SUM(OSRRefD22_8x_0)</f>
        <v>0</v>
      </c>
      <c r="E81" s="1"/>
      <c r="F81" s="5">
        <f t="shared" si="37"/>
        <v>0</v>
      </c>
      <c r="G81" s="1"/>
      <c r="H81" s="1">
        <f>SUM(OSRRefH22_8x_0)</f>
        <v>0</v>
      </c>
      <c r="I81" s="1"/>
      <c r="J81" s="5">
        <f t="shared" si="38"/>
        <v>0</v>
      </c>
      <c r="K81" s="1"/>
      <c r="L81" s="1">
        <f t="shared" si="39"/>
        <v>0</v>
      </c>
      <c r="M81" s="1"/>
      <c r="N81" s="5">
        <f t="shared" si="40"/>
        <v>0</v>
      </c>
      <c r="O81" s="14"/>
      <c r="P81" s="1">
        <f>SUM(OSRRefP22_8x_0)</f>
        <v>0</v>
      </c>
      <c r="Q81" s="1"/>
      <c r="R81" s="5">
        <f t="shared" si="41"/>
        <v>0</v>
      </c>
      <c r="S81" s="1"/>
      <c r="T81" s="1">
        <f>SUM(OSRRefT22_8x_0)</f>
        <v>186.58</v>
      </c>
      <c r="U81" s="1"/>
      <c r="V81" s="5">
        <f t="shared" si="42"/>
        <v>2.9527059838031615E-4</v>
      </c>
      <c r="W81" s="1"/>
      <c r="X81" s="1">
        <f t="shared" si="43"/>
        <v>-186.58</v>
      </c>
      <c r="Y81" s="1"/>
      <c r="Z81" s="5">
        <f t="shared" si="44"/>
        <v>-1</v>
      </c>
    </row>
    <row r="82" spans="1:26" s="24" customFormat="1" hidden="1" outlineLevel="2" x14ac:dyDescent="0.25">
      <c r="A82" s="28"/>
      <c r="B82" s="11" t="str">
        <f>CONCATENATE("          ", "6371", " - ", "COMPUTER SOFTWARE MAINTENANCE")</f>
        <v xml:space="preserve">          6371 - COMPUTER SOFTWARE MAINTENANCE</v>
      </c>
      <c r="C82" s="11"/>
      <c r="D82" s="6"/>
      <c r="E82" s="2"/>
      <c r="F82" s="7">
        <f t="shared" si="37"/>
        <v>0</v>
      </c>
      <c r="G82" s="2"/>
      <c r="H82" s="6"/>
      <c r="I82" s="2"/>
      <c r="J82" s="7">
        <f t="shared" si="38"/>
        <v>0</v>
      </c>
      <c r="K82" s="2"/>
      <c r="L82" s="6">
        <f t="shared" si="39"/>
        <v>0</v>
      </c>
      <c r="M82" s="2"/>
      <c r="N82" s="7">
        <f t="shared" si="40"/>
        <v>0</v>
      </c>
      <c r="O82" s="11"/>
      <c r="P82" s="6"/>
      <c r="Q82" s="2"/>
      <c r="R82" s="7">
        <f t="shared" si="41"/>
        <v>0</v>
      </c>
      <c r="S82" s="2"/>
      <c r="T82" s="6">
        <v>186.58</v>
      </c>
      <c r="U82" s="2"/>
      <c r="V82" s="7">
        <f t="shared" si="42"/>
        <v>2.9527059838031615E-4</v>
      </c>
      <c r="W82" s="2"/>
      <c r="X82" s="6">
        <f t="shared" si="43"/>
        <v>-186.58</v>
      </c>
      <c r="Y82" s="2"/>
      <c r="Z82" s="7">
        <f t="shared" si="44"/>
        <v>-1</v>
      </c>
    </row>
    <row r="83" spans="1:26" s="29" customFormat="1" outlineLevel="1" collapsed="1" x14ac:dyDescent="0.25">
      <c r="A83" s="27"/>
      <c r="B83" s="14" t="str">
        <f>CONCATENATE("     ","Royalty &amp; Commissions                             ")</f>
        <v xml:space="preserve">     Royalty &amp; Commissions                             </v>
      </c>
      <c r="C83" s="14"/>
      <c r="D83" s="1">
        <f>SUM(OSRRefD22_9x_0)</f>
        <v>365.38</v>
      </c>
      <c r="E83" s="1"/>
      <c r="F83" s="5">
        <f t="shared" si="37"/>
        <v>1.3419821360427131E-3</v>
      </c>
      <c r="G83" s="1"/>
      <c r="H83" s="1">
        <f>SUM(OSRRefH22_9x_0)</f>
        <v>291.94</v>
      </c>
      <c r="I83" s="1"/>
      <c r="J83" s="5">
        <f t="shared" si="38"/>
        <v>1.2193832737487885E-3</v>
      </c>
      <c r="K83" s="1"/>
      <c r="L83" s="1">
        <f t="shared" si="39"/>
        <v>73.44</v>
      </c>
      <c r="M83" s="1"/>
      <c r="N83" s="5">
        <f t="shared" si="40"/>
        <v>0.25155853942590944</v>
      </c>
      <c r="O83" s="14"/>
      <c r="P83" s="1">
        <f>SUM(OSRRefP22_9x_0)</f>
        <v>4982.82</v>
      </c>
      <c r="Q83" s="1"/>
      <c r="R83" s="5">
        <f t="shared" si="41"/>
        <v>7.057371263544253E-3</v>
      </c>
      <c r="S83" s="1"/>
      <c r="T83" s="1">
        <f>SUM(OSRRefT22_9x_0)</f>
        <v>7206.47</v>
      </c>
      <c r="U83" s="1"/>
      <c r="V83" s="5">
        <f t="shared" si="42"/>
        <v>1.1404538048610767E-2</v>
      </c>
      <c r="W83" s="1"/>
      <c r="X83" s="1">
        <f t="shared" si="43"/>
        <v>-2223.6500000000005</v>
      </c>
      <c r="Y83" s="1"/>
      <c r="Z83" s="5">
        <f t="shared" si="44"/>
        <v>-0.30856299963782552</v>
      </c>
    </row>
    <row r="84" spans="1:26" s="24" customFormat="1" hidden="1" outlineLevel="2" x14ac:dyDescent="0.25">
      <c r="A84" s="28"/>
      <c r="B84" s="11" t="str">
        <f>CONCATENATE("          ", "6253", " - ", "ROYALTY DUE ATHLETICS-LRG")</f>
        <v xml:space="preserve">          6253 - ROYALTY DUE ATHLETICS-LRG</v>
      </c>
      <c r="C84" s="11"/>
      <c r="D84" s="6"/>
      <c r="E84" s="2"/>
      <c r="F84" s="7">
        <f t="shared" si="37"/>
        <v>0</v>
      </c>
      <c r="G84" s="2"/>
      <c r="H84" s="6"/>
      <c r="I84" s="2"/>
      <c r="J84" s="7">
        <f t="shared" si="38"/>
        <v>0</v>
      </c>
      <c r="K84" s="2"/>
      <c r="L84" s="6">
        <f t="shared" si="39"/>
        <v>0</v>
      </c>
      <c r="M84" s="2"/>
      <c r="N84" s="7">
        <f t="shared" si="40"/>
        <v>0</v>
      </c>
      <c r="O84" s="11"/>
      <c r="P84" s="6">
        <v>4366.95</v>
      </c>
      <c r="Q84" s="2"/>
      <c r="R84" s="7">
        <f t="shared" si="41"/>
        <v>6.1850894552351026E-3</v>
      </c>
      <c r="S84" s="2"/>
      <c r="T84" s="6">
        <v>6645.39</v>
      </c>
      <c r="U84" s="2"/>
      <c r="V84" s="7">
        <f t="shared" si="42"/>
        <v>1.051660564782168E-2</v>
      </c>
      <c r="W84" s="2"/>
      <c r="X84" s="6">
        <f t="shared" si="43"/>
        <v>-2278.4400000000005</v>
      </c>
      <c r="Y84" s="2"/>
      <c r="Z84" s="7">
        <f t="shared" si="44"/>
        <v>-0.34286023845101649</v>
      </c>
    </row>
    <row r="85" spans="1:26" s="24" customFormat="1" hidden="1" outlineLevel="2" x14ac:dyDescent="0.25">
      <c r="A85" s="28"/>
      <c r="B85" s="11" t="str">
        <f>CONCATENATE("          ", "6254", " - ", "ROYALTY &amp; COMMISSIONS")</f>
        <v xml:space="preserve">          6254 - ROYALTY &amp; COMMISSIONS</v>
      </c>
      <c r="C85" s="11"/>
      <c r="D85" s="6">
        <v>365.38</v>
      </c>
      <c r="E85" s="2"/>
      <c r="F85" s="7">
        <f t="shared" si="37"/>
        <v>1.3419821360427131E-3</v>
      </c>
      <c r="G85" s="2"/>
      <c r="H85" s="6">
        <v>291.94</v>
      </c>
      <c r="I85" s="2"/>
      <c r="J85" s="7">
        <f t="shared" si="38"/>
        <v>1.2193832737487885E-3</v>
      </c>
      <c r="K85" s="2"/>
      <c r="L85" s="6">
        <f t="shared" si="39"/>
        <v>73.44</v>
      </c>
      <c r="M85" s="2"/>
      <c r="N85" s="7">
        <f t="shared" si="40"/>
        <v>0.25155853942590944</v>
      </c>
      <c r="O85" s="11"/>
      <c r="P85" s="6">
        <v>615.87</v>
      </c>
      <c r="Q85" s="2"/>
      <c r="R85" s="7">
        <f t="shared" si="41"/>
        <v>8.7228180830915011E-4</v>
      </c>
      <c r="S85" s="2"/>
      <c r="T85" s="6">
        <v>561.08000000000004</v>
      </c>
      <c r="U85" s="2"/>
      <c r="V85" s="7">
        <f t="shared" si="42"/>
        <v>8.8793240078908662E-4</v>
      </c>
      <c r="W85" s="2"/>
      <c r="X85" s="6">
        <f t="shared" si="43"/>
        <v>54.789999999999964</v>
      </c>
      <c r="Y85" s="2"/>
      <c r="Z85" s="7">
        <f t="shared" si="44"/>
        <v>9.7650958865045906E-2</v>
      </c>
    </row>
    <row r="86" spans="1:26" s="29" customFormat="1" outlineLevel="1" collapsed="1" x14ac:dyDescent="0.25">
      <c r="A86" s="27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1">
        <f>SUM(OSRRefD22_10x_0)</f>
        <v>296.64</v>
      </c>
      <c r="E86" s="1"/>
      <c r="F86" s="5">
        <f t="shared" ref="F86:F92" si="45">IF(D$12=0,0,D86/D$12)</f>
        <v>1.0895111413753091E-3</v>
      </c>
      <c r="G86" s="1"/>
      <c r="H86" s="1">
        <f>SUM(OSRRefH22_10x_0)</f>
        <v>0</v>
      </c>
      <c r="I86" s="1"/>
      <c r="J86" s="5">
        <f t="shared" ref="J86:J92" si="46">IF(H$12=0,0,H86/H$12)</f>
        <v>0</v>
      </c>
      <c r="K86" s="1"/>
      <c r="L86" s="1">
        <f t="shared" ref="L86:L92" si="47">+D86-H86</f>
        <v>296.64</v>
      </c>
      <c r="M86" s="1"/>
      <c r="N86" s="5">
        <f t="shared" ref="N86:N92" si="48">IF(H86=0,0,L86/H86)</f>
        <v>0</v>
      </c>
      <c r="O86" s="14"/>
      <c r="P86" s="1">
        <f>SUM(OSRRefP22_10x_0)</f>
        <v>296.64</v>
      </c>
      <c r="Q86" s="1"/>
      <c r="R86" s="5">
        <f t="shared" ref="R86:R92" si="49">IF(P$12=0,0,P86/P$12)</f>
        <v>4.2014333482200182E-4</v>
      </c>
      <c r="S86" s="1"/>
      <c r="T86" s="1">
        <f>SUM(OSRRefT22_10x_0)</f>
        <v>283.5</v>
      </c>
      <c r="U86" s="1"/>
      <c r="V86" s="5">
        <f t="shared" ref="V86:V92" si="50">IF(T$12=0,0,T86/T$12)</f>
        <v>4.4865052331878884E-4</v>
      </c>
      <c r="W86" s="1"/>
      <c r="X86" s="1">
        <f t="shared" ref="X86:X92" si="51">+P86-T86</f>
        <v>13.139999999999986</v>
      </c>
      <c r="Y86" s="1"/>
      <c r="Z86" s="5">
        <f t="shared" ref="Z86:Z92" si="52">IF(T86=0,0,X86/T86)</f>
        <v>4.63492063492063E-2</v>
      </c>
    </row>
    <row r="87" spans="1:26" s="24" customFormat="1" hidden="1" outlineLevel="2" x14ac:dyDescent="0.25">
      <c r="A87" s="28"/>
      <c r="B87" s="11" t="str">
        <f>CONCATENATE("          ", "6275", " - ", "SUBSCRIPTIONS")</f>
        <v xml:space="preserve">          6275 - SUBSCRIPTIONS</v>
      </c>
      <c r="C87" s="11"/>
      <c r="D87" s="6">
        <v>296.64</v>
      </c>
      <c r="E87" s="2"/>
      <c r="F87" s="7">
        <f t="shared" si="45"/>
        <v>1.0895111413753091E-3</v>
      </c>
      <c r="G87" s="2"/>
      <c r="H87" s="6"/>
      <c r="I87" s="2"/>
      <c r="J87" s="7">
        <f t="shared" si="46"/>
        <v>0</v>
      </c>
      <c r="K87" s="2"/>
      <c r="L87" s="6">
        <f t="shared" si="47"/>
        <v>296.64</v>
      </c>
      <c r="M87" s="2"/>
      <c r="N87" s="7">
        <f t="shared" si="48"/>
        <v>0</v>
      </c>
      <c r="O87" s="11"/>
      <c r="P87" s="6">
        <v>296.64</v>
      </c>
      <c r="Q87" s="2"/>
      <c r="R87" s="7">
        <f t="shared" si="49"/>
        <v>4.2014333482200182E-4</v>
      </c>
      <c r="S87" s="2"/>
      <c r="T87" s="6">
        <v>283.5</v>
      </c>
      <c r="U87" s="2"/>
      <c r="V87" s="7">
        <f t="shared" si="50"/>
        <v>4.4865052331878884E-4</v>
      </c>
      <c r="W87" s="2"/>
      <c r="X87" s="6">
        <f t="shared" si="51"/>
        <v>13.139999999999986</v>
      </c>
      <c r="Y87" s="2"/>
      <c r="Z87" s="7">
        <f t="shared" si="52"/>
        <v>4.63492063492063E-2</v>
      </c>
    </row>
    <row r="88" spans="1:26" s="29" customFormat="1" outlineLevel="1" collapsed="1" x14ac:dyDescent="0.25">
      <c r="A88" s="27"/>
      <c r="B88" s="14" t="str">
        <f>CONCATENATE("     ","Supplies                                          ")</f>
        <v xml:space="preserve">     Supplies                                          </v>
      </c>
      <c r="C88" s="14"/>
      <c r="D88" s="1">
        <f>SUM(OSRRefD22_11x_0)</f>
        <v>290.02</v>
      </c>
      <c r="E88" s="1"/>
      <c r="F88" s="5">
        <f t="shared" si="45"/>
        <v>1.0651969431690505E-3</v>
      </c>
      <c r="G88" s="1"/>
      <c r="H88" s="1">
        <f>SUM(OSRRefH22_11x_0)</f>
        <v>283.05</v>
      </c>
      <c r="I88" s="1"/>
      <c r="J88" s="5">
        <f t="shared" si="46"/>
        <v>1.1822512695574248E-3</v>
      </c>
      <c r="K88" s="1"/>
      <c r="L88" s="1">
        <f t="shared" si="47"/>
        <v>6.9699999999999704</v>
      </c>
      <c r="M88" s="1"/>
      <c r="N88" s="5">
        <f t="shared" si="48"/>
        <v>2.462462462462452E-2</v>
      </c>
      <c r="O88" s="14"/>
      <c r="P88" s="1">
        <f>SUM(OSRRefP22_11x_0)</f>
        <v>1433.25</v>
      </c>
      <c r="Q88" s="1"/>
      <c r="R88" s="5">
        <f t="shared" si="49"/>
        <v>2.0299704511651637E-3</v>
      </c>
      <c r="S88" s="1"/>
      <c r="T88" s="1">
        <f>SUM(OSRRefT22_11x_0)</f>
        <v>720.82</v>
      </c>
      <c r="U88" s="1"/>
      <c r="V88" s="5">
        <f t="shared" si="50"/>
        <v>1.1407275845455006E-3</v>
      </c>
      <c r="W88" s="1"/>
      <c r="X88" s="1">
        <f t="shared" si="51"/>
        <v>712.43</v>
      </c>
      <c r="Y88" s="1"/>
      <c r="Z88" s="5">
        <f t="shared" si="52"/>
        <v>0.98836047834410801</v>
      </c>
    </row>
    <row r="89" spans="1:26" s="24" customFormat="1" hidden="1" outlineLevel="2" x14ac:dyDescent="0.25">
      <c r="A89" s="28"/>
      <c r="B89" s="11" t="str">
        <f>CONCATENATE("          ", "6234", " - ", "EXPENDABLE SUPPLIES &amp; EQUIPMEN")</f>
        <v xml:space="preserve">          6234 - EXPENDABLE SUPPLIES &amp; EQUIPMEN</v>
      </c>
      <c r="C89" s="11"/>
      <c r="D89" s="6"/>
      <c r="E89" s="2"/>
      <c r="F89" s="7">
        <f t="shared" si="45"/>
        <v>0</v>
      </c>
      <c r="G89" s="2"/>
      <c r="H89" s="6"/>
      <c r="I89" s="2"/>
      <c r="J89" s="7">
        <f t="shared" si="46"/>
        <v>0</v>
      </c>
      <c r="K89" s="2"/>
      <c r="L89" s="6">
        <f t="shared" si="47"/>
        <v>0</v>
      </c>
      <c r="M89" s="2"/>
      <c r="N89" s="7">
        <f t="shared" si="48"/>
        <v>0</v>
      </c>
      <c r="O89" s="11"/>
      <c r="P89" s="6">
        <v>-15.95</v>
      </c>
      <c r="Q89" s="2"/>
      <c r="R89" s="7">
        <f t="shared" si="49"/>
        <v>-2.25906357551609E-5</v>
      </c>
      <c r="S89" s="2"/>
      <c r="T89" s="6"/>
      <c r="U89" s="2"/>
      <c r="V89" s="7">
        <f t="shared" si="50"/>
        <v>0</v>
      </c>
      <c r="W89" s="2"/>
      <c r="X89" s="6">
        <f t="shared" si="51"/>
        <v>-15.95</v>
      </c>
      <c r="Y89" s="2"/>
      <c r="Z89" s="7">
        <f t="shared" si="52"/>
        <v>0</v>
      </c>
    </row>
    <row r="90" spans="1:26" s="24" customFormat="1" hidden="1" outlineLevel="2" x14ac:dyDescent="0.25">
      <c r="A90" s="28"/>
      <c r="B90" s="11" t="str">
        <f>CONCATENATE("          ", "6241", " - ", "OFFICE EXPENSE")</f>
        <v xml:space="preserve">          6241 - OFFICE EXPENSE</v>
      </c>
      <c r="C90" s="11"/>
      <c r="D90" s="6">
        <v>137.38</v>
      </c>
      <c r="E90" s="2"/>
      <c r="F90" s="7">
        <f t="shared" si="45"/>
        <v>5.0457470537398853E-4</v>
      </c>
      <c r="G90" s="2"/>
      <c r="H90" s="6">
        <v>76.05</v>
      </c>
      <c r="I90" s="2"/>
      <c r="J90" s="7">
        <f t="shared" si="46"/>
        <v>3.1764779738506325E-4</v>
      </c>
      <c r="K90" s="2"/>
      <c r="L90" s="6">
        <f t="shared" si="47"/>
        <v>61.33</v>
      </c>
      <c r="M90" s="2"/>
      <c r="N90" s="7">
        <f t="shared" si="48"/>
        <v>0.80644312952005259</v>
      </c>
      <c r="O90" s="11"/>
      <c r="P90" s="6">
        <v>1269.57</v>
      </c>
      <c r="Q90" s="2"/>
      <c r="R90" s="7">
        <f t="shared" si="49"/>
        <v>1.7981437890708229E-3</v>
      </c>
      <c r="S90" s="2"/>
      <c r="T90" s="6">
        <v>279.72000000000003</v>
      </c>
      <c r="U90" s="2"/>
      <c r="V90" s="7">
        <f t="shared" si="50"/>
        <v>4.4266851634120505E-4</v>
      </c>
      <c r="W90" s="2"/>
      <c r="X90" s="6">
        <f t="shared" si="51"/>
        <v>989.84999999999991</v>
      </c>
      <c r="Y90" s="2"/>
      <c r="Z90" s="7">
        <f t="shared" si="52"/>
        <v>3.538717288717288</v>
      </c>
    </row>
    <row r="91" spans="1:26" s="24" customFormat="1" hidden="1" outlineLevel="2" x14ac:dyDescent="0.25">
      <c r="A91" s="28"/>
      <c r="B91" s="11" t="str">
        <f>CONCATENATE("          ", "6245", " - ", "PRINTING")</f>
        <v xml:space="preserve">          6245 - PRINTING</v>
      </c>
      <c r="C91" s="11"/>
      <c r="D91" s="6"/>
      <c r="E91" s="2"/>
      <c r="F91" s="7">
        <f t="shared" si="45"/>
        <v>0</v>
      </c>
      <c r="G91" s="2"/>
      <c r="H91" s="6"/>
      <c r="I91" s="2"/>
      <c r="J91" s="7">
        <f t="shared" si="46"/>
        <v>0</v>
      </c>
      <c r="K91" s="2"/>
      <c r="L91" s="6">
        <f t="shared" si="47"/>
        <v>0</v>
      </c>
      <c r="M91" s="2"/>
      <c r="N91" s="7">
        <f t="shared" si="48"/>
        <v>0</v>
      </c>
      <c r="O91" s="11"/>
      <c r="P91" s="6"/>
      <c r="Q91" s="2"/>
      <c r="R91" s="7">
        <f t="shared" si="49"/>
        <v>0</v>
      </c>
      <c r="S91" s="2"/>
      <c r="T91" s="6">
        <v>220.5</v>
      </c>
      <c r="U91" s="2"/>
      <c r="V91" s="7">
        <f t="shared" si="50"/>
        <v>3.4895040702572465E-4</v>
      </c>
      <c r="W91" s="2"/>
      <c r="X91" s="6">
        <f t="shared" si="51"/>
        <v>-220.5</v>
      </c>
      <c r="Y91" s="2"/>
      <c r="Z91" s="7">
        <f t="shared" si="52"/>
        <v>-1</v>
      </c>
    </row>
    <row r="92" spans="1:26" s="24" customFormat="1" hidden="1" outlineLevel="2" x14ac:dyDescent="0.25">
      <c r="A92" s="28"/>
      <c r="B92" s="11" t="str">
        <f>CONCATENATE("          ", "6247", " - ", "STORE SUPPLIES")</f>
        <v xml:space="preserve">          6247 - STORE SUPPLIES</v>
      </c>
      <c r="C92" s="11"/>
      <c r="D92" s="6">
        <v>152.63999999999999</v>
      </c>
      <c r="E92" s="2"/>
      <c r="F92" s="7">
        <f t="shared" si="45"/>
        <v>5.6062223779506195E-4</v>
      </c>
      <c r="G92" s="2"/>
      <c r="H92" s="6">
        <v>207</v>
      </c>
      <c r="I92" s="2"/>
      <c r="J92" s="7">
        <f t="shared" si="46"/>
        <v>8.6460347217236146E-4</v>
      </c>
      <c r="K92" s="2"/>
      <c r="L92" s="6">
        <f t="shared" si="47"/>
        <v>-54.360000000000014</v>
      </c>
      <c r="M92" s="2"/>
      <c r="N92" s="7">
        <f t="shared" si="48"/>
        <v>-0.26260869565217398</v>
      </c>
      <c r="O92" s="11"/>
      <c r="P92" s="6">
        <v>179.63</v>
      </c>
      <c r="Q92" s="2"/>
      <c r="R92" s="7">
        <f t="shared" si="49"/>
        <v>2.5441729784950174E-4</v>
      </c>
      <c r="S92" s="2"/>
      <c r="T92" s="6">
        <v>220.6</v>
      </c>
      <c r="U92" s="2"/>
      <c r="V92" s="7">
        <f t="shared" si="50"/>
        <v>3.4910866117857076E-4</v>
      </c>
      <c r="W92" s="2"/>
      <c r="X92" s="6">
        <f t="shared" si="51"/>
        <v>-40.97</v>
      </c>
      <c r="Y92" s="2"/>
      <c r="Z92" s="7">
        <f t="shared" si="52"/>
        <v>-0.1857207615593835</v>
      </c>
    </row>
    <row r="93" spans="1:26" s="29" customFormat="1" outlineLevel="1" collapsed="1" x14ac:dyDescent="0.25">
      <c r="A93" s="27"/>
      <c r="B93" s="14" t="str">
        <f>CONCATENATE("     ","Telephone/Data Lines                              ")</f>
        <v xml:space="preserve">     Telephone/Data Lines                              </v>
      </c>
      <c r="C93" s="14"/>
      <c r="D93" s="1">
        <f>SUM(OSRRefD22_12x_0)</f>
        <v>939</v>
      </c>
      <c r="E93" s="1"/>
      <c r="F93" s="5">
        <f t="shared" ref="F93:F98" si="53">IF(D$12=0,0,D93/D$12)</f>
        <v>3.448796392096195E-3</v>
      </c>
      <c r="G93" s="1"/>
      <c r="H93" s="1">
        <f>SUM(OSRRefH22_12x_0)</f>
        <v>613</v>
      </c>
      <c r="I93" s="1"/>
      <c r="J93" s="5">
        <f t="shared" ref="J93:J98" si="54">IF(H$12=0,0,H93/H$12)</f>
        <v>2.560395789573225E-3</v>
      </c>
      <c r="K93" s="1"/>
      <c r="L93" s="1">
        <f t="shared" ref="L93:L98" si="55">+D93-H93</f>
        <v>326</v>
      </c>
      <c r="M93" s="1"/>
      <c r="N93" s="5">
        <f t="shared" ref="N93:N98" si="56">IF(H93=0,0,L93/H93)</f>
        <v>0.53181076672104399</v>
      </c>
      <c r="O93" s="14"/>
      <c r="P93" s="1">
        <f>SUM(OSRRefP22_12x_0)</f>
        <v>2048.52</v>
      </c>
      <c r="Q93" s="1"/>
      <c r="R93" s="5">
        <f t="shared" ref="R93:R98" si="57">IF(P$12=0,0,P93/P$12)</f>
        <v>2.901402454994496E-3</v>
      </c>
      <c r="S93" s="1"/>
      <c r="T93" s="1">
        <f>SUM(OSRRefT22_12x_0)</f>
        <v>1601.81</v>
      </c>
      <c r="U93" s="1"/>
      <c r="V93" s="5">
        <f t="shared" ref="V93:V98" si="58">IF(T$12=0,0,T93/T$12)</f>
        <v>2.5349308457046529E-3</v>
      </c>
      <c r="W93" s="1"/>
      <c r="X93" s="1">
        <f t="shared" ref="X93:X98" si="59">+P93-T93</f>
        <v>446.71000000000004</v>
      </c>
      <c r="Y93" s="1"/>
      <c r="Z93" s="5">
        <f t="shared" ref="Z93:Z98" si="60">IF(T93=0,0,X93/T93)</f>
        <v>0.27887826895824103</v>
      </c>
    </row>
    <row r="94" spans="1:26" s="24" customFormat="1" hidden="1" outlineLevel="2" x14ac:dyDescent="0.25">
      <c r="A94" s="28"/>
      <c r="B94" s="11" t="str">
        <f>CONCATENATE("          ", "6309", " - ", "TELEPHONE")</f>
        <v xml:space="preserve">          6309 - TELEPHONE</v>
      </c>
      <c r="C94" s="11"/>
      <c r="D94" s="6">
        <v>939</v>
      </c>
      <c r="E94" s="2"/>
      <c r="F94" s="7">
        <f t="shared" si="53"/>
        <v>3.448796392096195E-3</v>
      </c>
      <c r="G94" s="2"/>
      <c r="H94" s="6">
        <v>613</v>
      </c>
      <c r="I94" s="2"/>
      <c r="J94" s="7">
        <f t="shared" si="54"/>
        <v>2.560395789573225E-3</v>
      </c>
      <c r="K94" s="2"/>
      <c r="L94" s="6">
        <f t="shared" si="55"/>
        <v>326</v>
      </c>
      <c r="M94" s="2"/>
      <c r="N94" s="7">
        <f t="shared" si="56"/>
        <v>0.53181076672104399</v>
      </c>
      <c r="O94" s="11"/>
      <c r="P94" s="6">
        <v>2048.52</v>
      </c>
      <c r="Q94" s="2"/>
      <c r="R94" s="7">
        <f t="shared" si="57"/>
        <v>2.901402454994496E-3</v>
      </c>
      <c r="S94" s="2"/>
      <c r="T94" s="6">
        <v>1601.81</v>
      </c>
      <c r="U94" s="2"/>
      <c r="V94" s="7">
        <f t="shared" si="58"/>
        <v>2.5349308457046529E-3</v>
      </c>
      <c r="W94" s="2"/>
      <c r="X94" s="6">
        <f t="shared" si="59"/>
        <v>446.71000000000004</v>
      </c>
      <c r="Y94" s="2"/>
      <c r="Z94" s="7">
        <f t="shared" si="60"/>
        <v>0.27887826895824103</v>
      </c>
    </row>
    <row r="95" spans="1:26" s="29" customFormat="1" outlineLevel="1" collapsed="1" x14ac:dyDescent="0.25">
      <c r="A95" s="27"/>
      <c r="B95" s="14" t="str">
        <f>CONCATENATE("     ","Training                                          ")</f>
        <v xml:space="preserve">     Training                                          </v>
      </c>
      <c r="C95" s="14"/>
      <c r="D95" s="1">
        <f>SUM(OSRRefD22_13x_0)</f>
        <v>0</v>
      </c>
      <c r="E95" s="1"/>
      <c r="F95" s="5">
        <f t="shared" si="53"/>
        <v>0</v>
      </c>
      <c r="G95" s="1"/>
      <c r="H95" s="1">
        <f>SUM(OSRRefH22_13x_0)</f>
        <v>-196</v>
      </c>
      <c r="I95" s="1"/>
      <c r="J95" s="5">
        <f t="shared" si="54"/>
        <v>-8.1865836012455485E-4</v>
      </c>
      <c r="K95" s="1"/>
      <c r="L95" s="1">
        <f t="shared" si="55"/>
        <v>196</v>
      </c>
      <c r="M95" s="1"/>
      <c r="N95" s="5">
        <f t="shared" si="56"/>
        <v>-1</v>
      </c>
      <c r="O95" s="14"/>
      <c r="P95" s="1">
        <f>SUM(OSRRefP22_13x_0)</f>
        <v>103.5</v>
      </c>
      <c r="Q95" s="1"/>
      <c r="R95" s="5">
        <f t="shared" si="57"/>
        <v>1.4659127276859895E-4</v>
      </c>
      <c r="S95" s="1"/>
      <c r="T95" s="1">
        <f>SUM(OSRRefT22_13x_0)</f>
        <v>83.4</v>
      </c>
      <c r="U95" s="1"/>
      <c r="V95" s="5">
        <f t="shared" si="58"/>
        <v>1.3198396347367545E-4</v>
      </c>
      <c r="W95" s="1"/>
      <c r="X95" s="1">
        <f t="shared" si="59"/>
        <v>20.099999999999994</v>
      </c>
      <c r="Y95" s="1"/>
      <c r="Z95" s="5">
        <f t="shared" si="60"/>
        <v>0.24100719424460423</v>
      </c>
    </row>
    <row r="96" spans="1:26" s="24" customFormat="1" hidden="1" outlineLevel="2" x14ac:dyDescent="0.25">
      <c r="A96" s="28"/>
      <c r="B96" s="11" t="str">
        <f>CONCATENATE("          ", "6376", " - ", "TRAINING")</f>
        <v xml:space="preserve">          6376 - TRAINING</v>
      </c>
      <c r="C96" s="11"/>
      <c r="D96" s="6"/>
      <c r="E96" s="2"/>
      <c r="F96" s="7">
        <f t="shared" si="53"/>
        <v>0</v>
      </c>
      <c r="G96" s="2"/>
      <c r="H96" s="6">
        <v>-196</v>
      </c>
      <c r="I96" s="2"/>
      <c r="J96" s="7">
        <f t="shared" si="54"/>
        <v>-8.1865836012455485E-4</v>
      </c>
      <c r="K96" s="2"/>
      <c r="L96" s="6">
        <f t="shared" si="55"/>
        <v>196</v>
      </c>
      <c r="M96" s="2"/>
      <c r="N96" s="7">
        <f t="shared" si="56"/>
        <v>-1</v>
      </c>
      <c r="O96" s="11"/>
      <c r="P96" s="6">
        <v>103.5</v>
      </c>
      <c r="Q96" s="2"/>
      <c r="R96" s="7">
        <f t="shared" si="57"/>
        <v>1.4659127276859895E-4</v>
      </c>
      <c r="S96" s="2"/>
      <c r="T96" s="6">
        <v>83.4</v>
      </c>
      <c r="U96" s="2"/>
      <c r="V96" s="7">
        <f t="shared" si="58"/>
        <v>1.3198396347367545E-4</v>
      </c>
      <c r="W96" s="2"/>
      <c r="X96" s="6">
        <f t="shared" si="59"/>
        <v>20.099999999999994</v>
      </c>
      <c r="Y96" s="2"/>
      <c r="Z96" s="7">
        <f t="shared" si="60"/>
        <v>0.24100719424460423</v>
      </c>
    </row>
    <row r="97" spans="1:26" s="29" customFormat="1" outlineLevel="1" collapsed="1" x14ac:dyDescent="0.25">
      <c r="A97" s="27"/>
      <c r="B97" s="14" t="str">
        <f>CONCATENATE("     ","Travel                                            ")</f>
        <v xml:space="preserve">     Travel                                            </v>
      </c>
      <c r="C97" s="14"/>
      <c r="D97" s="1">
        <f>SUM(OSRRefD22_14x_0)</f>
        <v>0</v>
      </c>
      <c r="E97" s="1"/>
      <c r="F97" s="5">
        <f t="shared" si="53"/>
        <v>0</v>
      </c>
      <c r="G97" s="1"/>
      <c r="H97" s="1">
        <f>SUM(OSRRefH22_14x_0)</f>
        <v>0</v>
      </c>
      <c r="I97" s="1"/>
      <c r="J97" s="5">
        <f t="shared" si="54"/>
        <v>0</v>
      </c>
      <c r="K97" s="1"/>
      <c r="L97" s="1">
        <f t="shared" si="55"/>
        <v>0</v>
      </c>
      <c r="M97" s="1"/>
      <c r="N97" s="5">
        <f t="shared" si="56"/>
        <v>0</v>
      </c>
      <c r="O97" s="14"/>
      <c r="P97" s="1">
        <f>SUM(OSRRefP22_14x_0)</f>
        <v>0</v>
      </c>
      <c r="Q97" s="1"/>
      <c r="R97" s="5">
        <f t="shared" si="57"/>
        <v>0</v>
      </c>
      <c r="S97" s="1"/>
      <c r="T97" s="1">
        <f>SUM(OSRRefT22_14x_0)</f>
        <v>39.35</v>
      </c>
      <c r="U97" s="1"/>
      <c r="V97" s="5">
        <f t="shared" si="58"/>
        <v>6.2273009144953585E-5</v>
      </c>
      <c r="W97" s="1"/>
      <c r="X97" s="1">
        <f t="shared" si="59"/>
        <v>-39.35</v>
      </c>
      <c r="Y97" s="1"/>
      <c r="Z97" s="5">
        <f t="shared" si="60"/>
        <v>-1</v>
      </c>
    </row>
    <row r="98" spans="1:26" s="24" customFormat="1" hidden="1" outlineLevel="2" x14ac:dyDescent="0.25">
      <c r="A98" s="28"/>
      <c r="B98" s="11" t="str">
        <f>CONCATENATE("          ", "6294", " - ", "TRAVEL OPERATIONAL")</f>
        <v xml:space="preserve">          6294 - TRAVEL OPERATIONAL</v>
      </c>
      <c r="C98" s="11"/>
      <c r="D98" s="6"/>
      <c r="E98" s="2"/>
      <c r="F98" s="7">
        <f t="shared" si="53"/>
        <v>0</v>
      </c>
      <c r="G98" s="2"/>
      <c r="H98" s="6"/>
      <c r="I98" s="2"/>
      <c r="J98" s="7">
        <f t="shared" si="54"/>
        <v>0</v>
      </c>
      <c r="K98" s="2"/>
      <c r="L98" s="6">
        <f t="shared" si="55"/>
        <v>0</v>
      </c>
      <c r="M98" s="2"/>
      <c r="N98" s="7">
        <f t="shared" si="56"/>
        <v>0</v>
      </c>
      <c r="O98" s="11"/>
      <c r="P98" s="6"/>
      <c r="Q98" s="2"/>
      <c r="R98" s="7">
        <f t="shared" si="57"/>
        <v>0</v>
      </c>
      <c r="S98" s="2"/>
      <c r="T98" s="6">
        <v>39.35</v>
      </c>
      <c r="U98" s="2"/>
      <c r="V98" s="7">
        <f t="shared" si="58"/>
        <v>6.2273009144953585E-5</v>
      </c>
      <c r="W98" s="2"/>
      <c r="X98" s="6">
        <f t="shared" si="59"/>
        <v>-39.35</v>
      </c>
      <c r="Y98" s="2"/>
      <c r="Z98" s="7">
        <f t="shared" si="60"/>
        <v>-1</v>
      </c>
    </row>
    <row r="99" spans="1:26" s="53" customFormat="1" x14ac:dyDescent="0.25">
      <c r="A99" s="37"/>
      <c r="B99" s="37"/>
      <c r="C99" s="37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7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collapsed="1" x14ac:dyDescent="0.25">
      <c r="A100" s="10"/>
      <c r="B100" s="25" t="s">
        <v>0</v>
      </c>
      <c r="C100" s="10"/>
      <c r="D100" s="4">
        <f>SUM(OSRRefD25x_0)</f>
        <v>0</v>
      </c>
      <c r="E100" s="4"/>
      <c r="F100" s="12">
        <f t="shared" ref="F100:F101" si="61">IF(D$12=0,0,D100/D$12)</f>
        <v>0</v>
      </c>
      <c r="G100" s="4"/>
      <c r="H100" s="4">
        <f>SUM(OSRRefH25x_0)</f>
        <v>15167.42</v>
      </c>
      <c r="I100" s="4"/>
      <c r="J100" s="12">
        <f t="shared" ref="J100:J101" si="62">IF(H$12=0,0,H100/H$12)</f>
        <v>6.335171012510396E-2</v>
      </c>
      <c r="K100" s="4"/>
      <c r="L100" s="4">
        <f t="shared" ref="L100:L101" si="63">+D100-H100</f>
        <v>-15167.42</v>
      </c>
      <c r="M100" s="4"/>
      <c r="N100" s="12">
        <f t="shared" ref="N100:N101" si="64">IF(H100=0,0,L100/H100)</f>
        <v>-1</v>
      </c>
      <c r="O100" s="10"/>
      <c r="P100" s="4">
        <f>SUM(OSRRefP25x_0)</f>
        <v>14396.98</v>
      </c>
      <c r="Q100" s="4"/>
      <c r="R100" s="12">
        <f t="shared" ref="R100:R101" si="65">IF(P$12=0,0,P100/P$12)</f>
        <v>2.0391030166416073E-2</v>
      </c>
      <c r="S100" s="4"/>
      <c r="T100" s="4">
        <f>SUM(OSRRefT25x_0)</f>
        <v>33553.230000000003</v>
      </c>
      <c r="U100" s="4"/>
      <c r="V100" s="12">
        <f t="shared" ref="V100:V101" si="66">IF(T$12=0,0,T100/T$12)</f>
        <v>5.3099379889014767E-2</v>
      </c>
      <c r="W100" s="4"/>
      <c r="X100" s="4">
        <f t="shared" ref="X100:X101" si="67">+P100-T100</f>
        <v>-19156.250000000004</v>
      </c>
      <c r="Y100" s="4"/>
      <c r="Z100" s="12">
        <f t="shared" ref="Z100:Z101" si="68">IF(T100=0,0,X100/T100)</f>
        <v>-0.57092119000167796</v>
      </c>
    </row>
    <row r="101" spans="1:26" s="24" customFormat="1" hidden="1" outlineLevel="1" x14ac:dyDescent="0.25">
      <c r="A101" s="44"/>
      <c r="B101" s="11" t="str">
        <f>CONCATENATE("          ", "9150", " - ", "MISC. INCOME")</f>
        <v xml:space="preserve">          9150 - MISC. INCOME</v>
      </c>
      <c r="C101" s="11"/>
      <c r="D101" s="2">
        <f>0</f>
        <v>0</v>
      </c>
      <c r="E101" s="2"/>
      <c r="F101" s="19">
        <f t="shared" si="61"/>
        <v>0</v>
      </c>
      <c r="G101" s="2"/>
      <c r="H101" s="2">
        <f>--15167.42</f>
        <v>15167.42</v>
      </c>
      <c r="I101" s="2"/>
      <c r="J101" s="19">
        <f t="shared" si="62"/>
        <v>6.335171012510396E-2</v>
      </c>
      <c r="K101" s="2"/>
      <c r="L101" s="2">
        <f t="shared" si="63"/>
        <v>-15167.42</v>
      </c>
      <c r="M101" s="2"/>
      <c r="N101" s="19">
        <f t="shared" si="64"/>
        <v>-1</v>
      </c>
      <c r="O101" s="11"/>
      <c r="P101" s="2">
        <f>--14396.98</f>
        <v>14396.98</v>
      </c>
      <c r="Q101" s="2"/>
      <c r="R101" s="19">
        <f t="shared" si="65"/>
        <v>2.0391030166416073E-2</v>
      </c>
      <c r="S101" s="2"/>
      <c r="T101" s="2">
        <f>--33553.23</f>
        <v>33553.230000000003</v>
      </c>
      <c r="U101" s="2"/>
      <c r="V101" s="19">
        <f t="shared" si="66"/>
        <v>5.3099379889014767E-2</v>
      </c>
      <c r="W101" s="2"/>
      <c r="X101" s="2">
        <f t="shared" si="67"/>
        <v>-19156.250000000004</v>
      </c>
      <c r="Y101" s="2"/>
      <c r="Z101" s="19">
        <f t="shared" si="68"/>
        <v>-0.57092119000167796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6" t="s">
        <v>3</v>
      </c>
      <c r="C103" s="26"/>
      <c r="D103" s="21">
        <f>+D50-D52+D100</f>
        <v>99711.820000000094</v>
      </c>
      <c r="E103" s="13"/>
      <c r="F103" s="20">
        <f>IF(D$12=0,0,D103/D$12)</f>
        <v>0.36622552190132646</v>
      </c>
      <c r="G103" s="13"/>
      <c r="H103" s="21">
        <f>+H50-H52+H100</f>
        <v>105532.77999999996</v>
      </c>
      <c r="I103" s="13"/>
      <c r="J103" s="20">
        <f>IF(H$12=0,0,H103/H$12)</f>
        <v>0.44079230925604784</v>
      </c>
      <c r="K103" s="15"/>
      <c r="L103" s="21">
        <f>+D103-H103</f>
        <v>-5820.9599999998609</v>
      </c>
      <c r="M103" s="15"/>
      <c r="N103" s="20">
        <f>IF(H103=0,0,L103/H103)</f>
        <v>-5.5157838161752806E-2</v>
      </c>
      <c r="O103" s="25"/>
      <c r="P103" s="21">
        <f>+P50-P52+P100</f>
        <v>239358.42</v>
      </c>
      <c r="Q103" s="13"/>
      <c r="R103" s="20">
        <f>IF(P$12=0,0,P103/P$12)</f>
        <v>0.33901309599691665</v>
      </c>
      <c r="S103" s="13"/>
      <c r="T103" s="21">
        <f>+T50-T52+T100</f>
        <v>241135.94000000009</v>
      </c>
      <c r="U103" s="13"/>
      <c r="V103" s="20">
        <f>IF(T$12=0,0,T103/T$12)</f>
        <v>0.38160763905456124</v>
      </c>
      <c r="W103" s="15"/>
      <c r="X103" s="21">
        <f>+P103-T103</f>
        <v>-1777.5200000000768</v>
      </c>
      <c r="Y103" s="15"/>
      <c r="Z103" s="20">
        <f>IF(T103=0,0,X103/T103)</f>
        <v>-7.3714436761275664E-3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1"/>
      <c r="B105" s="10" t="s">
        <v>13</v>
      </c>
      <c r="C105" s="10"/>
      <c r="D105" s="4">
        <v>21754.62</v>
      </c>
      <c r="E105" s="4"/>
      <c r="F105" s="12">
        <f>IF(D$12=0,0,D105/D$12)</f>
        <v>7.9901229997256365E-2</v>
      </c>
      <c r="G105" s="4"/>
      <c r="H105" s="4">
        <v>16071.8</v>
      </c>
      <c r="I105" s="4"/>
      <c r="J105" s="12">
        <f>IF(H$12=0,0,H105/H$12)</f>
        <v>6.7129150164539894E-2</v>
      </c>
      <c r="K105" s="4"/>
      <c r="L105" s="4">
        <f>+D105-H105</f>
        <v>5682.82</v>
      </c>
      <c r="M105" s="4"/>
      <c r="N105" s="12">
        <f>IF(H105=0,0,L105/H105)</f>
        <v>0.35358951704227282</v>
      </c>
      <c r="O105" s="10"/>
      <c r="P105" s="4">
        <v>75838.559999999998</v>
      </c>
      <c r="Q105" s="4"/>
      <c r="R105" s="12">
        <f>IF(P$12=0,0,P105/P$12)</f>
        <v>0.10741324671823919</v>
      </c>
      <c r="S105" s="4"/>
      <c r="T105" s="4">
        <v>56142.04</v>
      </c>
      <c r="U105" s="4"/>
      <c r="V105" s="12">
        <f>IF(T$12=0,0,T105/T$12)</f>
        <v>8.8847109792537488E-2</v>
      </c>
      <c r="W105" s="4"/>
      <c r="X105" s="4">
        <f>+P105-T105</f>
        <v>19696.519999999997</v>
      </c>
      <c r="Y105" s="4"/>
      <c r="Z105" s="12">
        <f>IF(T105=0,0,X105/T105)</f>
        <v>0.35083370679084686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6" t="s">
        <v>4</v>
      </c>
      <c r="C107" s="26"/>
      <c r="D107" s="35">
        <f>+D103-D105</f>
        <v>77957.200000000099</v>
      </c>
      <c r="E107" s="13"/>
      <c r="F107" s="30">
        <f>IF(D$12=0,0,D107/D$12)</f>
        <v>0.28632429190407011</v>
      </c>
      <c r="G107" s="13"/>
      <c r="H107" s="35">
        <f>+H103-H105</f>
        <v>89460.979999999952</v>
      </c>
      <c r="I107" s="13"/>
      <c r="J107" s="30">
        <f>IF(H$12=0,0,H107/H$12)</f>
        <v>0.37366315909150793</v>
      </c>
      <c r="K107" s="15"/>
      <c r="L107" s="35">
        <f>D107-H107</f>
        <v>-11503.779999999853</v>
      </c>
      <c r="M107" s="15"/>
      <c r="N107" s="30">
        <f>IF(H107=0,0,L107/H107)</f>
        <v>-0.1285899170789305</v>
      </c>
      <c r="O107" s="25"/>
      <c r="P107" s="35">
        <f>+P103-P105</f>
        <v>163519.86000000002</v>
      </c>
      <c r="Q107" s="13"/>
      <c r="R107" s="30">
        <f>IF(P$12=0,0,P107/P$12)</f>
        <v>0.23159984927867744</v>
      </c>
      <c r="S107" s="13"/>
      <c r="T107" s="35">
        <f>+T103-T105</f>
        <v>184993.90000000008</v>
      </c>
      <c r="U107" s="13"/>
      <c r="V107" s="30">
        <f>IF(T$12=0,0,T107/T$12)</f>
        <v>0.29276052926202373</v>
      </c>
      <c r="W107" s="15"/>
      <c r="X107" s="35">
        <f>P107-T107</f>
        <v>-21474.040000000066</v>
      </c>
      <c r="Y107" s="15"/>
      <c r="Z107" s="30">
        <f>IF(T107=0,0,X107/T107)</f>
        <v>-0.1160797193853422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6" t="s">
        <v>5</v>
      </c>
      <c r="C110" s="26"/>
      <c r="D110" s="36">
        <f>SUM(D107:D109)</f>
        <v>77957.200000000099</v>
      </c>
      <c r="E110" s="13"/>
      <c r="F110" s="31">
        <f>IF(D$12=0,0,D110/D$12)</f>
        <v>0.28632429190407011</v>
      </c>
      <c r="G110" s="13"/>
      <c r="H110" s="36">
        <f>SUM(H107:H109)</f>
        <v>89460.979999999952</v>
      </c>
      <c r="I110" s="13"/>
      <c r="J110" s="31">
        <f>IF(H$12=0,0,H110/H$12)</f>
        <v>0.37366315909150793</v>
      </c>
      <c r="K110" s="15"/>
      <c r="L110" s="36">
        <f>+D110-H110</f>
        <v>-11503.779999999853</v>
      </c>
      <c r="M110" s="15"/>
      <c r="N110" s="31">
        <f>IF(H110=0,0,L110/H110)</f>
        <v>-0.1285899170789305</v>
      </c>
      <c r="O110" s="25"/>
      <c r="P110" s="36">
        <f>SUM(P107:P109)</f>
        <v>163519.86000000002</v>
      </c>
      <c r="Q110" s="13"/>
      <c r="R110" s="31">
        <f>IF(P$12=0,0,P110/P$12)</f>
        <v>0.23159984927867744</v>
      </c>
      <c r="S110" s="13"/>
      <c r="T110" s="36">
        <f>SUM(T107:T109)</f>
        <v>184993.90000000008</v>
      </c>
      <c r="U110" s="13"/>
      <c r="V110" s="31">
        <f>IF(T$12=0,0,T110/T$12)</f>
        <v>0.29276052926202373</v>
      </c>
      <c r="W110" s="15"/>
      <c r="X110" s="36">
        <f>+P110-T110</f>
        <v>-21474.040000000066</v>
      </c>
      <c r="Y110" s="15"/>
      <c r="Z110" s="31">
        <f>IF(T110=0,0,X110/T110)</f>
        <v>-0.1160797193853422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5">
        <v>43756.463046180557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6" t="s">
        <v>313</v>
      </c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57"/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","326", " - ", "2nd Street Store")</f>
        <v>Department 326 - 2nd Street Store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32562.700000000008</v>
      </c>
      <c r="E12" s="4"/>
      <c r="F12" s="12"/>
      <c r="G12" s="4"/>
      <c r="H12" s="4">
        <f>SUM(OSRRefH13x_0)</f>
        <v>34678.520000000004</v>
      </c>
      <c r="I12" s="4"/>
      <c r="J12" s="12"/>
      <c r="K12" s="4"/>
      <c r="L12" s="4">
        <f t="shared" ref="L12:L33" si="0">+D12-H12</f>
        <v>-2115.8199999999961</v>
      </c>
      <c r="M12" s="4"/>
      <c r="N12" s="12">
        <f t="shared" ref="N12:N33" si="1">IF(H12=0,0,L12/H12)</f>
        <v>-6.1012407680604473E-2</v>
      </c>
      <c r="O12" s="10"/>
      <c r="P12" s="4">
        <f>SUM(OSRRefP13x_0)</f>
        <v>153538.67999999996</v>
      </c>
      <c r="Q12" s="4"/>
      <c r="R12" s="12"/>
      <c r="S12" s="4"/>
      <c r="T12" s="4">
        <f>SUM(OSRRefT13x_0)</f>
        <v>129626.33000000005</v>
      </c>
      <c r="U12" s="4"/>
      <c r="V12" s="12"/>
      <c r="W12" s="4"/>
      <c r="X12" s="4">
        <f t="shared" ref="X12:X33" si="2">+P12-T12</f>
        <v>23912.349999999919</v>
      </c>
      <c r="Y12" s="4"/>
      <c r="Z12" s="12">
        <f t="shared" ref="Z12:Z33" si="3">IF(T12=0,0,X12/T12)</f>
        <v>0.18447139558760869</v>
      </c>
    </row>
    <row r="13" spans="1:26" s="24" customFormat="1" hidden="1" outlineLevel="1" x14ac:dyDescent="0.25">
      <c r="A13" s="44"/>
      <c r="B13" s="11" t="str">
        <f>CONCATENATE("          ", "4025", " - ", "TAXABLE SALES-TEST FORMS")</f>
        <v xml:space="preserve">          4025 - TAXABLE SALES-TEST FORMS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--14.49</f>
        <v>14.49</v>
      </c>
      <c r="U13" s="2"/>
      <c r="V13" s="19"/>
      <c r="W13" s="2"/>
      <c r="X13" s="2">
        <f t="shared" si="2"/>
        <v>-14.49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--19.16</f>
        <v>19.16</v>
      </c>
      <c r="E14" s="2"/>
      <c r="F14" s="19"/>
      <c r="G14" s="2"/>
      <c r="H14" s="2">
        <f>--19.99</f>
        <v>19.989999999999998</v>
      </c>
      <c r="I14" s="2"/>
      <c r="J14" s="19"/>
      <c r="K14" s="2"/>
      <c r="L14" s="2">
        <f t="shared" si="0"/>
        <v>-0.82999999999999829</v>
      </c>
      <c r="M14" s="2"/>
      <c r="N14" s="19">
        <f t="shared" si="1"/>
        <v>-4.1520760380190015E-2</v>
      </c>
      <c r="O14" s="11"/>
      <c r="P14" s="2">
        <f>--83.72</f>
        <v>83.72</v>
      </c>
      <c r="Q14" s="2"/>
      <c r="R14" s="19"/>
      <c r="S14" s="2"/>
      <c r="T14" s="2">
        <f>--70.65</f>
        <v>70.650000000000006</v>
      </c>
      <c r="U14" s="2"/>
      <c r="V14" s="19"/>
      <c r="W14" s="2"/>
      <c r="X14" s="2">
        <f t="shared" si="2"/>
        <v>13.069999999999993</v>
      </c>
      <c r="Y14" s="2"/>
      <c r="Z14" s="19">
        <f t="shared" si="3"/>
        <v>0.18499646142958234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--7.48</f>
        <v>7.48</v>
      </c>
      <c r="E15" s="2"/>
      <c r="F15" s="19"/>
      <c r="G15" s="2"/>
      <c r="H15" s="2">
        <f>--10.28</f>
        <v>10.28</v>
      </c>
      <c r="I15" s="2"/>
      <c r="J15" s="19"/>
      <c r="K15" s="2"/>
      <c r="L15" s="2">
        <f t="shared" si="0"/>
        <v>-2.7999999999999989</v>
      </c>
      <c r="M15" s="2"/>
      <c r="N15" s="19">
        <f t="shared" si="1"/>
        <v>-0.27237354085603105</v>
      </c>
      <c r="O15" s="11"/>
      <c r="P15" s="2">
        <f>--47.91</f>
        <v>47.91</v>
      </c>
      <c r="Q15" s="2"/>
      <c r="R15" s="19"/>
      <c r="S15" s="2"/>
      <c r="T15" s="2">
        <f>--294.47</f>
        <v>294.47000000000003</v>
      </c>
      <c r="U15" s="2"/>
      <c r="V15" s="19"/>
      <c r="W15" s="2"/>
      <c r="X15" s="2">
        <f t="shared" si="2"/>
        <v>-246.56000000000003</v>
      </c>
      <c r="Y15" s="2"/>
      <c r="Z15" s="19">
        <f t="shared" si="3"/>
        <v>-0.8373009135056203</v>
      </c>
    </row>
    <row r="16" spans="1:26" s="24" customFormat="1" hidden="1" outlineLevel="1" x14ac:dyDescent="0.25">
      <c r="A16" s="44"/>
      <c r="B16" s="11" t="str">
        <f>CONCATENATE("          ", "4034", " - ", "TAXABLE SALES-SODA")</f>
        <v xml:space="preserve">          4034 - TAXABLE SALES-SODA</v>
      </c>
      <c r="C16" s="11"/>
      <c r="D16" s="2">
        <f>0</f>
        <v>0</v>
      </c>
      <c r="E16" s="2"/>
      <c r="F16" s="19"/>
      <c r="G16" s="2"/>
      <c r="H16" s="2">
        <f>--7</f>
        <v>7</v>
      </c>
      <c r="I16" s="2"/>
      <c r="J16" s="19"/>
      <c r="K16" s="2"/>
      <c r="L16" s="2">
        <f t="shared" si="0"/>
        <v>-7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--40.25</f>
        <v>40.25</v>
      </c>
      <c r="U16" s="2"/>
      <c r="V16" s="19"/>
      <c r="W16" s="2"/>
      <c r="X16" s="2">
        <f t="shared" si="2"/>
        <v>-40.25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--27799.65</f>
        <v>27799.65</v>
      </c>
      <c r="E17" s="2"/>
      <c r="F17" s="19"/>
      <c r="G17" s="2"/>
      <c r="H17" s="2">
        <f>--29897.72</f>
        <v>29897.72</v>
      </c>
      <c r="I17" s="2"/>
      <c r="J17" s="19"/>
      <c r="K17" s="2"/>
      <c r="L17" s="2">
        <f t="shared" si="0"/>
        <v>-2098.0699999999997</v>
      </c>
      <c r="M17" s="2"/>
      <c r="N17" s="19">
        <f t="shared" si="1"/>
        <v>-7.0174916348136232E-2</v>
      </c>
      <c r="O17" s="11"/>
      <c r="P17" s="2">
        <f>--128356.45</f>
        <v>128356.45</v>
      </c>
      <c r="Q17" s="2"/>
      <c r="R17" s="19"/>
      <c r="S17" s="2"/>
      <c r="T17" s="2">
        <f>--107803.8</f>
        <v>107803.8</v>
      </c>
      <c r="U17" s="2"/>
      <c r="V17" s="19"/>
      <c r="W17" s="2"/>
      <c r="X17" s="2">
        <f t="shared" si="2"/>
        <v>20552.649999999994</v>
      </c>
      <c r="Y17" s="2"/>
      <c r="Z17" s="19">
        <f t="shared" si="3"/>
        <v>0.19064865988026392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--3929.16</f>
        <v>3929.16</v>
      </c>
      <c r="E18" s="2"/>
      <c r="F18" s="19"/>
      <c r="G18" s="2"/>
      <c r="H18" s="2">
        <f>--4174.25</f>
        <v>4174.25</v>
      </c>
      <c r="I18" s="2"/>
      <c r="J18" s="19"/>
      <c r="K18" s="2"/>
      <c r="L18" s="2">
        <f t="shared" si="0"/>
        <v>-245.09000000000015</v>
      </c>
      <c r="M18" s="2"/>
      <c r="N18" s="19">
        <f t="shared" si="1"/>
        <v>-5.8714739174702074E-2</v>
      </c>
      <c r="O18" s="11"/>
      <c r="P18" s="2">
        <f>--17394.69</f>
        <v>17394.689999999999</v>
      </c>
      <c r="Q18" s="2"/>
      <c r="R18" s="19"/>
      <c r="S18" s="2"/>
      <c r="T18" s="2">
        <f>--16479.27</f>
        <v>16479.27</v>
      </c>
      <c r="U18" s="2"/>
      <c r="V18" s="19"/>
      <c r="W18" s="2"/>
      <c r="X18" s="2">
        <f t="shared" si="2"/>
        <v>915.41999999999825</v>
      </c>
      <c r="Y18" s="2"/>
      <c r="Z18" s="19">
        <f t="shared" si="3"/>
        <v>5.5549790737089579E-2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--2319.31</f>
        <v>2319.31</v>
      </c>
      <c r="E19" s="2"/>
      <c r="F19" s="19"/>
      <c r="G19" s="2"/>
      <c r="H19" s="2">
        <f>--1637.46</f>
        <v>1637.46</v>
      </c>
      <c r="I19" s="2"/>
      <c r="J19" s="19"/>
      <c r="K19" s="2"/>
      <c r="L19" s="2">
        <f t="shared" si="0"/>
        <v>681.84999999999991</v>
      </c>
      <c r="M19" s="2"/>
      <c r="N19" s="19">
        <f t="shared" si="1"/>
        <v>0.41640711834182204</v>
      </c>
      <c r="O19" s="11"/>
      <c r="P19" s="2">
        <f>--11482.5</f>
        <v>11482.5</v>
      </c>
      <c r="Q19" s="2"/>
      <c r="R19" s="19"/>
      <c r="S19" s="2"/>
      <c r="T19" s="2">
        <f>--7541.81</f>
        <v>7541.81</v>
      </c>
      <c r="U19" s="2"/>
      <c r="V19" s="19"/>
      <c r="W19" s="2"/>
      <c r="X19" s="2">
        <f t="shared" si="2"/>
        <v>3940.6899999999996</v>
      </c>
      <c r="Y19" s="2"/>
      <c r="Z19" s="19">
        <f t="shared" si="3"/>
        <v>0.52251250031491103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0</f>
        <v>0</v>
      </c>
      <c r="E20" s="2"/>
      <c r="F20" s="19"/>
      <c r="G20" s="2"/>
      <c r="H20" s="2">
        <f>--21.99</f>
        <v>21.99</v>
      </c>
      <c r="I20" s="2"/>
      <c r="J20" s="19"/>
      <c r="K20" s="2"/>
      <c r="L20" s="2">
        <f t="shared" si="0"/>
        <v>-21.99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--83.96</f>
        <v>83.96</v>
      </c>
      <c r="U20" s="2"/>
      <c r="V20" s="19"/>
      <c r="W20" s="2"/>
      <c r="X20" s="2">
        <f t="shared" si="2"/>
        <v>-83.96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--176.55</f>
        <v>176.55</v>
      </c>
      <c r="E21" s="2"/>
      <c r="F21" s="19"/>
      <c r="G21" s="2"/>
      <c r="H21" s="2">
        <f>--396.25</f>
        <v>396.25</v>
      </c>
      <c r="I21" s="2"/>
      <c r="J21" s="19"/>
      <c r="K21" s="2"/>
      <c r="L21" s="2">
        <f t="shared" si="0"/>
        <v>-219.7</v>
      </c>
      <c r="M21" s="2"/>
      <c r="N21" s="19">
        <f t="shared" si="1"/>
        <v>-0.55444794952681387</v>
      </c>
      <c r="O21" s="11"/>
      <c r="P21" s="2">
        <f>--938.5</f>
        <v>938.5</v>
      </c>
      <c r="Q21" s="2"/>
      <c r="R21" s="19"/>
      <c r="S21" s="2"/>
      <c r="T21" s="2">
        <f>--2388.65</f>
        <v>2388.65</v>
      </c>
      <c r="U21" s="2"/>
      <c r="V21" s="19"/>
      <c r="W21" s="2"/>
      <c r="X21" s="2">
        <f t="shared" si="2"/>
        <v>-1450.15</v>
      </c>
      <c r="Y21" s="2"/>
      <c r="Z21" s="19">
        <f t="shared" si="3"/>
        <v>-0.60710024490821179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 t="shared" ref="D22:D23" si="4">0</f>
        <v>0</v>
      </c>
      <c r="E22" s="2"/>
      <c r="F22" s="19"/>
      <c r="G22" s="2"/>
      <c r="H22" s="2">
        <f>--36.9</f>
        <v>36.9</v>
      </c>
      <c r="I22" s="2"/>
      <c r="J22" s="19"/>
      <c r="K22" s="2"/>
      <c r="L22" s="2">
        <f t="shared" si="0"/>
        <v>-36.9</v>
      </c>
      <c r="M22" s="2"/>
      <c r="N22" s="19">
        <f t="shared" si="1"/>
        <v>-1</v>
      </c>
      <c r="O22" s="11"/>
      <c r="P22" s="2">
        <f>--367.76</f>
        <v>367.76</v>
      </c>
      <c r="Q22" s="2"/>
      <c r="R22" s="19"/>
      <c r="S22" s="2"/>
      <c r="T22" s="2">
        <f>--486.75</f>
        <v>486.75</v>
      </c>
      <c r="U22" s="2"/>
      <c r="V22" s="19"/>
      <c r="W22" s="2"/>
      <c r="X22" s="2">
        <f t="shared" si="2"/>
        <v>-118.99000000000001</v>
      </c>
      <c r="Y22" s="2"/>
      <c r="Z22" s="19">
        <f t="shared" si="3"/>
        <v>-0.2444581407293272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 t="shared" si="4"/>
        <v>0</v>
      </c>
      <c r="E23" s="2"/>
      <c r="F23" s="19"/>
      <c r="G23" s="2"/>
      <c r="H23" s="2">
        <f t="shared" ref="H23:H24" si="5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>--6.93</f>
        <v>6.93</v>
      </c>
      <c r="E24" s="2"/>
      <c r="F24" s="19"/>
      <c r="G24" s="2"/>
      <c r="H24" s="2">
        <f t="shared" si="5"/>
        <v>0</v>
      </c>
      <c r="I24" s="2"/>
      <c r="J24" s="19"/>
      <c r="K24" s="2"/>
      <c r="L24" s="2">
        <f t="shared" si="0"/>
        <v>6.93</v>
      </c>
      <c r="M24" s="2"/>
      <c r="N24" s="19">
        <f t="shared" si="1"/>
        <v>0</v>
      </c>
      <c r="O24" s="11"/>
      <c r="P24" s="2">
        <f>--23.76</f>
        <v>23.76</v>
      </c>
      <c r="Q24" s="2"/>
      <c r="R24" s="19"/>
      <c r="S24" s="2"/>
      <c r="T24" s="2">
        <f>--10.89</f>
        <v>10.89</v>
      </c>
      <c r="U24" s="2"/>
      <c r="V24" s="19"/>
      <c r="W24" s="2"/>
      <c r="X24" s="2">
        <f t="shared" si="2"/>
        <v>12.870000000000001</v>
      </c>
      <c r="Y24" s="2"/>
      <c r="Z24" s="19">
        <f t="shared" si="3"/>
        <v>1.1818181818181819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--19.5</f>
        <v>19.5</v>
      </c>
      <c r="E25" s="2"/>
      <c r="F25" s="19"/>
      <c r="G25" s="2"/>
      <c r="H25" s="2">
        <f>--6</f>
        <v>6</v>
      </c>
      <c r="I25" s="2"/>
      <c r="J25" s="19"/>
      <c r="K25" s="2"/>
      <c r="L25" s="2">
        <f t="shared" si="0"/>
        <v>13.5</v>
      </c>
      <c r="M25" s="2"/>
      <c r="N25" s="19">
        <f t="shared" si="1"/>
        <v>2.25</v>
      </c>
      <c r="O25" s="11"/>
      <c r="P25" s="2">
        <f>--73.5</f>
        <v>73.5</v>
      </c>
      <c r="Q25" s="2"/>
      <c r="R25" s="19"/>
      <c r="S25" s="2"/>
      <c r="T25" s="2">
        <f>--42</f>
        <v>42</v>
      </c>
      <c r="U25" s="2"/>
      <c r="V25" s="19"/>
      <c r="W25" s="2"/>
      <c r="X25" s="2">
        <f t="shared" si="2"/>
        <v>31.5</v>
      </c>
      <c r="Y25" s="2"/>
      <c r="Z25" s="19">
        <f t="shared" si="3"/>
        <v>0.75</v>
      </c>
    </row>
    <row r="26" spans="1:26" s="24" customFormat="1" hidden="1" outlineLevel="1" x14ac:dyDescent="0.25">
      <c r="A26" s="44"/>
      <c r="B26" s="11" t="str">
        <f>CONCATENATE("          ", "4142", " - ", "NON-TAXABLE SALES-EVERYDAY GIF")</f>
        <v xml:space="preserve">          4142 - NON-TAXABLE SALES-EVERYDAY GIF</v>
      </c>
      <c r="C26" s="11"/>
      <c r="D26" s="2">
        <f>--10.5</f>
        <v>10.5</v>
      </c>
      <c r="E26" s="2"/>
      <c r="F26" s="19"/>
      <c r="G26" s="2"/>
      <c r="H26" s="2">
        <f t="shared" ref="H26:H27" si="6">0</f>
        <v>0</v>
      </c>
      <c r="I26" s="2"/>
      <c r="J26" s="19"/>
      <c r="K26" s="2"/>
      <c r="L26" s="2">
        <f t="shared" si="0"/>
        <v>10.5</v>
      </c>
      <c r="M26" s="2"/>
      <c r="N26" s="19">
        <f t="shared" si="1"/>
        <v>0</v>
      </c>
      <c r="O26" s="11"/>
      <c r="P26" s="2">
        <f>--113.47</f>
        <v>113.47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113.47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"4227", " - ", "SALES RETURN TAXABLE-SCHOOL SU")</f>
        <v xml:space="preserve">          4227 - SALES RETURN TAXABLE-SCHOOL SU</v>
      </c>
      <c r="C27" s="11"/>
      <c r="D27" s="2">
        <f>0</f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-4.99</f>
        <v>-4.99</v>
      </c>
      <c r="U27" s="2"/>
      <c r="V27" s="19"/>
      <c r="W27" s="2"/>
      <c r="X27" s="2">
        <f t="shared" si="2"/>
        <v>4.99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"4240", " - ", "SALES RETURN TAXABLE-LOGO CLOT")</f>
        <v xml:space="preserve">          4240 - SALES RETURN TAXABLE-LOGO CLOT</v>
      </c>
      <c r="C28" s="11"/>
      <c r="D28" s="2">
        <f>-1290.2</f>
        <v>-1290.2</v>
      </c>
      <c r="E28" s="2"/>
      <c r="F28" s="19"/>
      <c r="G28" s="2"/>
      <c r="H28" s="2">
        <f>-1495.52</f>
        <v>-1495.52</v>
      </c>
      <c r="I28" s="2"/>
      <c r="J28" s="19"/>
      <c r="K28" s="2"/>
      <c r="L28" s="2">
        <f t="shared" si="0"/>
        <v>205.31999999999994</v>
      </c>
      <c r="M28" s="2"/>
      <c r="N28" s="19">
        <f t="shared" si="1"/>
        <v>-0.1372900395848935</v>
      </c>
      <c r="O28" s="11"/>
      <c r="P28" s="2">
        <f>-4356.04</f>
        <v>-4356.04</v>
      </c>
      <c r="Q28" s="2"/>
      <c r="R28" s="19"/>
      <c r="S28" s="2"/>
      <c r="T28" s="2">
        <f>-5137.28</f>
        <v>-5137.28</v>
      </c>
      <c r="U28" s="2"/>
      <c r="V28" s="19"/>
      <c r="W28" s="2"/>
      <c r="X28" s="2">
        <f t="shared" si="2"/>
        <v>781.23999999999978</v>
      </c>
      <c r="Y28" s="2"/>
      <c r="Z28" s="19">
        <f t="shared" si="3"/>
        <v>-0.15207269216394664</v>
      </c>
    </row>
    <row r="29" spans="1:26" s="24" customFormat="1" hidden="1" outlineLevel="1" x14ac:dyDescent="0.25">
      <c r="A29" s="44"/>
      <c r="B29" s="11" t="str">
        <f>CONCATENATE("          ", "4241", " - ", "SALES RETURN TAXABLE-LOGO GIFT")</f>
        <v xml:space="preserve">          4241 - SALES RETURN TAXABLE-LOGO GIFT</v>
      </c>
      <c r="C29" s="11"/>
      <c r="D29" s="2">
        <f>-340.49</f>
        <v>-340.49</v>
      </c>
      <c r="E29" s="2"/>
      <c r="F29" s="19"/>
      <c r="G29" s="2"/>
      <c r="H29" s="2">
        <f>-33.8</f>
        <v>-33.799999999999997</v>
      </c>
      <c r="I29" s="2"/>
      <c r="J29" s="19"/>
      <c r="K29" s="2"/>
      <c r="L29" s="2">
        <f t="shared" si="0"/>
        <v>-306.69</v>
      </c>
      <c r="M29" s="2"/>
      <c r="N29" s="19">
        <f t="shared" si="1"/>
        <v>9.0736686390532544</v>
      </c>
      <c r="O29" s="11"/>
      <c r="P29" s="2">
        <f>-676.5</f>
        <v>-676.5</v>
      </c>
      <c r="Q29" s="2"/>
      <c r="R29" s="19"/>
      <c r="S29" s="2"/>
      <c r="T29" s="2">
        <f>-264.65</f>
        <v>-264.64999999999998</v>
      </c>
      <c r="U29" s="2"/>
      <c r="V29" s="19"/>
      <c r="W29" s="2"/>
      <c r="X29" s="2">
        <f t="shared" si="2"/>
        <v>-411.85</v>
      </c>
      <c r="Y29" s="2"/>
      <c r="Z29" s="19">
        <f t="shared" si="3"/>
        <v>1.5562063102210468</v>
      </c>
    </row>
    <row r="30" spans="1:26" s="24" customFormat="1" hidden="1" outlineLevel="1" x14ac:dyDescent="0.25">
      <c r="A30" s="44"/>
      <c r="B30" s="11" t="str">
        <f>CONCATENATE("          ", "4242", " - ", "SALES RETURN TAXABLE-EVERYDAY")</f>
        <v xml:space="preserve">          4242 - SALES RETURN TAXABLE-EVERYDAY</v>
      </c>
      <c r="C30" s="11"/>
      <c r="D30" s="2">
        <f>-94.85</f>
        <v>-94.85</v>
      </c>
      <c r="E30" s="2"/>
      <c r="F30" s="19"/>
      <c r="G30" s="2"/>
      <c r="H30" s="2">
        <f t="shared" ref="H30:H33" si="7">0</f>
        <v>0</v>
      </c>
      <c r="I30" s="2"/>
      <c r="J30" s="19"/>
      <c r="K30" s="2"/>
      <c r="L30" s="2">
        <f t="shared" si="0"/>
        <v>-94.85</v>
      </c>
      <c r="M30" s="2"/>
      <c r="N30" s="19">
        <f t="shared" si="1"/>
        <v>0</v>
      </c>
      <c r="O30" s="11"/>
      <c r="P30" s="2">
        <f>-239.14</f>
        <v>-239.14</v>
      </c>
      <c r="Q30" s="2"/>
      <c r="R30" s="19"/>
      <c r="S30" s="2"/>
      <c r="T30" s="2">
        <f>-103.84</f>
        <v>-103.84</v>
      </c>
      <c r="U30" s="2"/>
      <c r="V30" s="19"/>
      <c r="W30" s="2"/>
      <c r="X30" s="2">
        <f t="shared" si="2"/>
        <v>-135.29999999999998</v>
      </c>
      <c r="Y30" s="2"/>
      <c r="Z30" s="19">
        <f t="shared" si="3"/>
        <v>1.302966101694915</v>
      </c>
    </row>
    <row r="31" spans="1:26" s="24" customFormat="1" hidden="1" outlineLevel="1" x14ac:dyDescent="0.25">
      <c r="A31" s="44"/>
      <c r="B31" s="11" t="str">
        <f>CONCATENATE("          ", "4244", " - ", "SALES RETURN TAXABLE-ACCESSORI")</f>
        <v xml:space="preserve">          4244 - SALES RETURN TAXABLE-ACCESSORI</v>
      </c>
      <c r="C31" s="11"/>
      <c r="D31" s="2">
        <f t="shared" ref="D31:D33" si="8">0</f>
        <v>0</v>
      </c>
      <c r="E31" s="2"/>
      <c r="F31" s="19"/>
      <c r="G31" s="2"/>
      <c r="H31" s="2">
        <f t="shared" si="7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-22.95</f>
        <v>-22.95</v>
      </c>
      <c r="Q31" s="2"/>
      <c r="R31" s="19"/>
      <c r="S31" s="2"/>
      <c r="T31" s="2">
        <f>-99.95</f>
        <v>-99.95</v>
      </c>
      <c r="U31" s="2"/>
      <c r="V31" s="19"/>
      <c r="W31" s="2"/>
      <c r="X31" s="2">
        <f t="shared" si="2"/>
        <v>77</v>
      </c>
      <c r="Y31" s="2"/>
      <c r="Z31" s="19">
        <f t="shared" si="3"/>
        <v>-0.77038519259629812</v>
      </c>
    </row>
    <row r="32" spans="1:26" s="24" customFormat="1" hidden="1" outlineLevel="1" x14ac:dyDescent="0.25">
      <c r="A32" s="44"/>
      <c r="B32" s="11" t="str">
        <f>CONCATENATE("          ", "4245", " - ", "SALES RETURN TAXABLE-SPECIAL O")</f>
        <v xml:space="preserve">          4245 - SALES RETURN TAXABLE-SPECIAL O</v>
      </c>
      <c r="C32" s="11"/>
      <c r="D32" s="2">
        <f t="shared" si="8"/>
        <v>0</v>
      </c>
      <c r="E32" s="2"/>
      <c r="F32" s="19"/>
      <c r="G32" s="2"/>
      <c r="H32" s="2">
        <f t="shared" si="7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-9.99</f>
        <v>-9.99</v>
      </c>
      <c r="Q32" s="2"/>
      <c r="R32" s="19"/>
      <c r="S32" s="2"/>
      <c r="T32" s="2">
        <f>-19.95</f>
        <v>-19.95</v>
      </c>
      <c r="U32" s="2"/>
      <c r="V32" s="19"/>
      <c r="W32" s="2"/>
      <c r="X32" s="2">
        <f t="shared" si="2"/>
        <v>9.9599999999999991</v>
      </c>
      <c r="Y32" s="2"/>
      <c r="Z32" s="19">
        <f t="shared" si="3"/>
        <v>-0.49924812030075183</v>
      </c>
    </row>
    <row r="33" spans="1:26" s="24" customFormat="1" hidden="1" outlineLevel="1" x14ac:dyDescent="0.25">
      <c r="A33" s="44"/>
      <c r="B33" s="11" t="str">
        <f>CONCATENATE("          ", "4295", " - ", "SALES RETURN TAXABLE-CUSTOMER")</f>
        <v xml:space="preserve">          4295 - SALES RETURN TAXABLE-CUSTOMER</v>
      </c>
      <c r="C33" s="11"/>
      <c r="D33" s="2">
        <f t="shared" si="8"/>
        <v>0</v>
      </c>
      <c r="E33" s="2"/>
      <c r="F33" s="19"/>
      <c r="G33" s="2"/>
      <c r="H33" s="2">
        <f t="shared" si="7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--0.99</f>
        <v>0.99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0.99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5" t="s">
        <v>8</v>
      </c>
      <c r="C35" s="10"/>
      <c r="D35" s="4">
        <f>SUM(OSRRefD16x_0)</f>
        <v>13915.560000000001</v>
      </c>
      <c r="E35" s="4"/>
      <c r="F35" s="12">
        <f t="shared" ref="F35:F51" si="9">IF(D$12=0,0,D35/D$12)</f>
        <v>0.42734662666179396</v>
      </c>
      <c r="G35" s="4"/>
      <c r="H35" s="4">
        <f>SUM(OSRRefH16x_0)</f>
        <v>15458.620000000003</v>
      </c>
      <c r="I35" s="4"/>
      <c r="J35" s="12">
        <f t="shared" ref="J35:J51" si="10">IF(H$12=0,0,H35/H$12)</f>
        <v>0.44576931195448943</v>
      </c>
      <c r="K35" s="4"/>
      <c r="L35" s="4">
        <f t="shared" ref="L35:L51" si="11">+D35-H35</f>
        <v>-1543.0600000000013</v>
      </c>
      <c r="M35" s="4"/>
      <c r="N35" s="12">
        <f t="shared" ref="N35:N51" si="12">IF(H35=0,0,L35/H35)</f>
        <v>-9.9818741905810554E-2</v>
      </c>
      <c r="O35" s="10"/>
      <c r="P35" s="4">
        <f>SUM(OSRRefP16x_0)</f>
        <v>65008.949999999975</v>
      </c>
      <c r="Q35" s="4"/>
      <c r="R35" s="12">
        <f t="shared" ref="R35:R51" si="13">IF(P$12=0,0,P35/P$12)</f>
        <v>0.4234043825308384</v>
      </c>
      <c r="S35" s="4"/>
      <c r="T35" s="4">
        <f>SUM(OSRRefT16x_0)</f>
        <v>56104.460000000014</v>
      </c>
      <c r="U35" s="4"/>
      <c r="V35" s="12">
        <f t="shared" ref="V35:V51" si="14">IF(T$12=0,0,T35/T$12)</f>
        <v>0.43281685132950992</v>
      </c>
      <c r="W35" s="4"/>
      <c r="X35" s="4">
        <f t="shared" ref="X35:X51" si="15">+P35-T35</f>
        <v>8904.4899999999616</v>
      </c>
      <c r="Y35" s="4"/>
      <c r="Z35" s="12">
        <f t="shared" ref="Z35:Z51" si="16">IF(T35=0,0,X35/T35)</f>
        <v>0.15871269414231881</v>
      </c>
    </row>
    <row r="36" spans="1:26" s="24" customFormat="1" hidden="1" outlineLevel="1" x14ac:dyDescent="0.25">
      <c r="A36" s="44"/>
      <c r="B36" s="11" t="str">
        <f>CONCATENATE("          ", "5025", " - ", "PURCHASES @ COST-TEST FORMS")</f>
        <v xml:space="preserve">          5025 - PURCHASES @ COST-TEST FORMS</v>
      </c>
      <c r="C36" s="11"/>
      <c r="D36" s="2"/>
      <c r="E36" s="2"/>
      <c r="F36" s="19">
        <f t="shared" si="9"/>
        <v>0</v>
      </c>
      <c r="G36" s="2"/>
      <c r="H36" s="2">
        <v>-1.8</v>
      </c>
      <c r="I36" s="2"/>
      <c r="J36" s="19">
        <f t="shared" si="10"/>
        <v>-5.1905329293176289E-5</v>
      </c>
      <c r="K36" s="2"/>
      <c r="L36" s="2">
        <f t="shared" si="11"/>
        <v>1.8</v>
      </c>
      <c r="M36" s="2"/>
      <c r="N36" s="19">
        <f t="shared" si="12"/>
        <v>-1</v>
      </c>
      <c r="O36" s="11"/>
      <c r="P36" s="2"/>
      <c r="Q36" s="2"/>
      <c r="R36" s="19">
        <f t="shared" si="13"/>
        <v>0</v>
      </c>
      <c r="S36" s="2"/>
      <c r="T36" s="2">
        <v>13.2</v>
      </c>
      <c r="U36" s="2"/>
      <c r="V36" s="19">
        <f t="shared" si="14"/>
        <v>1.0183116346810092E-4</v>
      </c>
      <c r="W36" s="2"/>
      <c r="X36" s="2">
        <f t="shared" si="15"/>
        <v>-13.2</v>
      </c>
      <c r="Y36" s="2"/>
      <c r="Z36" s="19">
        <f t="shared" si="16"/>
        <v>-1</v>
      </c>
    </row>
    <row r="37" spans="1:26" s="24" customFormat="1" hidden="1" outlineLevel="1" x14ac:dyDescent="0.25">
      <c r="A37" s="44"/>
      <c r="B37" s="11" t="str">
        <f>CONCATENATE("          ", "5026", " - ", "PURCHASES @ COST-WRITING INSTR")</f>
        <v xml:space="preserve">          5026 - PURCHASES @ COST-WRITING INSTR</v>
      </c>
      <c r="C37" s="11"/>
      <c r="D37" s="2">
        <v>-11.31</v>
      </c>
      <c r="E37" s="2"/>
      <c r="F37" s="19">
        <f t="shared" si="9"/>
        <v>-3.4732992043043105E-4</v>
      </c>
      <c r="G37" s="2"/>
      <c r="H37" s="2">
        <v>-10.1</v>
      </c>
      <c r="I37" s="2"/>
      <c r="J37" s="19">
        <f t="shared" si="10"/>
        <v>-2.9124656992282247E-4</v>
      </c>
      <c r="K37" s="2"/>
      <c r="L37" s="2">
        <f t="shared" si="11"/>
        <v>-1.2100000000000009</v>
      </c>
      <c r="M37" s="2"/>
      <c r="N37" s="19">
        <f t="shared" si="12"/>
        <v>0.11980198019801989</v>
      </c>
      <c r="O37" s="11"/>
      <c r="P37" s="2">
        <v>-64.930000000000007</v>
      </c>
      <c r="Q37" s="2"/>
      <c r="R37" s="19">
        <f t="shared" si="13"/>
        <v>-4.2289017985565607E-4</v>
      </c>
      <c r="S37" s="2"/>
      <c r="T37" s="2">
        <v>195.76</v>
      </c>
      <c r="U37" s="2"/>
      <c r="V37" s="19">
        <f t="shared" si="14"/>
        <v>1.5101870121602603E-3</v>
      </c>
      <c r="W37" s="2"/>
      <c r="X37" s="2">
        <f t="shared" si="15"/>
        <v>-260.69</v>
      </c>
      <c r="Y37" s="2"/>
      <c r="Z37" s="19">
        <f t="shared" si="16"/>
        <v>-1.3316816510012262</v>
      </c>
    </row>
    <row r="38" spans="1:26" s="24" customFormat="1" hidden="1" outlineLevel="1" x14ac:dyDescent="0.25">
      <c r="A38" s="44"/>
      <c r="B38" s="11" t="str">
        <f>CONCATENATE("          ", "5027", " - ", "PURCHASES @ COST-SCHOOL SUPPLI")</f>
        <v xml:space="preserve">          5027 - PURCHASES @ COST-SCHOOL SUPPLI</v>
      </c>
      <c r="C38" s="11"/>
      <c r="D38" s="2">
        <v>-35.06</v>
      </c>
      <c r="E38" s="2"/>
      <c r="F38" s="19">
        <f t="shared" si="9"/>
        <v>-1.0766920433502134E-3</v>
      </c>
      <c r="G38" s="2"/>
      <c r="H38" s="2">
        <v>-98.33</v>
      </c>
      <c r="I38" s="2"/>
      <c r="J38" s="19">
        <f t="shared" si="10"/>
        <v>-2.8354727941100133E-3</v>
      </c>
      <c r="K38" s="2"/>
      <c r="L38" s="2">
        <f t="shared" si="11"/>
        <v>63.269999999999996</v>
      </c>
      <c r="M38" s="2"/>
      <c r="N38" s="19">
        <f t="shared" si="12"/>
        <v>-0.64344554052679748</v>
      </c>
      <c r="O38" s="11"/>
      <c r="P38" s="2">
        <v>28.46</v>
      </c>
      <c r="Q38" s="2"/>
      <c r="R38" s="19">
        <f t="shared" si="13"/>
        <v>1.8536045770355721E-4</v>
      </c>
      <c r="S38" s="2"/>
      <c r="T38" s="2">
        <v>516.53</v>
      </c>
      <c r="U38" s="2"/>
      <c r="V38" s="19">
        <f t="shared" si="14"/>
        <v>3.9847614292559223E-3</v>
      </c>
      <c r="W38" s="2"/>
      <c r="X38" s="2">
        <f t="shared" si="15"/>
        <v>-488.07</v>
      </c>
      <c r="Y38" s="2"/>
      <c r="Z38" s="19">
        <f t="shared" si="16"/>
        <v>-0.94490155460476644</v>
      </c>
    </row>
    <row r="39" spans="1:26" s="24" customFormat="1" hidden="1" outlineLevel="1" x14ac:dyDescent="0.25">
      <c r="A39" s="44"/>
      <c r="B39" s="11" t="str">
        <f>CONCATENATE("          ", "5034", " - ", "PURCHASES @ COST-SODA")</f>
        <v xml:space="preserve">          5034 - PURCHASES @ COST-SODA</v>
      </c>
      <c r="C39" s="11"/>
      <c r="D39" s="2"/>
      <c r="E39" s="2"/>
      <c r="F39" s="19">
        <f t="shared" si="9"/>
        <v>0</v>
      </c>
      <c r="G39" s="2"/>
      <c r="H39" s="2">
        <v>20.04</v>
      </c>
      <c r="I39" s="2"/>
      <c r="J39" s="19">
        <f t="shared" si="10"/>
        <v>5.7787933279736269E-4</v>
      </c>
      <c r="K39" s="2"/>
      <c r="L39" s="2">
        <f t="shared" si="11"/>
        <v>-20.04</v>
      </c>
      <c r="M39" s="2"/>
      <c r="N39" s="19">
        <f t="shared" si="12"/>
        <v>-1</v>
      </c>
      <c r="O39" s="11"/>
      <c r="P39" s="2"/>
      <c r="Q39" s="2"/>
      <c r="R39" s="19">
        <f t="shared" si="13"/>
        <v>0</v>
      </c>
      <c r="S39" s="2"/>
      <c r="T39" s="2">
        <v>10.8</v>
      </c>
      <c r="U39" s="2"/>
      <c r="V39" s="19">
        <f t="shared" si="14"/>
        <v>8.3316406473900762E-5</v>
      </c>
      <c r="W39" s="2"/>
      <c r="X39" s="2">
        <f t="shared" si="15"/>
        <v>-10.8</v>
      </c>
      <c r="Y39" s="2"/>
      <c r="Z39" s="19">
        <f t="shared" si="16"/>
        <v>-1</v>
      </c>
    </row>
    <row r="40" spans="1:26" s="24" customFormat="1" hidden="1" outlineLevel="1" x14ac:dyDescent="0.25">
      <c r="A40" s="44"/>
      <c r="B40" s="11" t="str">
        <f>CONCATENATE("          ", "5037", " - ", "PURCHASES @ COST-WATER")</f>
        <v xml:space="preserve">          5037 - PURCHASES @ COST-WATER</v>
      </c>
      <c r="C40" s="11"/>
      <c r="D40" s="2"/>
      <c r="E40" s="2"/>
      <c r="F40" s="19">
        <f t="shared" si="9"/>
        <v>0</v>
      </c>
      <c r="G40" s="2"/>
      <c r="H40" s="2">
        <v>16.64</v>
      </c>
      <c r="I40" s="2"/>
      <c r="J40" s="19">
        <f t="shared" si="10"/>
        <v>4.7983593302136304E-4</v>
      </c>
      <c r="K40" s="2"/>
      <c r="L40" s="2">
        <f t="shared" si="11"/>
        <v>-16.64</v>
      </c>
      <c r="M40" s="2"/>
      <c r="N40" s="19">
        <f t="shared" si="12"/>
        <v>-1</v>
      </c>
      <c r="O40" s="11"/>
      <c r="P40" s="2">
        <v>29.76</v>
      </c>
      <c r="Q40" s="2"/>
      <c r="R40" s="19">
        <f t="shared" si="13"/>
        <v>1.9382737952416948E-4</v>
      </c>
      <c r="S40" s="2"/>
      <c r="T40" s="2">
        <v>16.64</v>
      </c>
      <c r="U40" s="2"/>
      <c r="V40" s="19">
        <f t="shared" si="14"/>
        <v>1.2836898182645452E-4</v>
      </c>
      <c r="W40" s="2"/>
      <c r="X40" s="2">
        <f t="shared" si="15"/>
        <v>13.120000000000001</v>
      </c>
      <c r="Y40" s="2"/>
      <c r="Z40" s="19">
        <f t="shared" si="16"/>
        <v>0.78846153846153855</v>
      </c>
    </row>
    <row r="41" spans="1:26" s="24" customFormat="1" hidden="1" outlineLevel="1" x14ac:dyDescent="0.25">
      <c r="A41" s="44"/>
      <c r="B41" s="11" t="str">
        <f>CONCATENATE("          ", "5040", " - ", "PURCHASES @ COST-LOGO CLOTHING")</f>
        <v xml:space="preserve">          5040 - PURCHASES @ COST-LOGO CLOTHING</v>
      </c>
      <c r="C41" s="11"/>
      <c r="D41" s="2">
        <v>26571.200000000001</v>
      </c>
      <c r="E41" s="2"/>
      <c r="F41" s="19">
        <f t="shared" si="9"/>
        <v>0.8160011301274156</v>
      </c>
      <c r="G41" s="2"/>
      <c r="H41" s="2">
        <v>18589.68</v>
      </c>
      <c r="I41" s="2"/>
      <c r="J41" s="19">
        <f t="shared" si="10"/>
        <v>0.53605747880820742</v>
      </c>
      <c r="K41" s="2"/>
      <c r="L41" s="2">
        <f t="shared" si="11"/>
        <v>7981.52</v>
      </c>
      <c r="M41" s="2"/>
      <c r="N41" s="19">
        <f t="shared" si="12"/>
        <v>0.42935219971511079</v>
      </c>
      <c r="O41" s="11"/>
      <c r="P41" s="2">
        <v>84422.36</v>
      </c>
      <c r="Q41" s="2"/>
      <c r="R41" s="19">
        <f t="shared" si="13"/>
        <v>0.54984424771660156</v>
      </c>
      <c r="S41" s="2"/>
      <c r="T41" s="2">
        <v>61515.78</v>
      </c>
      <c r="U41" s="2"/>
      <c r="V41" s="19">
        <f t="shared" si="14"/>
        <v>0.47456238250361615</v>
      </c>
      <c r="W41" s="2"/>
      <c r="X41" s="2">
        <f t="shared" si="15"/>
        <v>22906.58</v>
      </c>
      <c r="Y41" s="2"/>
      <c r="Z41" s="19">
        <f t="shared" si="16"/>
        <v>0.37236917096718924</v>
      </c>
    </row>
    <row r="42" spans="1:26" s="24" customFormat="1" hidden="1" outlineLevel="1" x14ac:dyDescent="0.25">
      <c r="A42" s="44"/>
      <c r="B42" s="11" t="str">
        <f>CONCATENATE("          ", "5041", " - ", "PURCHASES @ COST-LOGO GIFTS")</f>
        <v xml:space="preserve">          5041 - PURCHASES @ COST-LOGO GIFTS</v>
      </c>
      <c r="C42" s="11"/>
      <c r="D42" s="2">
        <v>2918.13</v>
      </c>
      <c r="E42" s="2"/>
      <c r="F42" s="19">
        <f t="shared" si="9"/>
        <v>8.9615725968669652E-2</v>
      </c>
      <c r="G42" s="2"/>
      <c r="H42" s="2">
        <v>1025.19</v>
      </c>
      <c r="I42" s="2"/>
      <c r="J42" s="19">
        <f t="shared" si="10"/>
        <v>2.9562680298928556E-2</v>
      </c>
      <c r="K42" s="2"/>
      <c r="L42" s="2">
        <f t="shared" si="11"/>
        <v>1892.94</v>
      </c>
      <c r="M42" s="2"/>
      <c r="N42" s="19">
        <f t="shared" si="12"/>
        <v>1.8464284669183273</v>
      </c>
      <c r="O42" s="11"/>
      <c r="P42" s="2">
        <v>11384.75</v>
      </c>
      <c r="Q42" s="2"/>
      <c r="R42" s="19">
        <f t="shared" si="13"/>
        <v>7.4149067844011707E-2</v>
      </c>
      <c r="S42" s="2"/>
      <c r="T42" s="2">
        <v>7942.78</v>
      </c>
      <c r="U42" s="2"/>
      <c r="V42" s="19">
        <f t="shared" si="14"/>
        <v>6.1274433982663835E-2</v>
      </c>
      <c r="W42" s="2"/>
      <c r="X42" s="2">
        <f t="shared" si="15"/>
        <v>3441.9700000000003</v>
      </c>
      <c r="Y42" s="2"/>
      <c r="Z42" s="19">
        <f t="shared" si="16"/>
        <v>0.43334575551633059</v>
      </c>
    </row>
    <row r="43" spans="1:26" s="24" customFormat="1" hidden="1" outlineLevel="1" x14ac:dyDescent="0.25">
      <c r="A43" s="44"/>
      <c r="B43" s="11" t="str">
        <f>CONCATENATE("          ", "5042", " - ", "PURCHASES @ COST-EVERYDAY GIFT")</f>
        <v xml:space="preserve">          5042 - PURCHASES @ COST-EVERYDAY GIFT</v>
      </c>
      <c r="C43" s="11"/>
      <c r="D43" s="2">
        <v>1246.6500000000001</v>
      </c>
      <c r="E43" s="2"/>
      <c r="F43" s="19">
        <f t="shared" si="9"/>
        <v>3.8284601706860912E-2</v>
      </c>
      <c r="G43" s="2"/>
      <c r="H43" s="2">
        <v>944.16</v>
      </c>
      <c r="I43" s="2"/>
      <c r="J43" s="19">
        <f t="shared" si="10"/>
        <v>2.722607539191407E-2</v>
      </c>
      <c r="K43" s="2"/>
      <c r="L43" s="2">
        <f t="shared" si="11"/>
        <v>302.49000000000012</v>
      </c>
      <c r="M43" s="2"/>
      <c r="N43" s="19">
        <f t="shared" si="12"/>
        <v>0.32038002033553648</v>
      </c>
      <c r="O43" s="11"/>
      <c r="P43" s="2">
        <v>7635.17</v>
      </c>
      <c r="Q43" s="2"/>
      <c r="R43" s="19">
        <f t="shared" si="13"/>
        <v>4.9727990366987669E-2</v>
      </c>
      <c r="S43" s="2"/>
      <c r="T43" s="2">
        <v>4365.74</v>
      </c>
      <c r="U43" s="2"/>
      <c r="V43" s="19">
        <f t="shared" si="14"/>
        <v>3.3679422999941436E-2</v>
      </c>
      <c r="W43" s="2"/>
      <c r="X43" s="2">
        <f t="shared" si="15"/>
        <v>3269.4300000000003</v>
      </c>
      <c r="Y43" s="2"/>
      <c r="Z43" s="19">
        <f t="shared" si="16"/>
        <v>0.74888335081795998</v>
      </c>
    </row>
    <row r="44" spans="1:26" s="24" customFormat="1" hidden="1" outlineLevel="1" x14ac:dyDescent="0.25">
      <c r="A44" s="44"/>
      <c r="B44" s="11" t="str">
        <f>CONCATENATE("          ", "5044", " - ", "PURCHASES @ COST-ACCESSORIES")</f>
        <v xml:space="preserve">          5044 - PURCHASES @ COST-ACCESSORIES</v>
      </c>
      <c r="C44" s="11"/>
      <c r="D44" s="2">
        <v>254.1</v>
      </c>
      <c r="E44" s="2"/>
      <c r="F44" s="19">
        <f t="shared" si="9"/>
        <v>7.8034069656385966E-3</v>
      </c>
      <c r="G44" s="2"/>
      <c r="H44" s="2">
        <v>-1095.51</v>
      </c>
      <c r="I44" s="2"/>
      <c r="J44" s="19">
        <f t="shared" si="10"/>
        <v>-3.1590448496648639E-2</v>
      </c>
      <c r="K44" s="2"/>
      <c r="L44" s="2">
        <f t="shared" si="11"/>
        <v>1349.61</v>
      </c>
      <c r="M44" s="2"/>
      <c r="N44" s="19">
        <f t="shared" si="12"/>
        <v>-1.2319467645206341</v>
      </c>
      <c r="O44" s="11"/>
      <c r="P44" s="2">
        <v>1747.43</v>
      </c>
      <c r="Q44" s="2"/>
      <c r="R44" s="19">
        <f t="shared" si="13"/>
        <v>1.1381040920763422E-2</v>
      </c>
      <c r="S44" s="2"/>
      <c r="T44" s="2">
        <v>1613.89</v>
      </c>
      <c r="U44" s="2"/>
      <c r="V44" s="19">
        <f t="shared" si="14"/>
        <v>1.2450325485570714E-2</v>
      </c>
      <c r="W44" s="2"/>
      <c r="X44" s="2">
        <f t="shared" si="15"/>
        <v>133.53999999999996</v>
      </c>
      <c r="Y44" s="2"/>
      <c r="Z44" s="19">
        <f t="shared" si="16"/>
        <v>8.2744177112442585E-2</v>
      </c>
    </row>
    <row r="45" spans="1:26" s="24" customFormat="1" hidden="1" outlineLevel="1" x14ac:dyDescent="0.25">
      <c r="A45" s="44"/>
      <c r="B45" s="11" t="str">
        <f>CONCATENATE("          ", "5045", " - ", "PURCHASES @ COST-SPECIAL ORDER")</f>
        <v xml:space="preserve">          5045 - PURCHASES @ COST-SPECIAL ORDER</v>
      </c>
      <c r="C45" s="11"/>
      <c r="D45" s="2">
        <v>-1267.2</v>
      </c>
      <c r="E45" s="2"/>
      <c r="F45" s="19">
        <f t="shared" si="9"/>
        <v>-3.8915691880587293E-2</v>
      </c>
      <c r="G45" s="2"/>
      <c r="H45" s="2">
        <v>-31.35</v>
      </c>
      <c r="I45" s="2"/>
      <c r="J45" s="19">
        <f t="shared" si="10"/>
        <v>-9.0401781852282039E-4</v>
      </c>
      <c r="K45" s="2"/>
      <c r="L45" s="2">
        <f t="shared" si="11"/>
        <v>-1235.8500000000001</v>
      </c>
      <c r="M45" s="2"/>
      <c r="N45" s="19">
        <f t="shared" si="12"/>
        <v>39.421052631578952</v>
      </c>
      <c r="O45" s="11"/>
      <c r="P45" s="2">
        <v>-968.2</v>
      </c>
      <c r="Q45" s="2"/>
      <c r="R45" s="19">
        <f t="shared" si="13"/>
        <v>-6.3059028513205943E-3</v>
      </c>
      <c r="S45" s="2"/>
      <c r="T45" s="2">
        <v>71.58</v>
      </c>
      <c r="U45" s="2"/>
      <c r="V45" s="19">
        <f t="shared" si="14"/>
        <v>5.5220262735202006E-4</v>
      </c>
      <c r="W45" s="2"/>
      <c r="X45" s="2">
        <f t="shared" si="15"/>
        <v>-1039.78</v>
      </c>
      <c r="Y45" s="2"/>
      <c r="Z45" s="19">
        <f t="shared" si="16"/>
        <v>-14.526124615814473</v>
      </c>
    </row>
    <row r="46" spans="1:26" s="24" customFormat="1" hidden="1" outlineLevel="1" x14ac:dyDescent="0.25">
      <c r="A46" s="44"/>
      <c r="B46" s="11" t="str">
        <f>CONCATENATE("          ", "5083", " - ", "PURCHASES @ COST-COMPUTER EQUI")</f>
        <v xml:space="preserve">          5083 - PURCHASES @ COST-COMPUTER EQUI</v>
      </c>
      <c r="C46" s="11"/>
      <c r="D46" s="2"/>
      <c r="E46" s="2"/>
      <c r="F46" s="19">
        <f t="shared" si="9"/>
        <v>0</v>
      </c>
      <c r="G46" s="2"/>
      <c r="H46" s="2"/>
      <c r="I46" s="2"/>
      <c r="J46" s="19">
        <f t="shared" si="10"/>
        <v>0</v>
      </c>
      <c r="K46" s="2"/>
      <c r="L46" s="2">
        <f t="shared" si="11"/>
        <v>0</v>
      </c>
      <c r="M46" s="2"/>
      <c r="N46" s="19">
        <f t="shared" si="12"/>
        <v>0</v>
      </c>
      <c r="O46" s="11"/>
      <c r="P46" s="2">
        <v>39.950000000000003</v>
      </c>
      <c r="Q46" s="2"/>
      <c r="R46" s="19">
        <f t="shared" si="13"/>
        <v>2.6019502056419928E-4</v>
      </c>
      <c r="S46" s="2"/>
      <c r="T46" s="2">
        <v>15.8</v>
      </c>
      <c r="U46" s="2"/>
      <c r="V46" s="19">
        <f t="shared" si="14"/>
        <v>1.2188881687848445E-4</v>
      </c>
      <c r="W46" s="2"/>
      <c r="X46" s="2">
        <f t="shared" si="15"/>
        <v>24.150000000000002</v>
      </c>
      <c r="Y46" s="2"/>
      <c r="Z46" s="19">
        <f t="shared" si="16"/>
        <v>1.528481012658228</v>
      </c>
    </row>
    <row r="47" spans="1:26" s="24" customFormat="1" hidden="1" outlineLevel="1" x14ac:dyDescent="0.25">
      <c r="A47" s="44"/>
      <c r="B47" s="11" t="str">
        <f>CONCATENATE("          ", "5092", " - ", "PURCHASES @ COST-GRAD MERCH")</f>
        <v xml:space="preserve">          5092 - PURCHASES @ COST-GRAD MERCH</v>
      </c>
      <c r="C47" s="11"/>
      <c r="D47" s="2">
        <v>-12.95</v>
      </c>
      <c r="E47" s="2"/>
      <c r="F47" s="19">
        <f t="shared" si="9"/>
        <v>-3.9769429439204967E-4</v>
      </c>
      <c r="G47" s="2"/>
      <c r="H47" s="2"/>
      <c r="I47" s="2"/>
      <c r="J47" s="19">
        <f t="shared" si="10"/>
        <v>0</v>
      </c>
      <c r="K47" s="2"/>
      <c r="L47" s="2">
        <f t="shared" si="11"/>
        <v>-12.95</v>
      </c>
      <c r="M47" s="2"/>
      <c r="N47" s="19">
        <f t="shared" si="12"/>
        <v>0</v>
      </c>
      <c r="O47" s="11"/>
      <c r="P47" s="2">
        <v>-12.95</v>
      </c>
      <c r="Q47" s="2"/>
      <c r="R47" s="19">
        <f t="shared" si="13"/>
        <v>-8.4343567366868089E-5</v>
      </c>
      <c r="S47" s="2"/>
      <c r="T47" s="2"/>
      <c r="U47" s="2"/>
      <c r="V47" s="19">
        <f t="shared" si="14"/>
        <v>0</v>
      </c>
      <c r="W47" s="2"/>
      <c r="X47" s="2">
        <f t="shared" si="15"/>
        <v>-12.95</v>
      </c>
      <c r="Y47" s="2"/>
      <c r="Z47" s="19">
        <f t="shared" si="16"/>
        <v>0</v>
      </c>
    </row>
    <row r="48" spans="1:26" s="24" customFormat="1" hidden="1" outlineLevel="1" x14ac:dyDescent="0.25">
      <c r="A48" s="44"/>
      <c r="B48" s="11" t="str">
        <f>CONCATENATE("          ", "5095", " - ", "PURCHASES @ COST-CUSTOMER SERV")</f>
        <v xml:space="preserve">          5095 - PURCHASES @ COST-CUSTOMER SERV</v>
      </c>
      <c r="C48" s="11"/>
      <c r="D48" s="2"/>
      <c r="E48" s="2"/>
      <c r="F48" s="19">
        <f t="shared" si="9"/>
        <v>0</v>
      </c>
      <c r="G48" s="2"/>
      <c r="H48" s="2"/>
      <c r="I48" s="2"/>
      <c r="J48" s="19">
        <f t="shared" si="10"/>
        <v>0</v>
      </c>
      <c r="K48" s="2"/>
      <c r="L48" s="2">
        <f t="shared" si="11"/>
        <v>0</v>
      </c>
      <c r="M48" s="2"/>
      <c r="N48" s="19">
        <f t="shared" si="12"/>
        <v>0</v>
      </c>
      <c r="O48" s="11"/>
      <c r="P48" s="2">
        <v>-11.85</v>
      </c>
      <c r="Q48" s="2"/>
      <c r="R48" s="19">
        <f t="shared" si="13"/>
        <v>-7.7179248903273115E-5</v>
      </c>
      <c r="S48" s="2"/>
      <c r="T48" s="2"/>
      <c r="U48" s="2"/>
      <c r="V48" s="19">
        <f t="shared" si="14"/>
        <v>0</v>
      </c>
      <c r="W48" s="2"/>
      <c r="X48" s="2">
        <f t="shared" si="15"/>
        <v>-11.85</v>
      </c>
      <c r="Y48" s="2"/>
      <c r="Z48" s="19">
        <f t="shared" si="16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-29664</v>
      </c>
      <c r="E49" s="2"/>
      <c r="F49" s="19">
        <f t="shared" si="9"/>
        <v>-0.91098096902283876</v>
      </c>
      <c r="G49" s="2"/>
      <c r="H49" s="2">
        <v>-19359</v>
      </c>
      <c r="I49" s="2"/>
      <c r="J49" s="19">
        <f t="shared" si="10"/>
        <v>-0.558241816548111</v>
      </c>
      <c r="K49" s="2"/>
      <c r="L49" s="2">
        <f t="shared" si="11"/>
        <v>-10305</v>
      </c>
      <c r="M49" s="2"/>
      <c r="N49" s="19">
        <f t="shared" si="12"/>
        <v>0.53231055323105536</v>
      </c>
      <c r="O49" s="11"/>
      <c r="P49" s="2">
        <v>-104230</v>
      </c>
      <c r="Q49" s="2"/>
      <c r="R49" s="19">
        <f t="shared" si="13"/>
        <v>-0.67885173950954913</v>
      </c>
      <c r="S49" s="2"/>
      <c r="T49" s="2">
        <v>-76290</v>
      </c>
      <c r="U49" s="2"/>
      <c r="V49" s="19">
        <f t="shared" si="14"/>
        <v>-0.58853783795313785</v>
      </c>
      <c r="W49" s="2"/>
      <c r="X49" s="2">
        <f t="shared" si="15"/>
        <v>-27940</v>
      </c>
      <c r="Y49" s="2"/>
      <c r="Z49" s="19">
        <f t="shared" si="16"/>
        <v>0.36623410669812556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13916</v>
      </c>
      <c r="E50" s="2"/>
      <c r="F50" s="19">
        <f t="shared" si="9"/>
        <v>0.42736013905480802</v>
      </c>
      <c r="G50" s="2"/>
      <c r="H50" s="2">
        <v>15459</v>
      </c>
      <c r="I50" s="2"/>
      <c r="J50" s="19">
        <f t="shared" si="10"/>
        <v>0.44578026974622903</v>
      </c>
      <c r="K50" s="2"/>
      <c r="L50" s="2">
        <f t="shared" si="11"/>
        <v>-1543</v>
      </c>
      <c r="M50" s="2"/>
      <c r="N50" s="19">
        <f t="shared" si="12"/>
        <v>-9.981240701209651E-2</v>
      </c>
      <c r="O50" s="11"/>
      <c r="P50" s="2">
        <v>65008.999999999993</v>
      </c>
      <c r="Q50" s="2"/>
      <c r="R50" s="19">
        <f t="shared" si="13"/>
        <v>0.4234047081816778</v>
      </c>
      <c r="S50" s="2"/>
      <c r="T50" s="2">
        <v>56104</v>
      </c>
      <c r="U50" s="2"/>
      <c r="V50" s="19">
        <f t="shared" si="14"/>
        <v>0.43281330266775259</v>
      </c>
      <c r="W50" s="2"/>
      <c r="X50" s="2">
        <f t="shared" si="15"/>
        <v>8904.9999999999927</v>
      </c>
      <c r="Y50" s="2"/>
      <c r="Z50" s="19">
        <f t="shared" si="16"/>
        <v>0.15872308569798932</v>
      </c>
    </row>
    <row r="51" spans="1:26" s="24" customFormat="1" hidden="1" outlineLevel="1" x14ac:dyDescent="0.25">
      <c r="A51" s="44"/>
      <c r="B51" s="11" t="str">
        <f>CONCATENATE("          ", "5540", " - ", "FREIGHT-IN-LOGO CLOTHING")</f>
        <v xml:space="preserve">          5540 - FREIGHT-IN-LOGO CLOTHING</v>
      </c>
      <c r="C51" s="11"/>
      <c r="D51" s="2"/>
      <c r="E51" s="2"/>
      <c r="F51" s="19">
        <f t="shared" si="9"/>
        <v>0</v>
      </c>
      <c r="G51" s="2"/>
      <c r="H51" s="2"/>
      <c r="I51" s="2"/>
      <c r="J51" s="19">
        <f t="shared" si="10"/>
        <v>0</v>
      </c>
      <c r="K51" s="2"/>
      <c r="L51" s="2">
        <f t="shared" si="11"/>
        <v>0</v>
      </c>
      <c r="M51" s="2"/>
      <c r="N51" s="19">
        <f t="shared" si="12"/>
        <v>0</v>
      </c>
      <c r="O51" s="11"/>
      <c r="P51" s="2"/>
      <c r="Q51" s="2"/>
      <c r="R51" s="19">
        <f t="shared" si="13"/>
        <v>0</v>
      </c>
      <c r="S51" s="2"/>
      <c r="T51" s="2">
        <v>11.96</v>
      </c>
      <c r="U51" s="2"/>
      <c r="V51" s="19">
        <f t="shared" si="14"/>
        <v>9.2265205687764183E-5</v>
      </c>
      <c r="W51" s="2"/>
      <c r="X51" s="2">
        <f t="shared" si="15"/>
        <v>-11.96</v>
      </c>
      <c r="Y51" s="2"/>
      <c r="Z51" s="19">
        <f t="shared" si="16"/>
        <v>-1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6" t="s">
        <v>6</v>
      </c>
      <c r="C53" s="26"/>
      <c r="D53" s="21">
        <f>D12-D35</f>
        <v>18647.140000000007</v>
      </c>
      <c r="E53" s="13"/>
      <c r="F53" s="20">
        <f>IF(D$12=0,0,D53/D$12)</f>
        <v>0.5726533733382061</v>
      </c>
      <c r="G53" s="13"/>
      <c r="H53" s="21">
        <f>H12-H35</f>
        <v>19219.900000000001</v>
      </c>
      <c r="I53" s="13"/>
      <c r="J53" s="20">
        <f>IF(H$12=0,0,H53/H$12)</f>
        <v>0.55423068804551057</v>
      </c>
      <c r="K53" s="15"/>
      <c r="L53" s="21">
        <f>+D53-H53</f>
        <v>-572.75999999999476</v>
      </c>
      <c r="M53" s="15"/>
      <c r="N53" s="20">
        <f>IF(H53=0,0,L53/H53)</f>
        <v>-2.9800363165260732E-2</v>
      </c>
      <c r="O53" s="25"/>
      <c r="P53" s="21">
        <f>P12-P35</f>
        <v>88529.729999999981</v>
      </c>
      <c r="Q53" s="13"/>
      <c r="R53" s="20">
        <f>IF(P$12=0,0,P53/P$12)</f>
        <v>0.57659561746916155</v>
      </c>
      <c r="S53" s="13"/>
      <c r="T53" s="21">
        <f>T12-T35</f>
        <v>73521.870000000024</v>
      </c>
      <c r="U53" s="13"/>
      <c r="V53" s="20">
        <f>IF(T$12=0,0,T53/T$12)</f>
        <v>0.56718314867049002</v>
      </c>
      <c r="W53" s="15"/>
      <c r="X53" s="21">
        <f>+P53-T53</f>
        <v>15007.859999999957</v>
      </c>
      <c r="Y53" s="15"/>
      <c r="Z53" s="20">
        <f>IF(T53=0,0,X53/T53)</f>
        <v>0.20412783298357282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5" t="s">
        <v>9</v>
      </c>
      <c r="C55" s="10"/>
      <c r="D55" s="22">
        <f>SUM(OSRRefD22x_0)</f>
        <v>24710.130000000005</v>
      </c>
      <c r="E55" s="22"/>
      <c r="F55" s="34">
        <f t="shared" ref="F55:F64" si="17">IF(D$12=0,0,D55/D$12)</f>
        <v>0.75884769997573909</v>
      </c>
      <c r="G55" s="22"/>
      <c r="H55" s="22">
        <f>SUM(OSRRefH22x_0)</f>
        <v>22984.43</v>
      </c>
      <c r="I55" s="22"/>
      <c r="J55" s="34">
        <f t="shared" ref="J55:J64" si="18">IF(H$12=0,0,H55/H$12)</f>
        <v>0.66278578209219996</v>
      </c>
      <c r="K55" s="4"/>
      <c r="L55" s="22">
        <f t="shared" ref="L55:L64" si="19">+D55-H55</f>
        <v>1725.7000000000044</v>
      </c>
      <c r="M55" s="4"/>
      <c r="N55" s="34">
        <f t="shared" ref="N55:N64" si="20">IF(H55=0,0,L55/H55)</f>
        <v>7.5081261532263549E-2</v>
      </c>
      <c r="O55" s="10"/>
      <c r="P55" s="22">
        <f>SUM(OSRRefP22x_0)</f>
        <v>89545.66</v>
      </c>
      <c r="Q55" s="22"/>
      <c r="R55" s="34">
        <f t="shared" ref="R55:R64" si="21">IF(P$12=0,0,P55/P$12)</f>
        <v>0.58321238661163444</v>
      </c>
      <c r="S55" s="22"/>
      <c r="T55" s="22">
        <f>SUM(OSRRefT22x_0)</f>
        <v>83158.070000000022</v>
      </c>
      <c r="U55" s="22"/>
      <c r="V55" s="34">
        <f t="shared" ref="V55:V64" si="22">IF(T$12=0,0,T55/T$12)</f>
        <v>0.64152144089861984</v>
      </c>
      <c r="W55" s="4"/>
      <c r="X55" s="22">
        <f t="shared" ref="X55:X64" si="23">+P55-T55</f>
        <v>6387.589999999982</v>
      </c>
      <c r="Y55" s="4"/>
      <c r="Z55" s="34">
        <f t="shared" ref="Z55:Z64" si="24">IF(T55=0,0,X55/T55)</f>
        <v>7.6812629249331785E-2</v>
      </c>
    </row>
    <row r="56" spans="1:26" s="29" customFormat="1" outlineLevel="1" collapsed="1" x14ac:dyDescent="0.25">
      <c r="A56" s="27"/>
      <c r="B56" s="14" t="str">
        <f>CONCATENATE("     ","*Benefits                                         ")</f>
        <v xml:space="preserve">     *Benefits                                         </v>
      </c>
      <c r="C56" s="14"/>
      <c r="D56" s="1">
        <f>SUM(OSRRefD22_0x_0)</f>
        <v>804.87</v>
      </c>
      <c r="E56" s="1"/>
      <c r="F56" s="5">
        <f t="shared" si="17"/>
        <v>2.4717544921029271E-2</v>
      </c>
      <c r="G56" s="1"/>
      <c r="H56" s="1">
        <f>SUM(OSRRefH22_0x_0)</f>
        <v>2086.6799999999998</v>
      </c>
      <c r="I56" s="1"/>
      <c r="J56" s="5">
        <f t="shared" si="18"/>
        <v>6.0172118071936162E-2</v>
      </c>
      <c r="K56" s="1"/>
      <c r="L56" s="1">
        <f t="shared" si="19"/>
        <v>-1281.81</v>
      </c>
      <c r="M56" s="1"/>
      <c r="N56" s="5">
        <f t="shared" si="20"/>
        <v>-0.61428201736730115</v>
      </c>
      <c r="O56" s="14"/>
      <c r="P56" s="1">
        <f>SUM(OSRRefP22_0x_0)</f>
        <v>5538.7099999999991</v>
      </c>
      <c r="Q56" s="1"/>
      <c r="R56" s="5">
        <f t="shared" si="21"/>
        <v>3.6073711197725553E-2</v>
      </c>
      <c r="S56" s="1"/>
      <c r="T56" s="1">
        <f>SUM(OSRRefT22_0x_0)</f>
        <v>8408.33</v>
      </c>
      <c r="U56" s="1"/>
      <c r="V56" s="5">
        <f t="shared" si="22"/>
        <v>6.4865911115434632E-2</v>
      </c>
      <c r="W56" s="1"/>
      <c r="X56" s="1">
        <f t="shared" si="23"/>
        <v>-2869.6200000000008</v>
      </c>
      <c r="Y56" s="1"/>
      <c r="Z56" s="5">
        <f t="shared" si="24"/>
        <v>-0.34128298960673531</v>
      </c>
    </row>
    <row r="57" spans="1:26" s="24" customFormat="1" hidden="1" outlineLevel="2" x14ac:dyDescent="0.25">
      <c r="A57" s="28"/>
      <c r="B57" s="11" t="str">
        <f>CONCATENATE("          ", "6111", " - ", "F.I.C.A.")</f>
        <v xml:space="preserve">          6111 - F.I.C.A.</v>
      </c>
      <c r="C57" s="11"/>
      <c r="D57" s="6">
        <v>183.6</v>
      </c>
      <c r="E57" s="2"/>
      <c r="F57" s="7">
        <f t="shared" si="17"/>
        <v>5.6383530849714531E-3</v>
      </c>
      <c r="G57" s="2"/>
      <c r="H57" s="6">
        <v>343.83</v>
      </c>
      <c r="I57" s="2"/>
      <c r="J57" s="7">
        <f t="shared" si="18"/>
        <v>9.9147829838182235E-3</v>
      </c>
      <c r="K57" s="2"/>
      <c r="L57" s="6">
        <f t="shared" si="19"/>
        <v>-160.22999999999999</v>
      </c>
      <c r="M57" s="2"/>
      <c r="N57" s="7">
        <f t="shared" si="20"/>
        <v>-0.46601518192129832</v>
      </c>
      <c r="O57" s="11"/>
      <c r="P57" s="6">
        <v>1831.17</v>
      </c>
      <c r="Q57" s="2"/>
      <c r="R57" s="7">
        <f t="shared" si="21"/>
        <v>1.1926440946346553E-2</v>
      </c>
      <c r="S57" s="2"/>
      <c r="T57" s="6">
        <v>1994.25</v>
      </c>
      <c r="U57" s="2"/>
      <c r="V57" s="7">
        <f t="shared" si="22"/>
        <v>1.5384605889868203E-2</v>
      </c>
      <c r="W57" s="2"/>
      <c r="X57" s="6">
        <f t="shared" si="23"/>
        <v>-163.07999999999993</v>
      </c>
      <c r="Y57" s="2"/>
      <c r="Z57" s="7">
        <f t="shared" si="24"/>
        <v>-8.1775103422339193E-2</v>
      </c>
    </row>
    <row r="58" spans="1:26" s="24" customFormat="1" hidden="1" outlineLevel="2" x14ac:dyDescent="0.25">
      <c r="A58" s="28"/>
      <c r="B58" s="11" t="str">
        <f>CONCATENATE("          ", "6112", " - ", "COMPENSATION INSURANCE")</f>
        <v xml:space="preserve">          6112 - COMPENSATION INSURANCE</v>
      </c>
      <c r="C58" s="11"/>
      <c r="D58" s="6">
        <v>193.01</v>
      </c>
      <c r="E58" s="2"/>
      <c r="F58" s="7">
        <f t="shared" si="17"/>
        <v>5.927334035568302E-3</v>
      </c>
      <c r="G58" s="2"/>
      <c r="H58" s="6"/>
      <c r="I58" s="2"/>
      <c r="J58" s="7">
        <f t="shared" si="18"/>
        <v>0</v>
      </c>
      <c r="K58" s="2"/>
      <c r="L58" s="6">
        <f t="shared" si="19"/>
        <v>193.01</v>
      </c>
      <c r="M58" s="2"/>
      <c r="N58" s="7">
        <f t="shared" si="20"/>
        <v>0</v>
      </c>
      <c r="O58" s="11"/>
      <c r="P58" s="6">
        <v>586.37</v>
      </c>
      <c r="Q58" s="2"/>
      <c r="R58" s="7">
        <f t="shared" si="21"/>
        <v>3.8190376522710769E-3</v>
      </c>
      <c r="S58" s="2"/>
      <c r="T58" s="6">
        <v>340.29</v>
      </c>
      <c r="U58" s="2"/>
      <c r="V58" s="7">
        <f t="shared" si="22"/>
        <v>2.6251611073151567E-3</v>
      </c>
      <c r="W58" s="2"/>
      <c r="X58" s="6">
        <f t="shared" si="23"/>
        <v>246.07999999999998</v>
      </c>
      <c r="Y58" s="2"/>
      <c r="Z58" s="7">
        <f t="shared" si="24"/>
        <v>0.72314790325898493</v>
      </c>
    </row>
    <row r="59" spans="1:26" s="24" customFormat="1" hidden="1" outlineLevel="2" x14ac:dyDescent="0.25">
      <c r="A59" s="28"/>
      <c r="B59" s="11" t="str">
        <f>CONCATENATE("          ", "6113", " - ", "GROUP INSURANCE")</f>
        <v xml:space="preserve">          6113 - GROUP INSURANCE</v>
      </c>
      <c r="C59" s="11"/>
      <c r="D59" s="6">
        <v>31.11</v>
      </c>
      <c r="E59" s="2"/>
      <c r="F59" s="7">
        <f t="shared" si="17"/>
        <v>9.5538760606460739E-4</v>
      </c>
      <c r="G59" s="2"/>
      <c r="H59" s="6">
        <v>1067.3599999999999</v>
      </c>
      <c r="I59" s="2"/>
      <c r="J59" s="7">
        <f t="shared" si="18"/>
        <v>3.0778706819091464E-2</v>
      </c>
      <c r="K59" s="2"/>
      <c r="L59" s="6">
        <f t="shared" si="19"/>
        <v>-1036.25</v>
      </c>
      <c r="M59" s="2"/>
      <c r="N59" s="7">
        <f t="shared" si="20"/>
        <v>-0.97085332034177796</v>
      </c>
      <c r="O59" s="11"/>
      <c r="P59" s="6">
        <v>1496.28</v>
      </c>
      <c r="Q59" s="2"/>
      <c r="R59" s="7">
        <f t="shared" si="21"/>
        <v>9.7452967551889882E-3</v>
      </c>
      <c r="S59" s="2"/>
      <c r="T59" s="6">
        <v>2757.63</v>
      </c>
      <c r="U59" s="2"/>
      <c r="V59" s="7">
        <f t="shared" si="22"/>
        <v>2.1273687220798421E-2</v>
      </c>
      <c r="W59" s="2"/>
      <c r="X59" s="6">
        <f t="shared" si="23"/>
        <v>-1261.3500000000001</v>
      </c>
      <c r="Y59" s="2"/>
      <c r="Z59" s="7">
        <f t="shared" si="24"/>
        <v>-0.45740364008224454</v>
      </c>
    </row>
    <row r="60" spans="1:26" s="24" customFormat="1" hidden="1" outlineLevel="2" x14ac:dyDescent="0.25">
      <c r="A60" s="28"/>
      <c r="B60" s="11" t="str">
        <f>CONCATENATE("          ", "6114", " - ", "STATE UNEMPLOYMENT INSURANCE")</f>
        <v xml:space="preserve">          6114 - STATE UNEMPLOYMENT INSURANCE</v>
      </c>
      <c r="C60" s="11"/>
      <c r="D60" s="6">
        <v>26.41</v>
      </c>
      <c r="E60" s="2"/>
      <c r="F60" s="7">
        <f t="shared" si="17"/>
        <v>8.1105068068679784E-4</v>
      </c>
      <c r="G60" s="2"/>
      <c r="H60" s="6">
        <v>24.46</v>
      </c>
      <c r="I60" s="2"/>
      <c r="J60" s="7">
        <f t="shared" si="18"/>
        <v>7.0533575250616228E-4</v>
      </c>
      <c r="K60" s="2"/>
      <c r="L60" s="6">
        <f t="shared" si="19"/>
        <v>1.9499999999999993</v>
      </c>
      <c r="M60" s="2"/>
      <c r="N60" s="7">
        <f t="shared" si="20"/>
        <v>7.9721995094031037E-2</v>
      </c>
      <c r="O60" s="11"/>
      <c r="P60" s="6">
        <v>80.23</v>
      </c>
      <c r="Q60" s="2"/>
      <c r="R60" s="7">
        <f t="shared" si="21"/>
        <v>5.2253933666747702E-4</v>
      </c>
      <c r="S60" s="2"/>
      <c r="T60" s="6">
        <v>98.81</v>
      </c>
      <c r="U60" s="2"/>
      <c r="V60" s="7">
        <f t="shared" si="22"/>
        <v>7.6226797441538276E-4</v>
      </c>
      <c r="W60" s="2"/>
      <c r="X60" s="6">
        <f t="shared" si="23"/>
        <v>-18.579999999999998</v>
      </c>
      <c r="Y60" s="2"/>
      <c r="Z60" s="7">
        <f t="shared" si="24"/>
        <v>-0.18803764801133485</v>
      </c>
    </row>
    <row r="61" spans="1:26" s="24" customFormat="1" hidden="1" outlineLevel="2" x14ac:dyDescent="0.25">
      <c r="A61" s="28"/>
      <c r="B61" s="11" t="str">
        <f>CONCATENATE("          ", "6115", " - ", "P.E.R.S.")</f>
        <v xml:space="preserve">          6115 - P.E.R.S.</v>
      </c>
      <c r="C61" s="11"/>
      <c r="D61" s="6">
        <v>167.64</v>
      </c>
      <c r="E61" s="2"/>
      <c r="F61" s="7">
        <f t="shared" si="17"/>
        <v>5.1482217383693593E-3</v>
      </c>
      <c r="G61" s="2"/>
      <c r="H61" s="6">
        <v>205.57</v>
      </c>
      <c r="I61" s="2"/>
      <c r="J61" s="7">
        <f t="shared" si="18"/>
        <v>5.92787696822125E-3</v>
      </c>
      <c r="K61" s="2"/>
      <c r="L61" s="6">
        <f t="shared" si="19"/>
        <v>-37.930000000000007</v>
      </c>
      <c r="M61" s="2"/>
      <c r="N61" s="7">
        <f t="shared" si="20"/>
        <v>-0.18451135866128329</v>
      </c>
      <c r="O61" s="11"/>
      <c r="P61" s="6">
        <v>530.9</v>
      </c>
      <c r="Q61" s="2"/>
      <c r="R61" s="7">
        <f t="shared" si="21"/>
        <v>3.4577606112023373E-3</v>
      </c>
      <c r="S61" s="2"/>
      <c r="T61" s="6">
        <v>716.51</v>
      </c>
      <c r="U61" s="2"/>
      <c r="V61" s="7">
        <f t="shared" si="22"/>
        <v>5.5275035557976514E-3</v>
      </c>
      <c r="W61" s="2"/>
      <c r="X61" s="6">
        <f t="shared" si="23"/>
        <v>-185.61</v>
      </c>
      <c r="Y61" s="2"/>
      <c r="Z61" s="7">
        <f t="shared" si="24"/>
        <v>-0.25904732662489011</v>
      </c>
    </row>
    <row r="62" spans="1:26" s="24" customFormat="1" hidden="1" outlineLevel="2" x14ac:dyDescent="0.25">
      <c r="A62" s="28"/>
      <c r="B62" s="11" t="str">
        <f>CONCATENATE("          ", "6118", " - ", "VACATION")</f>
        <v xml:space="preserve">          6118 - VACATION</v>
      </c>
      <c r="C62" s="11"/>
      <c r="D62" s="6">
        <v>92.4</v>
      </c>
      <c r="E62" s="2"/>
      <c r="F62" s="7">
        <f t="shared" si="17"/>
        <v>2.8376025329594897E-3</v>
      </c>
      <c r="G62" s="2"/>
      <c r="H62" s="6">
        <v>182.92</v>
      </c>
      <c r="I62" s="2"/>
      <c r="J62" s="7">
        <f t="shared" si="18"/>
        <v>5.2747349079487809E-3</v>
      </c>
      <c r="K62" s="2"/>
      <c r="L62" s="6">
        <f t="shared" si="19"/>
        <v>-90.519999999999982</v>
      </c>
      <c r="M62" s="2"/>
      <c r="N62" s="7">
        <f t="shared" si="20"/>
        <v>-0.49486114148261529</v>
      </c>
      <c r="O62" s="11"/>
      <c r="P62" s="6">
        <v>480.15</v>
      </c>
      <c r="Q62" s="2"/>
      <c r="R62" s="7">
        <f t="shared" si="21"/>
        <v>3.1272250093592057E-3</v>
      </c>
      <c r="S62" s="2"/>
      <c r="T62" s="6">
        <v>1271.71</v>
      </c>
      <c r="U62" s="2"/>
      <c r="V62" s="7">
        <f t="shared" si="22"/>
        <v>9.8105840071226243E-3</v>
      </c>
      <c r="W62" s="2"/>
      <c r="X62" s="6">
        <f t="shared" si="23"/>
        <v>-791.56000000000006</v>
      </c>
      <c r="Y62" s="2"/>
      <c r="Z62" s="7">
        <f t="shared" si="24"/>
        <v>-0.62243750540610676</v>
      </c>
    </row>
    <row r="63" spans="1:26" s="24" customFormat="1" hidden="1" outlineLevel="2" x14ac:dyDescent="0.25">
      <c r="A63" s="28"/>
      <c r="B63" s="11" t="str">
        <f>CONCATENATE("          ", "6119", " - ", "SICK LEAVE")</f>
        <v xml:space="preserve">          6119 - SICK LEAVE</v>
      </c>
      <c r="C63" s="11"/>
      <c r="D63" s="6">
        <v>110.7</v>
      </c>
      <c r="E63" s="2"/>
      <c r="F63" s="7">
        <f t="shared" si="17"/>
        <v>3.3995952424092589E-3</v>
      </c>
      <c r="G63" s="2"/>
      <c r="H63" s="6">
        <v>113.04</v>
      </c>
      <c r="I63" s="2"/>
      <c r="J63" s="7">
        <f t="shared" si="18"/>
        <v>3.2596546796114711E-3</v>
      </c>
      <c r="K63" s="2"/>
      <c r="L63" s="6">
        <f t="shared" si="19"/>
        <v>-2.3400000000000034</v>
      </c>
      <c r="M63" s="2"/>
      <c r="N63" s="7">
        <f t="shared" si="20"/>
        <v>-2.0700636942675189E-2</v>
      </c>
      <c r="O63" s="11"/>
      <c r="P63" s="6">
        <v>384.27</v>
      </c>
      <c r="Q63" s="2"/>
      <c r="R63" s="7">
        <f t="shared" si="21"/>
        <v>2.5027569600051276E-3</v>
      </c>
      <c r="S63" s="2"/>
      <c r="T63" s="6">
        <v>782</v>
      </c>
      <c r="U63" s="2"/>
      <c r="V63" s="7">
        <f t="shared" si="22"/>
        <v>6.0327249872768884E-3</v>
      </c>
      <c r="W63" s="2"/>
      <c r="X63" s="6">
        <f t="shared" si="23"/>
        <v>-397.73</v>
      </c>
      <c r="Y63" s="2"/>
      <c r="Z63" s="7">
        <f t="shared" si="24"/>
        <v>-0.50860613810741695</v>
      </c>
    </row>
    <row r="64" spans="1:26" s="24" customFormat="1" hidden="1" outlineLevel="2" x14ac:dyDescent="0.25">
      <c r="A64" s="28"/>
      <c r="B64" s="11" t="str">
        <f>CONCATENATE("          ", "6156", " - ", "EMPLOYEE MEALS")</f>
        <v xml:space="preserve">          6156 - EMPLOYEE MEALS</v>
      </c>
      <c r="C64" s="11"/>
      <c r="D64" s="6"/>
      <c r="E64" s="2"/>
      <c r="F64" s="7">
        <f t="shared" si="17"/>
        <v>0</v>
      </c>
      <c r="G64" s="2"/>
      <c r="H64" s="6">
        <v>149.5</v>
      </c>
      <c r="I64" s="2"/>
      <c r="J64" s="7">
        <f t="shared" si="18"/>
        <v>4.3110259607388084E-3</v>
      </c>
      <c r="K64" s="2"/>
      <c r="L64" s="6">
        <f t="shared" si="19"/>
        <v>-149.5</v>
      </c>
      <c r="M64" s="2"/>
      <c r="N64" s="7">
        <f t="shared" si="20"/>
        <v>-1</v>
      </c>
      <c r="O64" s="11"/>
      <c r="P64" s="6">
        <v>149.34</v>
      </c>
      <c r="Q64" s="2"/>
      <c r="R64" s="7">
        <f t="shared" si="21"/>
        <v>9.7265392668479398E-4</v>
      </c>
      <c r="S64" s="2"/>
      <c r="T64" s="6">
        <v>447.13</v>
      </c>
      <c r="U64" s="2"/>
      <c r="V64" s="7">
        <f t="shared" si="22"/>
        <v>3.4493763728403004E-3</v>
      </c>
      <c r="W64" s="2"/>
      <c r="X64" s="6">
        <f t="shared" si="23"/>
        <v>-297.78999999999996</v>
      </c>
      <c r="Y64" s="2"/>
      <c r="Z64" s="7">
        <f t="shared" si="24"/>
        <v>-0.66600317581016699</v>
      </c>
    </row>
    <row r="65" spans="1:26" s="29" customFormat="1" outlineLevel="1" collapsed="1" x14ac:dyDescent="0.25">
      <c r="A65" s="27"/>
      <c r="B65" s="14" t="str">
        <f>CONCATENATE("     ","*Payroll                                          ")</f>
        <v xml:space="preserve">     *Payroll                                          </v>
      </c>
      <c r="C65" s="14"/>
      <c r="D65" s="1">
        <f>SUM(OSRRefD22_1x_0)</f>
        <v>9812.15</v>
      </c>
      <c r="E65" s="1"/>
      <c r="F65" s="5">
        <f t="shared" ref="F65:F69" si="25">IF(D$12=0,0,D65/D$12)</f>
        <v>0.30133097071188808</v>
      </c>
      <c r="G65" s="1"/>
      <c r="H65" s="1">
        <f>SUM(OSRRefH22_1x_0)</f>
        <v>9011.15</v>
      </c>
      <c r="I65" s="1"/>
      <c r="J65" s="5">
        <f t="shared" ref="J65:J69" si="26">IF(H$12=0,0,H65/H$12)</f>
        <v>0.2598481711445586</v>
      </c>
      <c r="K65" s="1"/>
      <c r="L65" s="1">
        <f t="shared" ref="L65:L69" si="27">+D65-H65</f>
        <v>801</v>
      </c>
      <c r="M65" s="1"/>
      <c r="N65" s="5">
        <f t="shared" ref="N65:N69" si="28">IF(H65=0,0,L65/H65)</f>
        <v>8.8889875321129935E-2</v>
      </c>
      <c r="O65" s="14"/>
      <c r="P65" s="1">
        <f>SUM(OSRRefP22_1x_0)</f>
        <v>31166.019999999997</v>
      </c>
      <c r="Q65" s="1"/>
      <c r="R65" s="5">
        <f t="shared" ref="R65:R69" si="29">IF(P$12=0,0,P65/P$12)</f>
        <v>0.20298481138433652</v>
      </c>
      <c r="S65" s="1"/>
      <c r="T65" s="1">
        <f>SUM(OSRRefT22_1x_0)</f>
        <v>32431.7</v>
      </c>
      <c r="U65" s="1"/>
      <c r="V65" s="5">
        <f t="shared" ref="V65:V69" si="30">IF(T$12=0,0,T65/T$12)</f>
        <v>0.25019376850366737</v>
      </c>
      <c r="W65" s="1"/>
      <c r="X65" s="1">
        <f t="shared" ref="X65:X69" si="31">+P65-T65</f>
        <v>-1265.6800000000039</v>
      </c>
      <c r="Y65" s="1"/>
      <c r="Z65" s="5">
        <f t="shared" ref="Z65:Z69" si="32">IF(T65=0,0,X65/T65)</f>
        <v>-3.9026014670831437E-2</v>
      </c>
    </row>
    <row r="66" spans="1:26" s="24" customFormat="1" hidden="1" outlineLevel="2" x14ac:dyDescent="0.25">
      <c r="A66" s="28"/>
      <c r="B66" s="11" t="str">
        <f>CONCATENATE("          ", "6002", " - ", "STAFF SALARIES")</f>
        <v xml:space="preserve">          6002 - STAFF SALARIES</v>
      </c>
      <c r="C66" s="11"/>
      <c r="D66" s="6">
        <v>2026</v>
      </c>
      <c r="E66" s="2"/>
      <c r="F66" s="7">
        <f t="shared" si="25"/>
        <v>6.2218427833072798E-2</v>
      </c>
      <c r="G66" s="2"/>
      <c r="H66" s="6">
        <v>2207.14</v>
      </c>
      <c r="I66" s="2"/>
      <c r="J66" s="7">
        <f t="shared" si="26"/>
        <v>6.3645738053411727E-2</v>
      </c>
      <c r="K66" s="2"/>
      <c r="L66" s="6">
        <f t="shared" si="27"/>
        <v>-181.13999999999987</v>
      </c>
      <c r="M66" s="2"/>
      <c r="N66" s="7">
        <f t="shared" si="28"/>
        <v>-8.2070009152115347E-2</v>
      </c>
      <c r="O66" s="11"/>
      <c r="P66" s="6">
        <v>3861.9</v>
      </c>
      <c r="Q66" s="2"/>
      <c r="R66" s="7">
        <f t="shared" si="29"/>
        <v>2.5152619522324934E-2</v>
      </c>
      <c r="S66" s="2"/>
      <c r="T66" s="6">
        <v>6958.46</v>
      </c>
      <c r="U66" s="2"/>
      <c r="V66" s="7">
        <f t="shared" si="30"/>
        <v>5.368091498077588E-2</v>
      </c>
      <c r="W66" s="2"/>
      <c r="X66" s="6">
        <f t="shared" si="31"/>
        <v>-3096.56</v>
      </c>
      <c r="Y66" s="2"/>
      <c r="Z66" s="7">
        <f t="shared" si="32"/>
        <v>-0.44500651006113423</v>
      </c>
    </row>
    <row r="67" spans="1:26" s="24" customFormat="1" hidden="1" outlineLevel="2" x14ac:dyDescent="0.25">
      <c r="A67" s="28"/>
      <c r="B67" s="11" t="str">
        <f>CONCATENATE("          ", "6005", " - ", "TEMPORARY WAGES-HOURLY")</f>
        <v xml:space="preserve">          6005 - TEMPORARY WAGES-HOURLY</v>
      </c>
      <c r="C67" s="11"/>
      <c r="D67" s="6"/>
      <c r="E67" s="2"/>
      <c r="F67" s="7">
        <f t="shared" si="25"/>
        <v>0</v>
      </c>
      <c r="G67" s="2"/>
      <c r="H67" s="6">
        <v>1763.05</v>
      </c>
      <c r="I67" s="2"/>
      <c r="J67" s="7">
        <f t="shared" si="26"/>
        <v>5.0839828227963582E-2</v>
      </c>
      <c r="K67" s="2"/>
      <c r="L67" s="6">
        <f t="shared" si="27"/>
        <v>-1763.05</v>
      </c>
      <c r="M67" s="2"/>
      <c r="N67" s="7">
        <f t="shared" si="28"/>
        <v>-1</v>
      </c>
      <c r="O67" s="11"/>
      <c r="P67" s="6">
        <v>332.35</v>
      </c>
      <c r="Q67" s="2"/>
      <c r="R67" s="7">
        <f t="shared" si="29"/>
        <v>2.1646011285234449E-3</v>
      </c>
      <c r="S67" s="2"/>
      <c r="T67" s="6">
        <v>5117.47</v>
      </c>
      <c r="U67" s="2"/>
      <c r="V67" s="7">
        <f t="shared" si="30"/>
        <v>3.9478630614628973E-2</v>
      </c>
      <c r="W67" s="2"/>
      <c r="X67" s="6">
        <f t="shared" si="31"/>
        <v>-4785.12</v>
      </c>
      <c r="Y67" s="2"/>
      <c r="Z67" s="7">
        <f t="shared" si="32"/>
        <v>-0.93505579905695579</v>
      </c>
    </row>
    <row r="68" spans="1:26" s="24" customFormat="1" hidden="1" outlineLevel="2" x14ac:dyDescent="0.25">
      <c r="A68" s="28"/>
      <c r="B68" s="11" t="str">
        <f>CONCATENATE("          ", "6006", " - ", "TEMPORARY PART TIME")</f>
        <v xml:space="preserve">          6006 - TEMPORARY PART TIME</v>
      </c>
      <c r="C68" s="11"/>
      <c r="D68" s="6"/>
      <c r="E68" s="2"/>
      <c r="F68" s="7">
        <f t="shared" si="25"/>
        <v>0</v>
      </c>
      <c r="G68" s="2"/>
      <c r="H68" s="6">
        <v>139.5</v>
      </c>
      <c r="I68" s="2"/>
      <c r="J68" s="7">
        <f t="shared" si="26"/>
        <v>4.0226630202211625E-3</v>
      </c>
      <c r="K68" s="2"/>
      <c r="L68" s="6">
        <f t="shared" si="27"/>
        <v>-139.5</v>
      </c>
      <c r="M68" s="2"/>
      <c r="N68" s="7">
        <f t="shared" si="28"/>
        <v>-1</v>
      </c>
      <c r="O68" s="11"/>
      <c r="P68" s="6"/>
      <c r="Q68" s="2"/>
      <c r="R68" s="7">
        <f t="shared" si="29"/>
        <v>0</v>
      </c>
      <c r="S68" s="2"/>
      <c r="T68" s="6">
        <v>2845.09</v>
      </c>
      <c r="U68" s="2"/>
      <c r="V68" s="7">
        <f t="shared" si="30"/>
        <v>2.1948395823595399E-2</v>
      </c>
      <c r="W68" s="2"/>
      <c r="X68" s="6">
        <f t="shared" si="31"/>
        <v>-2845.09</v>
      </c>
      <c r="Y68" s="2"/>
      <c r="Z68" s="7">
        <f t="shared" si="32"/>
        <v>-1</v>
      </c>
    </row>
    <row r="69" spans="1:26" s="24" customFormat="1" hidden="1" outlineLevel="2" x14ac:dyDescent="0.25">
      <c r="A69" s="28"/>
      <c r="B69" s="11" t="str">
        <f>CONCATENATE("          ", "6007", " - ", "STUDENT HOURLY")</f>
        <v xml:space="preserve">          6007 - STUDENT HOURLY</v>
      </c>
      <c r="C69" s="11"/>
      <c r="D69" s="6">
        <v>7786.15</v>
      </c>
      <c r="E69" s="2"/>
      <c r="F69" s="7">
        <f t="shared" si="25"/>
        <v>0.23911254287881525</v>
      </c>
      <c r="G69" s="2"/>
      <c r="H69" s="6">
        <v>4901.46</v>
      </c>
      <c r="I69" s="2"/>
      <c r="J69" s="7">
        <f t="shared" si="26"/>
        <v>0.14133994184296214</v>
      </c>
      <c r="K69" s="2"/>
      <c r="L69" s="6">
        <f t="shared" si="27"/>
        <v>2884.6899999999996</v>
      </c>
      <c r="M69" s="2"/>
      <c r="N69" s="7">
        <f t="shared" si="28"/>
        <v>0.58853688492816414</v>
      </c>
      <c r="O69" s="11"/>
      <c r="P69" s="6">
        <v>26971.769999999997</v>
      </c>
      <c r="Q69" s="2"/>
      <c r="R69" s="7">
        <f t="shared" si="29"/>
        <v>0.17566759073348814</v>
      </c>
      <c r="S69" s="2"/>
      <c r="T69" s="6">
        <v>17510.68</v>
      </c>
      <c r="U69" s="2"/>
      <c r="V69" s="7">
        <f t="shared" si="30"/>
        <v>0.1350858270846671</v>
      </c>
      <c r="W69" s="2"/>
      <c r="X69" s="6">
        <f t="shared" si="31"/>
        <v>9461.0899999999965</v>
      </c>
      <c r="Y69" s="2"/>
      <c r="Z69" s="7">
        <f t="shared" si="32"/>
        <v>0.54030397448871181</v>
      </c>
    </row>
    <row r="70" spans="1:26" s="29" customFormat="1" outlineLevel="1" collapsed="1" x14ac:dyDescent="0.25">
      <c r="A70" s="27"/>
      <c r="B70" s="14" t="str">
        <f>CONCATENATE("     ","Advertising/Promo                                 ")</f>
        <v xml:space="preserve">     Advertising/Promo                                 </v>
      </c>
      <c r="C70" s="14"/>
      <c r="D70" s="1">
        <f>SUM(OSRRefD22_2x_0)</f>
        <v>52.51</v>
      </c>
      <c r="E70" s="1"/>
      <c r="F70" s="5">
        <f t="shared" ref="F70:F94" si="33">IF(D$12=0,0,D70/D$12)</f>
        <v>1.6125812662954849E-3</v>
      </c>
      <c r="G70" s="1"/>
      <c r="H70" s="1">
        <f>SUM(OSRRefH22_2x_0)</f>
        <v>111.53</v>
      </c>
      <c r="I70" s="1"/>
      <c r="J70" s="5">
        <f t="shared" ref="J70:J94" si="34">IF(H$12=0,0,H70/H$12)</f>
        <v>3.2161118755933064E-3</v>
      </c>
      <c r="K70" s="1"/>
      <c r="L70" s="1">
        <f t="shared" ref="L70:L94" si="35">+D70-H70</f>
        <v>-59.02</v>
      </c>
      <c r="M70" s="1"/>
      <c r="N70" s="5">
        <f t="shared" ref="N70:N94" si="36">IF(H70=0,0,L70/H70)</f>
        <v>-0.52918497265309783</v>
      </c>
      <c r="O70" s="14"/>
      <c r="P70" s="1">
        <f>SUM(OSRRefP22_2x_0)</f>
        <v>921.39</v>
      </c>
      <c r="Q70" s="1"/>
      <c r="R70" s="5">
        <f t="shared" ref="R70:R94" si="37">IF(P$12=0,0,P70/P$12)</f>
        <v>6.0010285356107019E-3</v>
      </c>
      <c r="S70" s="1"/>
      <c r="T70" s="1">
        <f>SUM(OSRRefT22_2x_0)</f>
        <v>1033.71</v>
      </c>
      <c r="U70" s="1"/>
      <c r="V70" s="5">
        <f t="shared" ref="V70:V94" si="38">IF(T$12=0,0,T70/T$12)</f>
        <v>7.974537271864441E-3</v>
      </c>
      <c r="W70" s="1"/>
      <c r="X70" s="1">
        <f t="shared" ref="X70:X94" si="39">+P70-T70</f>
        <v>-112.32000000000005</v>
      </c>
      <c r="Y70" s="1"/>
      <c r="Z70" s="5">
        <f t="shared" ref="Z70:Z94" si="40">IF(T70=0,0,X70/T70)</f>
        <v>-0.10865716690367709</v>
      </c>
    </row>
    <row r="71" spans="1:26" s="24" customFormat="1" hidden="1" outlineLevel="2" x14ac:dyDescent="0.25">
      <c r="A71" s="28"/>
      <c r="B71" s="11" t="str">
        <f>CONCATENATE("          ", "6362", " - ", "ADVERTISING EXPENSE")</f>
        <v xml:space="preserve">          6362 - ADVERTISING EXPENSE</v>
      </c>
      <c r="C71" s="11"/>
      <c r="D71" s="6">
        <v>52.51</v>
      </c>
      <c r="E71" s="2"/>
      <c r="F71" s="7">
        <f t="shared" si="33"/>
        <v>1.6125812662954849E-3</v>
      </c>
      <c r="G71" s="2"/>
      <c r="H71" s="6">
        <v>111.53</v>
      </c>
      <c r="I71" s="2"/>
      <c r="J71" s="7">
        <f t="shared" si="34"/>
        <v>3.2161118755933064E-3</v>
      </c>
      <c r="K71" s="2"/>
      <c r="L71" s="6">
        <f t="shared" si="35"/>
        <v>-59.02</v>
      </c>
      <c r="M71" s="2"/>
      <c r="N71" s="7">
        <f t="shared" si="36"/>
        <v>-0.52918497265309783</v>
      </c>
      <c r="O71" s="11"/>
      <c r="P71" s="6">
        <v>921.39</v>
      </c>
      <c r="Q71" s="2"/>
      <c r="R71" s="7">
        <f t="shared" si="37"/>
        <v>6.0010285356107019E-3</v>
      </c>
      <c r="S71" s="2"/>
      <c r="T71" s="6">
        <v>1033.71</v>
      </c>
      <c r="U71" s="2"/>
      <c r="V71" s="7">
        <f t="shared" si="38"/>
        <v>7.974537271864441E-3</v>
      </c>
      <c r="W71" s="2"/>
      <c r="X71" s="6">
        <f t="shared" si="39"/>
        <v>-112.32000000000005</v>
      </c>
      <c r="Y71" s="2"/>
      <c r="Z71" s="7">
        <f t="shared" si="40"/>
        <v>-0.10865716690367709</v>
      </c>
    </row>
    <row r="72" spans="1:26" s="29" customFormat="1" outlineLevel="1" collapsed="1" x14ac:dyDescent="0.25">
      <c r="A72" s="27"/>
      <c r="B72" s="14" t="str">
        <f>CONCATENATE("     ","Bad Debts/Over/Short                              ")</f>
        <v xml:space="preserve">     Bad Debts/Over/Short                              </v>
      </c>
      <c r="C72" s="14"/>
      <c r="D72" s="1">
        <f>SUM(OSRRefD22_3x_0)</f>
        <v>-0.2</v>
      </c>
      <c r="E72" s="1"/>
      <c r="F72" s="5">
        <f t="shared" si="33"/>
        <v>-6.1419968245876403E-6</v>
      </c>
      <c r="G72" s="1"/>
      <c r="H72" s="1">
        <f>SUM(OSRRefH22_3x_0)</f>
        <v>0.17</v>
      </c>
      <c r="I72" s="1"/>
      <c r="J72" s="5">
        <f t="shared" si="34"/>
        <v>4.902169988799983E-6</v>
      </c>
      <c r="K72" s="1"/>
      <c r="L72" s="1">
        <f t="shared" si="35"/>
        <v>-0.37</v>
      </c>
      <c r="M72" s="1"/>
      <c r="N72" s="5">
        <f t="shared" si="36"/>
        <v>-2.1764705882352939</v>
      </c>
      <c r="O72" s="14"/>
      <c r="P72" s="1">
        <f>SUM(OSRRefP22_3x_0)</f>
        <v>29.71</v>
      </c>
      <c r="Q72" s="1"/>
      <c r="R72" s="5">
        <f t="shared" si="37"/>
        <v>1.9350172868491515E-4</v>
      </c>
      <c r="S72" s="1"/>
      <c r="T72" s="1">
        <f>SUM(OSRRefT22_3x_0)</f>
        <v>100.47</v>
      </c>
      <c r="U72" s="1"/>
      <c r="V72" s="5">
        <f t="shared" si="38"/>
        <v>7.7507401466970452E-4</v>
      </c>
      <c r="W72" s="1"/>
      <c r="X72" s="1">
        <f t="shared" si="39"/>
        <v>-70.759999999999991</v>
      </c>
      <c r="Y72" s="1"/>
      <c r="Z72" s="5">
        <f t="shared" si="40"/>
        <v>-0.70428983776251608</v>
      </c>
    </row>
    <row r="73" spans="1:26" s="24" customFormat="1" hidden="1" outlineLevel="2" x14ac:dyDescent="0.25">
      <c r="A73" s="28"/>
      <c r="B73" s="11" t="str">
        <f>CONCATENATE("          ", "6272", " - ", "CASH (OVER/SHORT)")</f>
        <v xml:space="preserve">          6272 - CASH (OVER/SHORT)</v>
      </c>
      <c r="C73" s="11"/>
      <c r="D73" s="6">
        <v>-0.2</v>
      </c>
      <c r="E73" s="2"/>
      <c r="F73" s="7">
        <f t="shared" si="33"/>
        <v>-6.1419968245876403E-6</v>
      </c>
      <c r="G73" s="2"/>
      <c r="H73" s="6">
        <v>0.17</v>
      </c>
      <c r="I73" s="2"/>
      <c r="J73" s="7">
        <f t="shared" si="34"/>
        <v>4.902169988799983E-6</v>
      </c>
      <c r="K73" s="2"/>
      <c r="L73" s="6">
        <f t="shared" si="35"/>
        <v>-0.37</v>
      </c>
      <c r="M73" s="2"/>
      <c r="N73" s="7">
        <f t="shared" si="36"/>
        <v>-2.1764705882352939</v>
      </c>
      <c r="O73" s="11"/>
      <c r="P73" s="6">
        <v>29.71</v>
      </c>
      <c r="Q73" s="2"/>
      <c r="R73" s="7">
        <f t="shared" si="37"/>
        <v>1.9350172868491515E-4</v>
      </c>
      <c r="S73" s="2"/>
      <c r="T73" s="6">
        <v>100.47</v>
      </c>
      <c r="U73" s="2"/>
      <c r="V73" s="7">
        <f t="shared" si="38"/>
        <v>7.7507401466970452E-4</v>
      </c>
      <c r="W73" s="2"/>
      <c r="X73" s="6">
        <f t="shared" si="39"/>
        <v>-70.759999999999991</v>
      </c>
      <c r="Y73" s="2"/>
      <c r="Z73" s="7">
        <f t="shared" si="40"/>
        <v>-0.70428983776251608</v>
      </c>
    </row>
    <row r="74" spans="1:26" s="29" customFormat="1" outlineLevel="1" collapsed="1" x14ac:dyDescent="0.25">
      <c r="A74" s="27"/>
      <c r="B74" s="14" t="str">
        <f>CONCATENATE("     ","Bank/card Fees                                    ")</f>
        <v xml:space="preserve">     Bank/card Fees                                    </v>
      </c>
      <c r="C74" s="14"/>
      <c r="D74" s="1">
        <f>SUM(OSRRefD22_4x_0)</f>
        <v>541.12</v>
      </c>
      <c r="E74" s="1"/>
      <c r="F74" s="5">
        <f t="shared" si="33"/>
        <v>1.6617786608604319E-2</v>
      </c>
      <c r="G74" s="1"/>
      <c r="H74" s="1">
        <f>SUM(OSRRefH22_4x_0)</f>
        <v>581.79</v>
      </c>
      <c r="I74" s="1"/>
      <c r="J74" s="5">
        <f t="shared" si="34"/>
        <v>1.6776667516376128E-2</v>
      </c>
      <c r="K74" s="1"/>
      <c r="L74" s="1">
        <f t="shared" si="35"/>
        <v>-40.669999999999959</v>
      </c>
      <c r="M74" s="1"/>
      <c r="N74" s="5">
        <f t="shared" si="36"/>
        <v>-6.9904948520943921E-2</v>
      </c>
      <c r="O74" s="14"/>
      <c r="P74" s="1">
        <f>SUM(OSRRefP22_4x_0)</f>
        <v>2022.78</v>
      </c>
      <c r="Q74" s="1"/>
      <c r="R74" s="5">
        <f t="shared" si="37"/>
        <v>1.3174400092536946E-2</v>
      </c>
      <c r="S74" s="1"/>
      <c r="T74" s="1">
        <f>SUM(OSRRefT22_4x_0)</f>
        <v>1896.87</v>
      </c>
      <c r="U74" s="1"/>
      <c r="V74" s="5">
        <f t="shared" si="38"/>
        <v>1.4633369624828529E-2</v>
      </c>
      <c r="W74" s="1"/>
      <c r="X74" s="1">
        <f t="shared" si="39"/>
        <v>125.91000000000008</v>
      </c>
      <c r="Y74" s="1"/>
      <c r="Z74" s="5">
        <f t="shared" si="40"/>
        <v>6.6377769694285896E-2</v>
      </c>
    </row>
    <row r="75" spans="1:26" s="24" customFormat="1" hidden="1" outlineLevel="2" x14ac:dyDescent="0.25">
      <c r="A75" s="28"/>
      <c r="B75" s="11" t="str">
        <f>CONCATENATE("          ", "6381", " - ", "BANK/CREDIT CARD FEES")</f>
        <v xml:space="preserve">          6381 - BANK/CREDIT CARD FEES</v>
      </c>
      <c r="C75" s="11"/>
      <c r="D75" s="6">
        <v>541.12</v>
      </c>
      <c r="E75" s="2"/>
      <c r="F75" s="7">
        <f t="shared" si="33"/>
        <v>1.6617786608604319E-2</v>
      </c>
      <c r="G75" s="2"/>
      <c r="H75" s="6">
        <v>581.79</v>
      </c>
      <c r="I75" s="2"/>
      <c r="J75" s="7">
        <f t="shared" si="34"/>
        <v>1.6776667516376128E-2</v>
      </c>
      <c r="K75" s="2"/>
      <c r="L75" s="6">
        <f t="shared" si="35"/>
        <v>-40.669999999999959</v>
      </c>
      <c r="M75" s="2"/>
      <c r="N75" s="7">
        <f t="shared" si="36"/>
        <v>-6.9904948520943921E-2</v>
      </c>
      <c r="O75" s="11"/>
      <c r="P75" s="6">
        <v>2022.78</v>
      </c>
      <c r="Q75" s="2"/>
      <c r="R75" s="7">
        <f t="shared" si="37"/>
        <v>1.3174400092536946E-2</v>
      </c>
      <c r="S75" s="2"/>
      <c r="T75" s="6">
        <v>1896.87</v>
      </c>
      <c r="U75" s="2"/>
      <c r="V75" s="7">
        <f t="shared" si="38"/>
        <v>1.4633369624828529E-2</v>
      </c>
      <c r="W75" s="2"/>
      <c r="X75" s="6">
        <f t="shared" si="39"/>
        <v>125.91000000000008</v>
      </c>
      <c r="Y75" s="2"/>
      <c r="Z75" s="7">
        <f t="shared" si="40"/>
        <v>6.6377769694285896E-2</v>
      </c>
    </row>
    <row r="76" spans="1:26" s="29" customFormat="1" outlineLevel="1" collapsed="1" x14ac:dyDescent="0.25">
      <c r="A76" s="27"/>
      <c r="B76" s="14" t="str">
        <f>CONCATENATE("     ","Discounts and Markdowns                           ")</f>
        <v xml:space="preserve">     Discounts and Markdowns                           </v>
      </c>
      <c r="C76" s="14"/>
      <c r="D76" s="1">
        <f>SUM(OSRRefD22_5x_0)</f>
        <v>3506.67</v>
      </c>
      <c r="E76" s="1"/>
      <c r="F76" s="5">
        <f t="shared" si="33"/>
        <v>0.1076897800243837</v>
      </c>
      <c r="G76" s="1"/>
      <c r="H76" s="1">
        <f>SUM(OSRRefH22_5x_0)</f>
        <v>1568.4</v>
      </c>
      <c r="I76" s="1"/>
      <c r="J76" s="5">
        <f t="shared" si="34"/>
        <v>4.5226843590787609E-2</v>
      </c>
      <c r="K76" s="1"/>
      <c r="L76" s="1">
        <f t="shared" si="35"/>
        <v>1938.27</v>
      </c>
      <c r="M76" s="1"/>
      <c r="N76" s="5">
        <f t="shared" si="36"/>
        <v>1.2358263198163733</v>
      </c>
      <c r="O76" s="14"/>
      <c r="P76" s="1">
        <f>SUM(OSRRefP22_5x_0)</f>
        <v>22656.36</v>
      </c>
      <c r="Q76" s="1"/>
      <c r="R76" s="5">
        <f t="shared" si="37"/>
        <v>0.14756125296895875</v>
      </c>
      <c r="S76" s="1"/>
      <c r="T76" s="1">
        <f>SUM(OSRRefT22_5x_0)</f>
        <v>10523.32</v>
      </c>
      <c r="U76" s="1"/>
      <c r="V76" s="5">
        <f t="shared" si="38"/>
        <v>8.118196357175271E-2</v>
      </c>
      <c r="W76" s="1"/>
      <c r="X76" s="1">
        <f t="shared" si="39"/>
        <v>12133.04</v>
      </c>
      <c r="Y76" s="1"/>
      <c r="Z76" s="5">
        <f t="shared" si="40"/>
        <v>1.1529669343895275</v>
      </c>
    </row>
    <row r="77" spans="1:26" s="24" customFormat="1" hidden="1" outlineLevel="2" x14ac:dyDescent="0.25">
      <c r="A77" s="28"/>
      <c r="B77" s="11" t="str">
        <f>CONCATENATE("          ", "6382", " - ", "DISCOUNTS/MARK DOWNS")</f>
        <v xml:space="preserve">          6382 - DISCOUNTS/MARK DOWNS</v>
      </c>
      <c r="C77" s="11"/>
      <c r="D77" s="6">
        <v>3506.67</v>
      </c>
      <c r="E77" s="2"/>
      <c r="F77" s="7">
        <f t="shared" si="33"/>
        <v>0.1076897800243837</v>
      </c>
      <c r="G77" s="2"/>
      <c r="H77" s="6">
        <v>1568.4</v>
      </c>
      <c r="I77" s="2"/>
      <c r="J77" s="7">
        <f t="shared" si="34"/>
        <v>4.5226843590787609E-2</v>
      </c>
      <c r="K77" s="2"/>
      <c r="L77" s="6">
        <f t="shared" si="35"/>
        <v>1938.27</v>
      </c>
      <c r="M77" s="2"/>
      <c r="N77" s="7">
        <f t="shared" si="36"/>
        <v>1.2358263198163733</v>
      </c>
      <c r="O77" s="11"/>
      <c r="P77" s="6">
        <v>22656.36</v>
      </c>
      <c r="Q77" s="2"/>
      <c r="R77" s="7">
        <f t="shared" si="37"/>
        <v>0.14756125296895875</v>
      </c>
      <c r="S77" s="2"/>
      <c r="T77" s="6">
        <v>10523.32</v>
      </c>
      <c r="U77" s="2"/>
      <c r="V77" s="7">
        <f t="shared" si="38"/>
        <v>8.118196357175271E-2</v>
      </c>
      <c r="W77" s="2"/>
      <c r="X77" s="6">
        <f t="shared" si="39"/>
        <v>12133.04</v>
      </c>
      <c r="Y77" s="2"/>
      <c r="Z77" s="7">
        <f t="shared" si="40"/>
        <v>1.1529669343895275</v>
      </c>
    </row>
    <row r="78" spans="1:26" s="29" customFormat="1" outlineLevel="1" collapsed="1" x14ac:dyDescent="0.25">
      <c r="A78" s="27"/>
      <c r="B78" s="14" t="str">
        <f>CONCATENATE("     ","Donations                                         ")</f>
        <v xml:space="preserve">     Donations                                         </v>
      </c>
      <c r="C78" s="14"/>
      <c r="D78" s="1">
        <f>SUM(OSRRefD22_6x_0)</f>
        <v>0</v>
      </c>
      <c r="E78" s="1"/>
      <c r="F78" s="5">
        <f t="shared" si="33"/>
        <v>0</v>
      </c>
      <c r="G78" s="1"/>
      <c r="H78" s="1">
        <f>SUM(OSRRefH22_6x_0)</f>
        <v>0</v>
      </c>
      <c r="I78" s="1"/>
      <c r="J78" s="5">
        <f t="shared" si="34"/>
        <v>0</v>
      </c>
      <c r="K78" s="1"/>
      <c r="L78" s="1">
        <f t="shared" si="35"/>
        <v>0</v>
      </c>
      <c r="M78" s="1"/>
      <c r="N78" s="5">
        <f t="shared" si="36"/>
        <v>0</v>
      </c>
      <c r="O78" s="14"/>
      <c r="P78" s="1">
        <f>SUM(OSRRefP22_6x_0)</f>
        <v>0</v>
      </c>
      <c r="Q78" s="1"/>
      <c r="R78" s="5">
        <f t="shared" si="37"/>
        <v>0</v>
      </c>
      <c r="S78" s="1"/>
      <c r="T78" s="1">
        <f>SUM(OSRRefT22_6x_0)</f>
        <v>100</v>
      </c>
      <c r="U78" s="1"/>
      <c r="V78" s="5">
        <f t="shared" si="38"/>
        <v>7.7144820809167366E-4</v>
      </c>
      <c r="W78" s="1"/>
      <c r="X78" s="1">
        <f t="shared" si="39"/>
        <v>-100</v>
      </c>
      <c r="Y78" s="1"/>
      <c r="Z78" s="5">
        <f t="shared" si="40"/>
        <v>-1</v>
      </c>
    </row>
    <row r="79" spans="1:26" s="24" customFormat="1" hidden="1" outlineLevel="2" x14ac:dyDescent="0.25">
      <c r="A79" s="28"/>
      <c r="B79" s="11" t="str">
        <f>CONCATENATE("          ", "6399", " - ", "DONATION-ON CAMPUS")</f>
        <v xml:space="preserve">          6399 - DONATION-ON CAMPUS</v>
      </c>
      <c r="C79" s="11"/>
      <c r="D79" s="6"/>
      <c r="E79" s="2"/>
      <c r="F79" s="7">
        <f t="shared" si="33"/>
        <v>0</v>
      </c>
      <c r="G79" s="2"/>
      <c r="H79" s="6"/>
      <c r="I79" s="2"/>
      <c r="J79" s="7">
        <f t="shared" si="34"/>
        <v>0</v>
      </c>
      <c r="K79" s="2"/>
      <c r="L79" s="6">
        <f t="shared" si="35"/>
        <v>0</v>
      </c>
      <c r="M79" s="2"/>
      <c r="N79" s="7">
        <f t="shared" si="36"/>
        <v>0</v>
      </c>
      <c r="O79" s="11"/>
      <c r="P79" s="6"/>
      <c r="Q79" s="2"/>
      <c r="R79" s="7">
        <f t="shared" si="37"/>
        <v>0</v>
      </c>
      <c r="S79" s="2"/>
      <c r="T79" s="6">
        <v>100</v>
      </c>
      <c r="U79" s="2"/>
      <c r="V79" s="7">
        <f t="shared" si="38"/>
        <v>7.7144820809167366E-4</v>
      </c>
      <c r="W79" s="2"/>
      <c r="X79" s="6">
        <f t="shared" si="39"/>
        <v>-100</v>
      </c>
      <c r="Y79" s="2"/>
      <c r="Z79" s="7">
        <f t="shared" si="40"/>
        <v>-1</v>
      </c>
    </row>
    <row r="80" spans="1:26" s="29" customFormat="1" outlineLevel="1" collapsed="1" x14ac:dyDescent="0.25">
      <c r="A80" s="27"/>
      <c r="B80" s="14" t="str">
        <f>CONCATENATE("     ","Employees' Appreciation                           ")</f>
        <v xml:space="preserve">     Employees' Appreciation                           </v>
      </c>
      <c r="C80" s="14"/>
      <c r="D80" s="1">
        <f>SUM(OSRRefD22_7x_0)</f>
        <v>0</v>
      </c>
      <c r="E80" s="1"/>
      <c r="F80" s="5">
        <f t="shared" si="33"/>
        <v>0</v>
      </c>
      <c r="G80" s="1"/>
      <c r="H80" s="1">
        <f>SUM(OSRRefH22_7x_0)</f>
        <v>0</v>
      </c>
      <c r="I80" s="1"/>
      <c r="J80" s="5">
        <f t="shared" si="34"/>
        <v>0</v>
      </c>
      <c r="K80" s="1"/>
      <c r="L80" s="1">
        <f t="shared" si="35"/>
        <v>0</v>
      </c>
      <c r="M80" s="1"/>
      <c r="N80" s="5">
        <f t="shared" si="36"/>
        <v>0</v>
      </c>
      <c r="O80" s="14"/>
      <c r="P80" s="1">
        <f>SUM(OSRRefP22_7x_0)</f>
        <v>120.93</v>
      </c>
      <c r="Q80" s="1"/>
      <c r="R80" s="5">
        <f t="shared" si="37"/>
        <v>7.8761911982049102E-4</v>
      </c>
      <c r="S80" s="1"/>
      <c r="T80" s="1">
        <f>SUM(OSRRefT22_7x_0)</f>
        <v>75.53</v>
      </c>
      <c r="U80" s="1"/>
      <c r="V80" s="5">
        <f t="shared" si="38"/>
        <v>5.8267483157164112E-4</v>
      </c>
      <c r="W80" s="1"/>
      <c r="X80" s="1">
        <f t="shared" si="39"/>
        <v>45.400000000000006</v>
      </c>
      <c r="Y80" s="1"/>
      <c r="Z80" s="5">
        <f t="shared" si="40"/>
        <v>0.60108566132662522</v>
      </c>
    </row>
    <row r="81" spans="1:26" s="24" customFormat="1" hidden="1" outlineLevel="2" x14ac:dyDescent="0.25">
      <c r="A81" s="28"/>
      <c r="B81" s="11" t="str">
        <f>CONCATENATE("          ", "6277", " - ", "EMPLOYEE APPRECIATION")</f>
        <v xml:space="preserve">          6277 - EMPLOYEE APPRECIATION</v>
      </c>
      <c r="C81" s="11"/>
      <c r="D81" s="6"/>
      <c r="E81" s="2"/>
      <c r="F81" s="7">
        <f t="shared" si="33"/>
        <v>0</v>
      </c>
      <c r="G81" s="2"/>
      <c r="H81" s="6"/>
      <c r="I81" s="2"/>
      <c r="J81" s="7">
        <f t="shared" si="34"/>
        <v>0</v>
      </c>
      <c r="K81" s="2"/>
      <c r="L81" s="6">
        <f t="shared" si="35"/>
        <v>0</v>
      </c>
      <c r="M81" s="2"/>
      <c r="N81" s="7">
        <f t="shared" si="36"/>
        <v>0</v>
      </c>
      <c r="O81" s="11"/>
      <c r="P81" s="6">
        <v>120.93</v>
      </c>
      <c r="Q81" s="2"/>
      <c r="R81" s="7">
        <f t="shared" si="37"/>
        <v>7.8761911982049102E-4</v>
      </c>
      <c r="S81" s="2"/>
      <c r="T81" s="6">
        <v>75.53</v>
      </c>
      <c r="U81" s="2"/>
      <c r="V81" s="7">
        <f t="shared" si="38"/>
        <v>5.8267483157164112E-4</v>
      </c>
      <c r="W81" s="2"/>
      <c r="X81" s="6">
        <f t="shared" si="39"/>
        <v>45.400000000000006</v>
      </c>
      <c r="Y81" s="2"/>
      <c r="Z81" s="7">
        <f t="shared" si="40"/>
        <v>0.60108566132662522</v>
      </c>
    </row>
    <row r="82" spans="1:26" s="29" customFormat="1" outlineLevel="1" collapsed="1" x14ac:dyDescent="0.25">
      <c r="A82" s="27"/>
      <c r="B82" s="14" t="str">
        <f>CONCATENATE("     ","General                                           ")</f>
        <v xml:space="preserve">     General                                           </v>
      </c>
      <c r="C82" s="14"/>
      <c r="D82" s="1">
        <f>SUM(OSRRefD22_8x_0)</f>
        <v>0</v>
      </c>
      <c r="E82" s="1"/>
      <c r="F82" s="5">
        <f t="shared" si="33"/>
        <v>0</v>
      </c>
      <c r="G82" s="1"/>
      <c r="H82" s="1">
        <f>SUM(OSRRefH22_8x_0)</f>
        <v>120</v>
      </c>
      <c r="I82" s="1"/>
      <c r="J82" s="5">
        <f t="shared" si="34"/>
        <v>3.4603552862117527E-3</v>
      </c>
      <c r="K82" s="1"/>
      <c r="L82" s="1">
        <f t="shared" si="35"/>
        <v>-120</v>
      </c>
      <c r="M82" s="1"/>
      <c r="N82" s="5">
        <f t="shared" si="36"/>
        <v>-1</v>
      </c>
      <c r="O82" s="14"/>
      <c r="P82" s="1">
        <f>SUM(OSRRefP22_8x_0)</f>
        <v>0</v>
      </c>
      <c r="Q82" s="1"/>
      <c r="R82" s="5">
        <f t="shared" si="37"/>
        <v>0</v>
      </c>
      <c r="S82" s="1"/>
      <c r="T82" s="1">
        <f>SUM(OSRRefT22_8x_0)</f>
        <v>120</v>
      </c>
      <c r="U82" s="1"/>
      <c r="V82" s="5">
        <f t="shared" si="38"/>
        <v>9.2573784971000845E-4</v>
      </c>
      <c r="W82" s="1"/>
      <c r="X82" s="1">
        <f t="shared" si="39"/>
        <v>-120</v>
      </c>
      <c r="Y82" s="1"/>
      <c r="Z82" s="5">
        <f t="shared" si="40"/>
        <v>-1</v>
      </c>
    </row>
    <row r="83" spans="1:26" s="24" customFormat="1" hidden="1" outlineLevel="2" x14ac:dyDescent="0.25">
      <c r="A83" s="28"/>
      <c r="B83" s="11" t="str">
        <f>CONCATENATE("          ", "6279", " - ", "GENERAL EXPENSE")</f>
        <v xml:space="preserve">          6279 - GENERAL EXPENSE</v>
      </c>
      <c r="C83" s="11"/>
      <c r="D83" s="6"/>
      <c r="E83" s="2"/>
      <c r="F83" s="7">
        <f t="shared" si="33"/>
        <v>0</v>
      </c>
      <c r="G83" s="2"/>
      <c r="H83" s="6">
        <v>120</v>
      </c>
      <c r="I83" s="2"/>
      <c r="J83" s="7">
        <f t="shared" si="34"/>
        <v>3.4603552862117527E-3</v>
      </c>
      <c r="K83" s="2"/>
      <c r="L83" s="6">
        <f t="shared" si="35"/>
        <v>-120</v>
      </c>
      <c r="M83" s="2"/>
      <c r="N83" s="7">
        <f t="shared" si="36"/>
        <v>-1</v>
      </c>
      <c r="O83" s="11"/>
      <c r="P83" s="6"/>
      <c r="Q83" s="2"/>
      <c r="R83" s="7">
        <f t="shared" si="37"/>
        <v>0</v>
      </c>
      <c r="S83" s="2"/>
      <c r="T83" s="6">
        <v>120</v>
      </c>
      <c r="U83" s="2"/>
      <c r="V83" s="7">
        <f t="shared" si="38"/>
        <v>9.2573784971000845E-4</v>
      </c>
      <c r="W83" s="2"/>
      <c r="X83" s="6">
        <f t="shared" si="39"/>
        <v>-120</v>
      </c>
      <c r="Y83" s="2"/>
      <c r="Z83" s="7">
        <f t="shared" si="40"/>
        <v>-1</v>
      </c>
    </row>
    <row r="84" spans="1:26" s="29" customFormat="1" outlineLevel="1" collapsed="1" x14ac:dyDescent="0.25">
      <c r="A84" s="27"/>
      <c r="B84" s="14" t="str">
        <f>CONCATENATE("     ","Insurance                                         ")</f>
        <v xml:space="preserve">     Insurance                                         </v>
      </c>
      <c r="C84" s="14"/>
      <c r="D84" s="1">
        <f>SUM(OSRRefD22_9x_0)</f>
        <v>161.18</v>
      </c>
      <c r="E84" s="1"/>
      <c r="F84" s="5">
        <f t="shared" si="33"/>
        <v>4.9498352409351794E-3</v>
      </c>
      <c r="G84" s="1"/>
      <c r="H84" s="1">
        <f>SUM(OSRRefH22_9x_0)</f>
        <v>151.85</v>
      </c>
      <c r="I84" s="1"/>
      <c r="J84" s="5">
        <f t="shared" si="34"/>
        <v>4.3787912517604553E-3</v>
      </c>
      <c r="K84" s="1"/>
      <c r="L84" s="1">
        <f t="shared" si="35"/>
        <v>9.3300000000000125</v>
      </c>
      <c r="M84" s="1"/>
      <c r="N84" s="5">
        <f t="shared" si="36"/>
        <v>6.1442212709911181E-2</v>
      </c>
      <c r="O84" s="14"/>
      <c r="P84" s="1">
        <f>SUM(OSRRefP22_9x_0)</f>
        <v>483.54</v>
      </c>
      <c r="Q84" s="1"/>
      <c r="R84" s="5">
        <f t="shared" si="37"/>
        <v>3.1493041362606485E-3</v>
      </c>
      <c r="S84" s="1"/>
      <c r="T84" s="1">
        <f>SUM(OSRRefT22_9x_0)</f>
        <v>455.55</v>
      </c>
      <c r="U84" s="1"/>
      <c r="V84" s="5">
        <f t="shared" si="38"/>
        <v>3.5143323119616195E-3</v>
      </c>
      <c r="W84" s="1"/>
      <c r="X84" s="1">
        <f t="shared" si="39"/>
        <v>27.990000000000009</v>
      </c>
      <c r="Y84" s="1"/>
      <c r="Z84" s="5">
        <f t="shared" si="40"/>
        <v>6.1442212709911112E-2</v>
      </c>
    </row>
    <row r="85" spans="1:26" s="24" customFormat="1" hidden="1" outlineLevel="2" x14ac:dyDescent="0.25">
      <c r="A85" s="28"/>
      <c r="B85" s="11" t="str">
        <f>CONCATENATE("          ", "6314", " - ", "LIABILITY INSURANCE")</f>
        <v xml:space="preserve">          6314 - LIABILITY INSURANCE</v>
      </c>
      <c r="C85" s="11"/>
      <c r="D85" s="6">
        <v>161.18</v>
      </c>
      <c r="E85" s="2"/>
      <c r="F85" s="7">
        <f t="shared" si="33"/>
        <v>4.9498352409351794E-3</v>
      </c>
      <c r="G85" s="2"/>
      <c r="H85" s="6">
        <v>151.85</v>
      </c>
      <c r="I85" s="2"/>
      <c r="J85" s="7">
        <f t="shared" si="34"/>
        <v>4.3787912517604553E-3</v>
      </c>
      <c r="K85" s="2"/>
      <c r="L85" s="6">
        <f t="shared" si="35"/>
        <v>9.3300000000000125</v>
      </c>
      <c r="M85" s="2"/>
      <c r="N85" s="7">
        <f t="shared" si="36"/>
        <v>6.1442212709911181E-2</v>
      </c>
      <c r="O85" s="11"/>
      <c r="P85" s="6">
        <v>483.54</v>
      </c>
      <c r="Q85" s="2"/>
      <c r="R85" s="7">
        <f t="shared" si="37"/>
        <v>3.1493041362606485E-3</v>
      </c>
      <c r="S85" s="2"/>
      <c r="T85" s="6">
        <v>455.55</v>
      </c>
      <c r="U85" s="2"/>
      <c r="V85" s="7">
        <f t="shared" si="38"/>
        <v>3.5143323119616195E-3</v>
      </c>
      <c r="W85" s="2"/>
      <c r="X85" s="6">
        <f t="shared" si="39"/>
        <v>27.990000000000009</v>
      </c>
      <c r="Y85" s="2"/>
      <c r="Z85" s="7">
        <f t="shared" si="40"/>
        <v>6.1442212709911112E-2</v>
      </c>
    </row>
    <row r="86" spans="1:26" s="29" customFormat="1" outlineLevel="1" collapsed="1" x14ac:dyDescent="0.25">
      <c r="A86" s="27"/>
      <c r="B86" s="14" t="str">
        <f>CONCATENATE("     ","Inventory Adjustment                              ")</f>
        <v xml:space="preserve">     Inventory Adjustment                              </v>
      </c>
      <c r="C86" s="14"/>
      <c r="D86" s="1">
        <f>SUM(OSRRefD22_10x_0)</f>
        <v>300</v>
      </c>
      <c r="E86" s="1"/>
      <c r="F86" s="5">
        <f t="shared" si="33"/>
        <v>9.2129952368814605E-3</v>
      </c>
      <c r="G86" s="1"/>
      <c r="H86" s="1">
        <f>SUM(OSRRefH22_10x_0)</f>
        <v>300</v>
      </c>
      <c r="I86" s="1"/>
      <c r="J86" s="5">
        <f t="shared" si="34"/>
        <v>8.6508882155293815E-3</v>
      </c>
      <c r="K86" s="1"/>
      <c r="L86" s="1">
        <f t="shared" si="35"/>
        <v>0</v>
      </c>
      <c r="M86" s="1"/>
      <c r="N86" s="5">
        <f t="shared" si="36"/>
        <v>0</v>
      </c>
      <c r="O86" s="14"/>
      <c r="P86" s="1">
        <f>SUM(OSRRefP22_10x_0)</f>
        <v>900</v>
      </c>
      <c r="Q86" s="1"/>
      <c r="R86" s="5">
        <f t="shared" si="37"/>
        <v>5.8617151065777058E-3</v>
      </c>
      <c r="S86" s="1"/>
      <c r="T86" s="1">
        <f>SUM(OSRRefT22_10x_0)</f>
        <v>900</v>
      </c>
      <c r="U86" s="1"/>
      <c r="V86" s="5">
        <f t="shared" si="38"/>
        <v>6.9430338728250635E-3</v>
      </c>
      <c r="W86" s="1"/>
      <c r="X86" s="1">
        <f t="shared" si="39"/>
        <v>0</v>
      </c>
      <c r="Y86" s="1"/>
      <c r="Z86" s="5">
        <f t="shared" si="40"/>
        <v>0</v>
      </c>
    </row>
    <row r="87" spans="1:26" s="24" customFormat="1" hidden="1" outlineLevel="2" x14ac:dyDescent="0.25">
      <c r="A87" s="28"/>
      <c r="B87" s="11" t="str">
        <f>CONCATENATE("          ", "6408", " - ", "INVENTORY ADJUSTMENT")</f>
        <v xml:space="preserve">          6408 - INVENTORY ADJUSTMENT</v>
      </c>
      <c r="C87" s="11"/>
      <c r="D87" s="6">
        <v>300</v>
      </c>
      <c r="E87" s="2"/>
      <c r="F87" s="7">
        <f t="shared" si="33"/>
        <v>9.2129952368814605E-3</v>
      </c>
      <c r="G87" s="2"/>
      <c r="H87" s="6">
        <v>300</v>
      </c>
      <c r="I87" s="2"/>
      <c r="J87" s="7">
        <f t="shared" si="34"/>
        <v>8.6508882155293815E-3</v>
      </c>
      <c r="K87" s="2"/>
      <c r="L87" s="6">
        <f t="shared" si="35"/>
        <v>0</v>
      </c>
      <c r="M87" s="2"/>
      <c r="N87" s="7">
        <f t="shared" si="36"/>
        <v>0</v>
      </c>
      <c r="O87" s="11"/>
      <c r="P87" s="6">
        <v>900</v>
      </c>
      <c r="Q87" s="2"/>
      <c r="R87" s="7">
        <f t="shared" si="37"/>
        <v>5.8617151065777058E-3</v>
      </c>
      <c r="S87" s="2"/>
      <c r="T87" s="6">
        <v>900</v>
      </c>
      <c r="U87" s="2"/>
      <c r="V87" s="7">
        <f t="shared" si="38"/>
        <v>6.9430338728250635E-3</v>
      </c>
      <c r="W87" s="2"/>
      <c r="X87" s="6">
        <f t="shared" si="39"/>
        <v>0</v>
      </c>
      <c r="Y87" s="2"/>
      <c r="Z87" s="7">
        <f t="shared" si="40"/>
        <v>0</v>
      </c>
    </row>
    <row r="88" spans="1:26" s="29" customFormat="1" outlineLevel="1" collapsed="1" x14ac:dyDescent="0.25">
      <c r="A88" s="27"/>
      <c r="B88" s="14" t="str">
        <f>CONCATENATE("     ","Professional Services                             ")</f>
        <v xml:space="preserve">     Professional Services                             </v>
      </c>
      <c r="C88" s="14"/>
      <c r="D88" s="1">
        <f>SUM(OSRRefD22_11x_0)</f>
        <v>0</v>
      </c>
      <c r="E88" s="1"/>
      <c r="F88" s="5">
        <f t="shared" si="33"/>
        <v>0</v>
      </c>
      <c r="G88" s="1"/>
      <c r="H88" s="1">
        <f>SUM(OSRRefH22_11x_0)</f>
        <v>0</v>
      </c>
      <c r="I88" s="1"/>
      <c r="J88" s="5">
        <f t="shared" si="34"/>
        <v>0</v>
      </c>
      <c r="K88" s="1"/>
      <c r="L88" s="1">
        <f t="shared" si="35"/>
        <v>0</v>
      </c>
      <c r="M88" s="1"/>
      <c r="N88" s="5">
        <f t="shared" si="36"/>
        <v>0</v>
      </c>
      <c r="O88" s="14"/>
      <c r="P88" s="1">
        <f>SUM(OSRRefP22_11x_0)</f>
        <v>750</v>
      </c>
      <c r="Q88" s="1"/>
      <c r="R88" s="5">
        <f t="shared" si="37"/>
        <v>4.8847625888147547E-3</v>
      </c>
      <c r="S88" s="1"/>
      <c r="T88" s="1">
        <f>SUM(OSRRefT22_11x_0)</f>
        <v>750</v>
      </c>
      <c r="U88" s="1"/>
      <c r="V88" s="5">
        <f t="shared" si="38"/>
        <v>5.7858615606875526E-3</v>
      </c>
      <c r="W88" s="1"/>
      <c r="X88" s="1">
        <f t="shared" si="39"/>
        <v>0</v>
      </c>
      <c r="Y88" s="1"/>
      <c r="Z88" s="5">
        <f t="shared" si="40"/>
        <v>0</v>
      </c>
    </row>
    <row r="89" spans="1:26" s="24" customFormat="1" hidden="1" outlineLevel="2" x14ac:dyDescent="0.25">
      <c r="A89" s="28"/>
      <c r="B89" s="11" t="str">
        <f>CONCATENATE("          ", "6336", " - ", "PROFESSIONAL SERVICES")</f>
        <v xml:space="preserve">          6336 - PROFESSIONAL SERVICES</v>
      </c>
      <c r="C89" s="11"/>
      <c r="D89" s="6"/>
      <c r="E89" s="2"/>
      <c r="F89" s="7">
        <f t="shared" si="33"/>
        <v>0</v>
      </c>
      <c r="G89" s="2"/>
      <c r="H89" s="6"/>
      <c r="I89" s="2"/>
      <c r="J89" s="7">
        <f t="shared" si="34"/>
        <v>0</v>
      </c>
      <c r="K89" s="2"/>
      <c r="L89" s="6">
        <f t="shared" si="35"/>
        <v>0</v>
      </c>
      <c r="M89" s="2"/>
      <c r="N89" s="7">
        <f t="shared" si="36"/>
        <v>0</v>
      </c>
      <c r="O89" s="11"/>
      <c r="P89" s="6">
        <v>750</v>
      </c>
      <c r="Q89" s="2"/>
      <c r="R89" s="7">
        <f t="shared" si="37"/>
        <v>4.8847625888147547E-3</v>
      </c>
      <c r="S89" s="2"/>
      <c r="T89" s="6">
        <v>750</v>
      </c>
      <c r="U89" s="2"/>
      <c r="V89" s="7">
        <f t="shared" si="38"/>
        <v>5.7858615606875526E-3</v>
      </c>
      <c r="W89" s="2"/>
      <c r="X89" s="6">
        <f t="shared" si="39"/>
        <v>0</v>
      </c>
      <c r="Y89" s="2"/>
      <c r="Z89" s="7">
        <f t="shared" si="40"/>
        <v>0</v>
      </c>
    </row>
    <row r="90" spans="1:26" s="29" customFormat="1" outlineLevel="1" collapsed="1" x14ac:dyDescent="0.25">
      <c r="A90" s="27"/>
      <c r="B90" s="14" t="str">
        <f>CONCATENATE("     ","Rent                                              ")</f>
        <v xml:space="preserve">     Rent                                              </v>
      </c>
      <c r="C90" s="14"/>
      <c r="D90" s="1">
        <f>SUM(OSRRefD22_12x_0)</f>
        <v>6900</v>
      </c>
      <c r="E90" s="1"/>
      <c r="F90" s="5">
        <f t="shared" si="33"/>
        <v>0.21189889044827359</v>
      </c>
      <c r="G90" s="1"/>
      <c r="H90" s="1">
        <f>SUM(OSRRefH22_12x_0)</f>
        <v>6900</v>
      </c>
      <c r="I90" s="1"/>
      <c r="J90" s="5">
        <f t="shared" si="34"/>
        <v>0.19897042895717576</v>
      </c>
      <c r="K90" s="1"/>
      <c r="L90" s="1">
        <f t="shared" si="35"/>
        <v>0</v>
      </c>
      <c r="M90" s="1"/>
      <c r="N90" s="5">
        <f t="shared" si="36"/>
        <v>0</v>
      </c>
      <c r="O90" s="14"/>
      <c r="P90" s="1">
        <f>SUM(OSRRefP22_12x_0)</f>
        <v>20700</v>
      </c>
      <c r="Q90" s="1"/>
      <c r="R90" s="5">
        <f t="shared" si="37"/>
        <v>0.13481944745128724</v>
      </c>
      <c r="S90" s="1"/>
      <c r="T90" s="1">
        <f>SUM(OSRRefT22_12x_0)</f>
        <v>20700</v>
      </c>
      <c r="U90" s="1"/>
      <c r="V90" s="5">
        <f t="shared" si="38"/>
        <v>0.15968977907497645</v>
      </c>
      <c r="W90" s="1"/>
      <c r="X90" s="1">
        <f t="shared" si="39"/>
        <v>0</v>
      </c>
      <c r="Y90" s="1"/>
      <c r="Z90" s="5">
        <f t="shared" si="40"/>
        <v>0</v>
      </c>
    </row>
    <row r="91" spans="1:26" s="24" customFormat="1" hidden="1" outlineLevel="2" x14ac:dyDescent="0.25">
      <c r="A91" s="28"/>
      <c r="B91" s="11" t="str">
        <f>CONCATENATE("          ", "6273", " - ", "RENT")</f>
        <v xml:space="preserve">          6273 - RENT</v>
      </c>
      <c r="C91" s="11"/>
      <c r="D91" s="6">
        <v>6900</v>
      </c>
      <c r="E91" s="2"/>
      <c r="F91" s="7">
        <f t="shared" si="33"/>
        <v>0.21189889044827359</v>
      </c>
      <c r="G91" s="2"/>
      <c r="H91" s="6">
        <v>6900</v>
      </c>
      <c r="I91" s="2"/>
      <c r="J91" s="7">
        <f t="shared" si="34"/>
        <v>0.19897042895717576</v>
      </c>
      <c r="K91" s="2"/>
      <c r="L91" s="6">
        <f t="shared" si="35"/>
        <v>0</v>
      </c>
      <c r="M91" s="2"/>
      <c r="N91" s="7">
        <f t="shared" si="36"/>
        <v>0</v>
      </c>
      <c r="O91" s="11"/>
      <c r="P91" s="6">
        <v>20700</v>
      </c>
      <c r="Q91" s="2"/>
      <c r="R91" s="7">
        <f t="shared" si="37"/>
        <v>0.13481944745128724</v>
      </c>
      <c r="S91" s="2"/>
      <c r="T91" s="6">
        <v>20700</v>
      </c>
      <c r="U91" s="2"/>
      <c r="V91" s="7">
        <f t="shared" si="38"/>
        <v>0.15968977907497645</v>
      </c>
      <c r="W91" s="2"/>
      <c r="X91" s="6">
        <f t="shared" si="39"/>
        <v>0</v>
      </c>
      <c r="Y91" s="2"/>
      <c r="Z91" s="7">
        <f t="shared" si="40"/>
        <v>0</v>
      </c>
    </row>
    <row r="92" spans="1:26" s="29" customFormat="1" outlineLevel="1" collapsed="1" x14ac:dyDescent="0.25">
      <c r="A92" s="27"/>
      <c r="B92" s="14" t="str">
        <f>CONCATENATE("     ","Repair and Maintenance                            ")</f>
        <v xml:space="preserve">     Repair and Maintenance                            </v>
      </c>
      <c r="C92" s="14"/>
      <c r="D92" s="1">
        <f>SUM(OSRRefD22_13x_0)</f>
        <v>0</v>
      </c>
      <c r="E92" s="1"/>
      <c r="F92" s="5">
        <f t="shared" si="33"/>
        <v>0</v>
      </c>
      <c r="G92" s="1"/>
      <c r="H92" s="1">
        <f>SUM(OSRRefH22_13x_0)</f>
        <v>298.23</v>
      </c>
      <c r="I92" s="1"/>
      <c r="J92" s="5">
        <f t="shared" si="34"/>
        <v>8.5998479750577592E-3</v>
      </c>
      <c r="K92" s="1"/>
      <c r="L92" s="1">
        <f t="shared" si="35"/>
        <v>-298.23</v>
      </c>
      <c r="M92" s="1"/>
      <c r="N92" s="5">
        <f t="shared" si="36"/>
        <v>-1</v>
      </c>
      <c r="O92" s="14"/>
      <c r="P92" s="1">
        <f>SUM(OSRRefP22_13x_0)</f>
        <v>0</v>
      </c>
      <c r="Q92" s="1"/>
      <c r="R92" s="5">
        <f t="shared" si="37"/>
        <v>0</v>
      </c>
      <c r="S92" s="1"/>
      <c r="T92" s="1">
        <f>SUM(OSRRefT22_13x_0)</f>
        <v>461.35</v>
      </c>
      <c r="U92" s="1"/>
      <c r="V92" s="5">
        <f t="shared" si="38"/>
        <v>3.5590763080309367E-3</v>
      </c>
      <c r="W92" s="1"/>
      <c r="X92" s="1">
        <f t="shared" si="39"/>
        <v>-461.35</v>
      </c>
      <c r="Y92" s="1"/>
      <c r="Z92" s="5">
        <f t="shared" si="40"/>
        <v>-1</v>
      </c>
    </row>
    <row r="93" spans="1:26" s="24" customFormat="1" hidden="1" outlineLevel="2" x14ac:dyDescent="0.25">
      <c r="A93" s="28"/>
      <c r="B93" s="11" t="str">
        <f>CONCATENATE("          ", "6373", " - ", "MAINTENANCE CONTRACTS")</f>
        <v xml:space="preserve">          6373 - MAINTENANCE CONTRACTS</v>
      </c>
      <c r="C93" s="11"/>
      <c r="D93" s="6"/>
      <c r="E93" s="2"/>
      <c r="F93" s="7">
        <f t="shared" si="33"/>
        <v>0</v>
      </c>
      <c r="G93" s="2"/>
      <c r="H93" s="6">
        <v>44.98</v>
      </c>
      <c r="I93" s="2"/>
      <c r="J93" s="7">
        <f t="shared" si="34"/>
        <v>1.2970565064483717E-3</v>
      </c>
      <c r="K93" s="2"/>
      <c r="L93" s="6">
        <f t="shared" si="35"/>
        <v>-44.98</v>
      </c>
      <c r="M93" s="2"/>
      <c r="N93" s="7">
        <f t="shared" si="36"/>
        <v>-1</v>
      </c>
      <c r="O93" s="11"/>
      <c r="P93" s="6"/>
      <c r="Q93" s="2"/>
      <c r="R93" s="7">
        <f t="shared" si="37"/>
        <v>0</v>
      </c>
      <c r="S93" s="2"/>
      <c r="T93" s="6">
        <v>44.98</v>
      </c>
      <c r="U93" s="2"/>
      <c r="V93" s="7">
        <f t="shared" si="38"/>
        <v>3.4699740399963478E-4</v>
      </c>
      <c r="W93" s="2"/>
      <c r="X93" s="6">
        <f t="shared" si="39"/>
        <v>-44.98</v>
      </c>
      <c r="Y93" s="2"/>
      <c r="Z93" s="7">
        <f t="shared" si="40"/>
        <v>-1</v>
      </c>
    </row>
    <row r="94" spans="1:26" s="24" customFormat="1" hidden="1" outlineLevel="2" x14ac:dyDescent="0.25">
      <c r="A94" s="28"/>
      <c r="B94" s="11" t="str">
        <f>CONCATENATE("          ", "6375", " - ", "OUTSIDE REPAIRS &amp; MAINTENANCE")</f>
        <v xml:space="preserve">          6375 - OUTSIDE REPAIRS &amp; MAINTENANCE</v>
      </c>
      <c r="C94" s="11"/>
      <c r="D94" s="6"/>
      <c r="E94" s="2"/>
      <c r="F94" s="7">
        <f t="shared" si="33"/>
        <v>0</v>
      </c>
      <c r="G94" s="2"/>
      <c r="H94" s="6">
        <v>253.25</v>
      </c>
      <c r="I94" s="2"/>
      <c r="J94" s="7">
        <f t="shared" si="34"/>
        <v>7.302791468609386E-3</v>
      </c>
      <c r="K94" s="2"/>
      <c r="L94" s="6">
        <f t="shared" si="35"/>
        <v>-253.25</v>
      </c>
      <c r="M94" s="2"/>
      <c r="N94" s="7">
        <f t="shared" si="36"/>
        <v>-1</v>
      </c>
      <c r="O94" s="11"/>
      <c r="P94" s="6"/>
      <c r="Q94" s="2"/>
      <c r="R94" s="7">
        <f t="shared" si="37"/>
        <v>0</v>
      </c>
      <c r="S94" s="2"/>
      <c r="T94" s="6">
        <v>416.37</v>
      </c>
      <c r="U94" s="2"/>
      <c r="V94" s="7">
        <f t="shared" si="38"/>
        <v>3.2120789040313018E-3</v>
      </c>
      <c r="W94" s="2"/>
      <c r="X94" s="6">
        <f t="shared" si="39"/>
        <v>-416.37</v>
      </c>
      <c r="Y94" s="2"/>
      <c r="Z94" s="7">
        <f t="shared" si="40"/>
        <v>-1</v>
      </c>
    </row>
    <row r="95" spans="1:26" s="29" customFormat="1" outlineLevel="1" collapsed="1" x14ac:dyDescent="0.25">
      <c r="A95" s="27"/>
      <c r="B95" s="14" t="str">
        <f>CONCATENATE("     ","Services                                          ")</f>
        <v xml:space="preserve">     Services                                          </v>
      </c>
      <c r="C95" s="14"/>
      <c r="D95" s="1">
        <f>SUM(OSRRefD22_14x_0)</f>
        <v>241.37</v>
      </c>
      <c r="E95" s="1"/>
      <c r="F95" s="5">
        <f t="shared" ref="F95:F98" si="41">IF(D$12=0,0,D95/D$12)</f>
        <v>7.412468867753594E-3</v>
      </c>
      <c r="G95" s="1"/>
      <c r="H95" s="1">
        <f>SUM(OSRRefH22_14x_0)</f>
        <v>316.73</v>
      </c>
      <c r="I95" s="1"/>
      <c r="J95" s="5">
        <f t="shared" ref="J95:J98" si="42">IF(H$12=0,0,H95/H$12)</f>
        <v>9.1333194150154031E-3</v>
      </c>
      <c r="K95" s="1"/>
      <c r="L95" s="1">
        <f t="shared" ref="L95:L98" si="43">+D95-H95</f>
        <v>-75.360000000000014</v>
      </c>
      <c r="M95" s="1"/>
      <c r="N95" s="5">
        <f t="shared" ref="N95:N98" si="44">IF(H95=0,0,L95/H95)</f>
        <v>-0.23793136109620183</v>
      </c>
      <c r="O95" s="14"/>
      <c r="P95" s="1">
        <f>SUM(OSRRefP22_14x_0)</f>
        <v>724.11</v>
      </c>
      <c r="Q95" s="1"/>
      <c r="R95" s="5">
        <f t="shared" ref="R95:R98" si="45">IF(P$12=0,0,P95/P$12)</f>
        <v>4.7161405842488695E-3</v>
      </c>
      <c r="S95" s="1"/>
      <c r="T95" s="1">
        <f>SUM(OSRRefT22_14x_0)</f>
        <v>663.02</v>
      </c>
      <c r="U95" s="1"/>
      <c r="V95" s="5">
        <f t="shared" ref="V95:V98" si="46">IF(T$12=0,0,T95/T$12)</f>
        <v>5.1148559092894152E-3</v>
      </c>
      <c r="W95" s="1"/>
      <c r="X95" s="1">
        <f t="shared" ref="X95:X98" si="47">+P95-T95</f>
        <v>61.090000000000032</v>
      </c>
      <c r="Y95" s="1"/>
      <c r="Z95" s="5">
        <f t="shared" ref="Z95:Z98" si="48">IF(T95=0,0,X95/T95)</f>
        <v>9.2139000331815074E-2</v>
      </c>
    </row>
    <row r="96" spans="1:26" s="24" customFormat="1" hidden="1" outlineLevel="2" x14ac:dyDescent="0.25">
      <c r="A96" s="28"/>
      <c r="B96" s="11" t="str">
        <f>CONCATENATE("          ", "6283", " - ", "PLANT SERVICE")</f>
        <v xml:space="preserve">          6283 - PLANT SERVICE</v>
      </c>
      <c r="C96" s="11"/>
      <c r="D96" s="6">
        <v>59.55</v>
      </c>
      <c r="E96" s="2"/>
      <c r="F96" s="7">
        <f t="shared" si="41"/>
        <v>1.8287795545209697E-3</v>
      </c>
      <c r="G96" s="2"/>
      <c r="H96" s="6">
        <v>56</v>
      </c>
      <c r="I96" s="2"/>
      <c r="J96" s="7">
        <f t="shared" si="42"/>
        <v>1.6148324668988179E-3</v>
      </c>
      <c r="K96" s="2"/>
      <c r="L96" s="6">
        <f t="shared" si="43"/>
        <v>3.5499999999999972</v>
      </c>
      <c r="M96" s="2"/>
      <c r="N96" s="7">
        <f t="shared" si="44"/>
        <v>6.3392857142857098E-2</v>
      </c>
      <c r="O96" s="11"/>
      <c r="P96" s="6">
        <v>178.65</v>
      </c>
      <c r="Q96" s="2"/>
      <c r="R96" s="7">
        <f t="shared" si="45"/>
        <v>1.1635504486556746E-3</v>
      </c>
      <c r="S96" s="2"/>
      <c r="T96" s="6">
        <v>168</v>
      </c>
      <c r="U96" s="2"/>
      <c r="V96" s="7">
        <f t="shared" si="46"/>
        <v>1.2960329895940119E-3</v>
      </c>
      <c r="W96" s="2"/>
      <c r="X96" s="6">
        <f t="shared" si="47"/>
        <v>10.650000000000006</v>
      </c>
      <c r="Y96" s="2"/>
      <c r="Z96" s="7">
        <f t="shared" si="48"/>
        <v>6.3392857142857181E-2</v>
      </c>
    </row>
    <row r="97" spans="1:26" s="24" customFormat="1" hidden="1" outlineLevel="2" x14ac:dyDescent="0.25">
      <c r="A97" s="28"/>
      <c r="B97" s="11" t="str">
        <f>CONCATENATE("          ", "6284", " - ", "TRASH REMOVAL EXPENSE")</f>
        <v xml:space="preserve">          6284 - TRASH REMOVAL EXPENSE</v>
      </c>
      <c r="C97" s="11"/>
      <c r="D97" s="6">
        <v>134.82</v>
      </c>
      <c r="E97" s="2"/>
      <c r="F97" s="7">
        <f t="shared" si="41"/>
        <v>4.1403200594545284E-3</v>
      </c>
      <c r="G97" s="2"/>
      <c r="H97" s="6">
        <v>121.46</v>
      </c>
      <c r="I97" s="2"/>
      <c r="J97" s="7">
        <f t="shared" si="42"/>
        <v>3.5024562755273285E-3</v>
      </c>
      <c r="K97" s="2"/>
      <c r="L97" s="6">
        <f t="shared" si="43"/>
        <v>13.36</v>
      </c>
      <c r="M97" s="2"/>
      <c r="N97" s="7">
        <f t="shared" si="44"/>
        <v>0.10999506010209123</v>
      </c>
      <c r="O97" s="11"/>
      <c r="P97" s="6">
        <v>404.46</v>
      </c>
      <c r="Q97" s="2"/>
      <c r="R97" s="7">
        <f t="shared" si="45"/>
        <v>2.6342547688960206E-3</v>
      </c>
      <c r="S97" s="2"/>
      <c r="T97" s="6">
        <v>364.38</v>
      </c>
      <c r="U97" s="2"/>
      <c r="V97" s="7">
        <f t="shared" si="46"/>
        <v>2.8110029806444406E-3</v>
      </c>
      <c r="W97" s="2"/>
      <c r="X97" s="6">
        <f t="shared" si="47"/>
        <v>40.079999999999984</v>
      </c>
      <c r="Y97" s="2"/>
      <c r="Z97" s="7">
        <f t="shared" si="48"/>
        <v>0.10999506010209117</v>
      </c>
    </row>
    <row r="98" spans="1:26" s="24" customFormat="1" hidden="1" outlineLevel="2" x14ac:dyDescent="0.25">
      <c r="A98" s="28"/>
      <c r="B98" s="11" t="str">
        <f>CONCATENATE("          ", "6285", " - ", "JANITORIAL SERVICES")</f>
        <v xml:space="preserve">          6285 - JANITORIAL SERVICES</v>
      </c>
      <c r="C98" s="11"/>
      <c r="D98" s="6">
        <v>47</v>
      </c>
      <c r="E98" s="2"/>
      <c r="F98" s="7">
        <f t="shared" si="41"/>
        <v>1.4433692537780954E-3</v>
      </c>
      <c r="G98" s="2"/>
      <c r="H98" s="6">
        <v>139.27000000000001</v>
      </c>
      <c r="I98" s="2"/>
      <c r="J98" s="7">
        <f t="shared" si="42"/>
        <v>4.0160306725892572E-3</v>
      </c>
      <c r="K98" s="2"/>
      <c r="L98" s="6">
        <f t="shared" si="43"/>
        <v>-92.27000000000001</v>
      </c>
      <c r="M98" s="2"/>
      <c r="N98" s="7">
        <f t="shared" si="44"/>
        <v>-0.66252602857758314</v>
      </c>
      <c r="O98" s="11"/>
      <c r="P98" s="6">
        <v>141</v>
      </c>
      <c r="Q98" s="2"/>
      <c r="R98" s="7">
        <f t="shared" si="45"/>
        <v>9.1833536669717387E-4</v>
      </c>
      <c r="S98" s="2"/>
      <c r="T98" s="6">
        <v>130.63999999999999</v>
      </c>
      <c r="U98" s="2"/>
      <c r="V98" s="7">
        <f t="shared" si="46"/>
        <v>1.0078199390509625E-3</v>
      </c>
      <c r="W98" s="2"/>
      <c r="X98" s="6">
        <f t="shared" si="47"/>
        <v>10.360000000000014</v>
      </c>
      <c r="Y98" s="2"/>
      <c r="Z98" s="7">
        <f t="shared" si="48"/>
        <v>7.9301898346601465E-2</v>
      </c>
    </row>
    <row r="99" spans="1:26" s="29" customFormat="1" outlineLevel="1" collapsed="1" x14ac:dyDescent="0.25">
      <c r="A99" s="27"/>
      <c r="B99" s="14" t="str">
        <f>CONCATENATE("     ","Subscriptions &amp; Dues                              ")</f>
        <v xml:space="preserve">     Subscriptions &amp; Dues                              </v>
      </c>
      <c r="C99" s="14"/>
      <c r="D99" s="1">
        <f>SUM(OSRRefD22_15x_0)</f>
        <v>0</v>
      </c>
      <c r="E99" s="1"/>
      <c r="F99" s="5">
        <f t="shared" ref="F99:F105" si="49">IF(D$12=0,0,D99/D$12)</f>
        <v>0</v>
      </c>
      <c r="G99" s="1"/>
      <c r="H99" s="1">
        <f>SUM(OSRRefH22_15x_0)</f>
        <v>129.97999999999999</v>
      </c>
      <c r="I99" s="1"/>
      <c r="J99" s="5">
        <f t="shared" ref="J99:J105" si="50">IF(H$12=0,0,H99/H$12)</f>
        <v>3.7481415008483632E-3</v>
      </c>
      <c r="K99" s="1"/>
      <c r="L99" s="1">
        <f t="shared" ref="L99:L105" si="51">+D99-H99</f>
        <v>-129.97999999999999</v>
      </c>
      <c r="M99" s="1"/>
      <c r="N99" s="5">
        <f t="shared" ref="N99:N105" si="52">IF(H99=0,0,L99/H99)</f>
        <v>-1</v>
      </c>
      <c r="O99" s="14"/>
      <c r="P99" s="1">
        <f>SUM(OSRRefP22_15x_0)</f>
        <v>13.42</v>
      </c>
      <c r="Q99" s="1"/>
      <c r="R99" s="5">
        <f t="shared" ref="R99:R105" si="53">IF(P$12=0,0,P99/P$12)</f>
        <v>8.7404685255858668E-5</v>
      </c>
      <c r="S99" s="1"/>
      <c r="T99" s="1">
        <f>SUM(OSRRefT22_15x_0)</f>
        <v>464.94</v>
      </c>
      <c r="U99" s="1"/>
      <c r="V99" s="5">
        <f t="shared" ref="V99:V105" si="54">IF(T$12=0,0,T99/T$12)</f>
        <v>3.5867712987014276E-3</v>
      </c>
      <c r="W99" s="1"/>
      <c r="X99" s="1">
        <f t="shared" ref="X99:X105" si="55">+P99-T99</f>
        <v>-451.52</v>
      </c>
      <c r="Y99" s="1"/>
      <c r="Z99" s="5">
        <f t="shared" ref="Z99:Z105" si="56">IF(T99=0,0,X99/T99)</f>
        <v>-0.9711360605669549</v>
      </c>
    </row>
    <row r="100" spans="1:26" s="24" customFormat="1" hidden="1" outlineLevel="2" x14ac:dyDescent="0.25">
      <c r="A100" s="28"/>
      <c r="B100" s="11" t="str">
        <f>CONCATENATE("          ", "6275", " - ", "SUBSCRIPTIONS")</f>
        <v xml:space="preserve">          6275 - SUBSCRIPTIONS</v>
      </c>
      <c r="C100" s="11"/>
      <c r="D100" s="6"/>
      <c r="E100" s="2"/>
      <c r="F100" s="7">
        <f t="shared" si="49"/>
        <v>0</v>
      </c>
      <c r="G100" s="2"/>
      <c r="H100" s="6">
        <v>129.97999999999999</v>
      </c>
      <c r="I100" s="2"/>
      <c r="J100" s="7">
        <f t="shared" si="50"/>
        <v>3.7481415008483632E-3</v>
      </c>
      <c r="K100" s="2"/>
      <c r="L100" s="6">
        <f t="shared" si="51"/>
        <v>-129.97999999999999</v>
      </c>
      <c r="M100" s="2"/>
      <c r="N100" s="7">
        <f t="shared" si="52"/>
        <v>-1</v>
      </c>
      <c r="O100" s="11"/>
      <c r="P100" s="6">
        <v>13.42</v>
      </c>
      <c r="Q100" s="2"/>
      <c r="R100" s="7">
        <f t="shared" si="53"/>
        <v>8.7404685255858668E-5</v>
      </c>
      <c r="S100" s="2"/>
      <c r="T100" s="6">
        <v>464.94</v>
      </c>
      <c r="U100" s="2"/>
      <c r="V100" s="7">
        <f t="shared" si="54"/>
        <v>3.5867712987014276E-3</v>
      </c>
      <c r="W100" s="2"/>
      <c r="X100" s="6">
        <f t="shared" si="55"/>
        <v>-451.52</v>
      </c>
      <c r="Y100" s="2"/>
      <c r="Z100" s="7">
        <f t="shared" si="56"/>
        <v>-0.9711360605669549</v>
      </c>
    </row>
    <row r="101" spans="1:26" s="29" customFormat="1" outlineLevel="1" collapsed="1" x14ac:dyDescent="0.25">
      <c r="A101" s="27"/>
      <c r="B101" s="14" t="str">
        <f>CONCATENATE("     ","Supplies                                          ")</f>
        <v xml:space="preserve">     Supplies                                          </v>
      </c>
      <c r="C101" s="14"/>
      <c r="D101" s="1">
        <f>SUM(OSRRefD22_16x_0)</f>
        <v>576.04</v>
      </c>
      <c r="E101" s="1"/>
      <c r="F101" s="5">
        <f t="shared" si="49"/>
        <v>1.7690179254177318E-2</v>
      </c>
      <c r="G101" s="1"/>
      <c r="H101" s="1">
        <f>SUM(OSRRefH22_16x_0)</f>
        <v>21.13</v>
      </c>
      <c r="I101" s="1"/>
      <c r="J101" s="5">
        <f t="shared" si="50"/>
        <v>6.0931089331378607E-4</v>
      </c>
      <c r="K101" s="1"/>
      <c r="L101" s="1">
        <f t="shared" si="51"/>
        <v>554.91</v>
      </c>
      <c r="M101" s="1"/>
      <c r="N101" s="5">
        <f t="shared" si="52"/>
        <v>26.26171320397539</v>
      </c>
      <c r="O101" s="14"/>
      <c r="P101" s="1">
        <f>SUM(OSRRefP22_16x_0)</f>
        <v>1287.8900000000001</v>
      </c>
      <c r="Q101" s="1"/>
      <c r="R101" s="5">
        <f t="shared" si="53"/>
        <v>8.3880491873448461E-3</v>
      </c>
      <c r="S101" s="1"/>
      <c r="T101" s="1">
        <f>SUM(OSRRefT22_16x_0)</f>
        <v>1690.85</v>
      </c>
      <c r="U101" s="1"/>
      <c r="V101" s="5">
        <f t="shared" si="54"/>
        <v>1.3044032026518064E-2</v>
      </c>
      <c r="W101" s="1"/>
      <c r="X101" s="1">
        <f t="shared" si="55"/>
        <v>-402.95999999999981</v>
      </c>
      <c r="Y101" s="1"/>
      <c r="Z101" s="5">
        <f t="shared" si="56"/>
        <v>-0.23831800573675951</v>
      </c>
    </row>
    <row r="102" spans="1:26" s="24" customFormat="1" hidden="1" outlineLevel="2" x14ac:dyDescent="0.25">
      <c r="A102" s="28"/>
      <c r="B102" s="11" t="str">
        <f>CONCATENATE("          ", "6237", " - ", "JANITORIAL SUPPLIES")</f>
        <v xml:space="preserve">          6237 - JANITORIAL SUPPLIES</v>
      </c>
      <c r="C102" s="11"/>
      <c r="D102" s="6">
        <v>204.66</v>
      </c>
      <c r="E102" s="2"/>
      <c r="F102" s="7">
        <f t="shared" si="49"/>
        <v>6.2851053506005321E-3</v>
      </c>
      <c r="G102" s="2"/>
      <c r="H102" s="6"/>
      <c r="I102" s="2"/>
      <c r="J102" s="7">
        <f t="shared" si="50"/>
        <v>0</v>
      </c>
      <c r="K102" s="2"/>
      <c r="L102" s="6">
        <f t="shared" si="51"/>
        <v>204.66</v>
      </c>
      <c r="M102" s="2"/>
      <c r="N102" s="7">
        <f t="shared" si="52"/>
        <v>0</v>
      </c>
      <c r="O102" s="11"/>
      <c r="P102" s="6">
        <v>204.66</v>
      </c>
      <c r="Q102" s="2"/>
      <c r="R102" s="7">
        <f t="shared" si="53"/>
        <v>1.3329540152357702E-3</v>
      </c>
      <c r="S102" s="2"/>
      <c r="T102" s="6">
        <v>172.74</v>
      </c>
      <c r="U102" s="2"/>
      <c r="V102" s="7">
        <f t="shared" si="54"/>
        <v>1.3325996346575573E-3</v>
      </c>
      <c r="W102" s="2"/>
      <c r="X102" s="6">
        <f t="shared" si="55"/>
        <v>31.919999999999987</v>
      </c>
      <c r="Y102" s="2"/>
      <c r="Z102" s="7">
        <f t="shared" si="56"/>
        <v>0.18478638416116699</v>
      </c>
    </row>
    <row r="103" spans="1:26" s="24" customFormat="1" hidden="1" outlineLevel="2" x14ac:dyDescent="0.25">
      <c r="A103" s="28"/>
      <c r="B103" s="11" t="str">
        <f>CONCATENATE("          ", "6241", " - ", "OFFICE EXPENSE")</f>
        <v xml:space="preserve">          6241 - OFFICE EXPENSE</v>
      </c>
      <c r="C103" s="11"/>
      <c r="D103" s="6">
        <v>371.38</v>
      </c>
      <c r="E103" s="2"/>
      <c r="F103" s="7">
        <f t="shared" si="49"/>
        <v>1.140507390357679E-2</v>
      </c>
      <c r="G103" s="2"/>
      <c r="H103" s="6">
        <v>21.13</v>
      </c>
      <c r="I103" s="2"/>
      <c r="J103" s="7">
        <f t="shared" si="50"/>
        <v>6.0931089331378607E-4</v>
      </c>
      <c r="K103" s="2"/>
      <c r="L103" s="6">
        <f t="shared" si="51"/>
        <v>350.25</v>
      </c>
      <c r="M103" s="2"/>
      <c r="N103" s="7">
        <f t="shared" si="52"/>
        <v>16.575958353052531</v>
      </c>
      <c r="O103" s="11"/>
      <c r="P103" s="6">
        <v>1083.23</v>
      </c>
      <c r="Q103" s="2"/>
      <c r="R103" s="7">
        <f t="shared" si="53"/>
        <v>7.0550951721090752E-3</v>
      </c>
      <c r="S103" s="2"/>
      <c r="T103" s="6">
        <v>692.86</v>
      </c>
      <c r="U103" s="2"/>
      <c r="V103" s="7">
        <f t="shared" si="54"/>
        <v>5.3450560545839701E-3</v>
      </c>
      <c r="W103" s="2"/>
      <c r="X103" s="6">
        <f t="shared" si="55"/>
        <v>390.37</v>
      </c>
      <c r="Y103" s="2"/>
      <c r="Z103" s="7">
        <f t="shared" si="56"/>
        <v>0.56341829518228792</v>
      </c>
    </row>
    <row r="104" spans="1:26" s="24" customFormat="1" hidden="1" outlineLevel="2" x14ac:dyDescent="0.25">
      <c r="A104" s="28"/>
      <c r="B104" s="11" t="str">
        <f>CONCATENATE("          ", "6245", " - ", "PRINTING")</f>
        <v xml:space="preserve">          6245 - PRINTING</v>
      </c>
      <c r="C104" s="11"/>
      <c r="D104" s="6"/>
      <c r="E104" s="2"/>
      <c r="F104" s="7">
        <f t="shared" si="49"/>
        <v>0</v>
      </c>
      <c r="G104" s="2"/>
      <c r="H104" s="6"/>
      <c r="I104" s="2"/>
      <c r="J104" s="7">
        <f t="shared" si="50"/>
        <v>0</v>
      </c>
      <c r="K104" s="2"/>
      <c r="L104" s="6">
        <f t="shared" si="51"/>
        <v>0</v>
      </c>
      <c r="M104" s="2"/>
      <c r="N104" s="7">
        <f t="shared" si="52"/>
        <v>0</v>
      </c>
      <c r="O104" s="11"/>
      <c r="P104" s="6"/>
      <c r="Q104" s="2"/>
      <c r="R104" s="7">
        <f t="shared" si="53"/>
        <v>0</v>
      </c>
      <c r="S104" s="2"/>
      <c r="T104" s="6">
        <v>750.25</v>
      </c>
      <c r="U104" s="2"/>
      <c r="V104" s="7">
        <f t="shared" si="54"/>
        <v>5.7877901812077815E-3</v>
      </c>
      <c r="W104" s="2"/>
      <c r="X104" s="6">
        <f t="shared" si="55"/>
        <v>-750.25</v>
      </c>
      <c r="Y104" s="2"/>
      <c r="Z104" s="7">
        <f t="shared" si="56"/>
        <v>-1</v>
      </c>
    </row>
    <row r="105" spans="1:26" s="24" customFormat="1" hidden="1" outlineLevel="2" x14ac:dyDescent="0.25">
      <c r="A105" s="28"/>
      <c r="B105" s="11" t="str">
        <f>CONCATENATE("          ", "6247", " - ", "STORE SUPPLIES")</f>
        <v xml:space="preserve">          6247 - STORE SUPPLIES</v>
      </c>
      <c r="C105" s="11"/>
      <c r="D105" s="6"/>
      <c r="E105" s="2"/>
      <c r="F105" s="7">
        <f t="shared" si="49"/>
        <v>0</v>
      </c>
      <c r="G105" s="2"/>
      <c r="H105" s="6"/>
      <c r="I105" s="2"/>
      <c r="J105" s="7">
        <f t="shared" si="50"/>
        <v>0</v>
      </c>
      <c r="K105" s="2"/>
      <c r="L105" s="6">
        <f t="shared" si="51"/>
        <v>0</v>
      </c>
      <c r="M105" s="2"/>
      <c r="N105" s="7">
        <f t="shared" si="52"/>
        <v>0</v>
      </c>
      <c r="O105" s="11"/>
      <c r="P105" s="6"/>
      <c r="Q105" s="2"/>
      <c r="R105" s="7">
        <f t="shared" si="53"/>
        <v>0</v>
      </c>
      <c r="S105" s="2"/>
      <c r="T105" s="6">
        <v>75</v>
      </c>
      <c r="U105" s="2"/>
      <c r="V105" s="7">
        <f t="shared" si="54"/>
        <v>5.7858615606875532E-4</v>
      </c>
      <c r="W105" s="2"/>
      <c r="X105" s="6">
        <f t="shared" si="55"/>
        <v>-75</v>
      </c>
      <c r="Y105" s="2"/>
      <c r="Z105" s="7">
        <f t="shared" si="56"/>
        <v>-1</v>
      </c>
    </row>
    <row r="106" spans="1:26" s="29" customFormat="1" outlineLevel="1" collapsed="1" x14ac:dyDescent="0.25">
      <c r="A106" s="27"/>
      <c r="B106" s="14" t="str">
        <f>CONCATENATE("     ","Telephone/Data Lines                              ")</f>
        <v xml:space="preserve">     Telephone/Data Lines                              </v>
      </c>
      <c r="C106" s="14"/>
      <c r="D106" s="1">
        <f>SUM(OSRRefD22_17x_0)</f>
        <v>1725.97</v>
      </c>
      <c r="E106" s="1"/>
      <c r="F106" s="5">
        <f t="shared" ref="F106:F111" si="57">IF(D$12=0,0,D106/D$12)</f>
        <v>5.3004511296667646E-2</v>
      </c>
      <c r="G106" s="1"/>
      <c r="H106" s="1">
        <f>SUM(OSRRefH22_17x_0)</f>
        <v>1268.79</v>
      </c>
      <c r="I106" s="1"/>
      <c r="J106" s="5">
        <f t="shared" ref="J106:J111" si="58">IF(H$12=0,0,H106/H$12)</f>
        <v>3.6587201529938412E-2</v>
      </c>
      <c r="K106" s="1"/>
      <c r="L106" s="1">
        <f t="shared" ref="L106:L111" si="59">+D106-H106</f>
        <v>457.18000000000006</v>
      </c>
      <c r="M106" s="1"/>
      <c r="N106" s="5">
        <f t="shared" ref="N106:N111" si="60">IF(H106=0,0,L106/H106)</f>
        <v>0.36032755617556889</v>
      </c>
      <c r="O106" s="14"/>
      <c r="P106" s="1">
        <f>SUM(OSRRefP22_17x_0)</f>
        <v>1976.9</v>
      </c>
      <c r="Q106" s="1"/>
      <c r="R106" s="5">
        <f t="shared" ref="R106:R111" si="61">IF(P$12=0,0,P106/P$12)</f>
        <v>1.2875582882437184E-2</v>
      </c>
      <c r="S106" s="1"/>
      <c r="T106" s="1">
        <f>SUM(OSRRefT22_17x_0)</f>
        <v>1962.46</v>
      </c>
      <c r="U106" s="1"/>
      <c r="V106" s="5">
        <f t="shared" ref="V106:V111" si="62">IF(T$12=0,0,T106/T$12)</f>
        <v>1.513936250451586E-2</v>
      </c>
      <c r="W106" s="1"/>
      <c r="X106" s="1">
        <f t="shared" ref="X106:X111" si="63">+P106-T106</f>
        <v>14.440000000000055</v>
      </c>
      <c r="Y106" s="1"/>
      <c r="Z106" s="5">
        <f t="shared" ref="Z106:Z111" si="64">IF(T106=0,0,X106/T106)</f>
        <v>7.3581117576919045E-3</v>
      </c>
    </row>
    <row r="107" spans="1:26" s="24" customFormat="1" hidden="1" outlineLevel="2" x14ac:dyDescent="0.25">
      <c r="A107" s="28"/>
      <c r="B107" s="11" t="str">
        <f>CONCATENATE("          ", "6309", " - ", "TELEPHONE")</f>
        <v xml:space="preserve">          6309 - TELEPHONE</v>
      </c>
      <c r="C107" s="11"/>
      <c r="D107" s="6">
        <v>1725.97</v>
      </c>
      <c r="E107" s="2"/>
      <c r="F107" s="7">
        <f t="shared" si="57"/>
        <v>5.3004511296667646E-2</v>
      </c>
      <c r="G107" s="2"/>
      <c r="H107" s="6">
        <v>1268.79</v>
      </c>
      <c r="I107" s="2"/>
      <c r="J107" s="7">
        <f t="shared" si="58"/>
        <v>3.6587201529938412E-2</v>
      </c>
      <c r="K107" s="2"/>
      <c r="L107" s="6">
        <f t="shared" si="59"/>
        <v>457.18000000000006</v>
      </c>
      <c r="M107" s="2"/>
      <c r="N107" s="7">
        <f t="shared" si="60"/>
        <v>0.36032755617556889</v>
      </c>
      <c r="O107" s="11"/>
      <c r="P107" s="6">
        <v>1976.9</v>
      </c>
      <c r="Q107" s="2"/>
      <c r="R107" s="7">
        <f t="shared" si="61"/>
        <v>1.2875582882437184E-2</v>
      </c>
      <c r="S107" s="2"/>
      <c r="T107" s="6">
        <v>1962.46</v>
      </c>
      <c r="U107" s="2"/>
      <c r="V107" s="7">
        <f t="shared" si="62"/>
        <v>1.513936250451586E-2</v>
      </c>
      <c r="W107" s="2"/>
      <c r="X107" s="6">
        <f t="shared" si="63"/>
        <v>14.440000000000055</v>
      </c>
      <c r="Y107" s="2"/>
      <c r="Z107" s="7">
        <f t="shared" si="64"/>
        <v>7.3581117576919045E-3</v>
      </c>
    </row>
    <row r="108" spans="1:26" s="29" customFormat="1" outlineLevel="1" collapsed="1" x14ac:dyDescent="0.25">
      <c r="A108" s="27"/>
      <c r="B108" s="14" t="str">
        <f>CONCATENATE("     ","Travel                                            ")</f>
        <v xml:space="preserve">     Travel                                            </v>
      </c>
      <c r="C108" s="14"/>
      <c r="D108" s="1">
        <f>SUM(OSRRefD22_18x_0)</f>
        <v>33.43</v>
      </c>
      <c r="E108" s="1"/>
      <c r="F108" s="5">
        <f t="shared" si="57"/>
        <v>1.0266347692298239E-3</v>
      </c>
      <c r="G108" s="1"/>
      <c r="H108" s="1">
        <f>SUM(OSRRefH22_18x_0)</f>
        <v>55.81</v>
      </c>
      <c r="I108" s="1"/>
      <c r="J108" s="5">
        <f t="shared" si="58"/>
        <v>1.6093535710289826E-3</v>
      </c>
      <c r="K108" s="1"/>
      <c r="L108" s="1">
        <f t="shared" si="59"/>
        <v>-22.380000000000003</v>
      </c>
      <c r="M108" s="1"/>
      <c r="N108" s="5">
        <f t="shared" si="60"/>
        <v>-0.40100340440781224</v>
      </c>
      <c r="O108" s="14"/>
      <c r="P108" s="1">
        <f>SUM(OSRRefP22_18x_0)</f>
        <v>102.1</v>
      </c>
      <c r="Q108" s="1"/>
      <c r="R108" s="5">
        <f t="shared" si="61"/>
        <v>6.6497901375731517E-4</v>
      </c>
      <c r="S108" s="1"/>
      <c r="T108" s="1">
        <f>SUM(OSRRefT22_18x_0)</f>
        <v>216.42</v>
      </c>
      <c r="U108" s="1"/>
      <c r="V108" s="5">
        <f t="shared" si="62"/>
        <v>1.6695682119520002E-3</v>
      </c>
      <c r="W108" s="1"/>
      <c r="X108" s="1">
        <f t="shared" si="63"/>
        <v>-114.32</v>
      </c>
      <c r="Y108" s="1"/>
      <c r="Z108" s="5">
        <f t="shared" si="64"/>
        <v>-0.52823214120691253</v>
      </c>
    </row>
    <row r="109" spans="1:26" s="24" customFormat="1" hidden="1" outlineLevel="2" x14ac:dyDescent="0.25">
      <c r="A109" s="28"/>
      <c r="B109" s="11" t="str">
        <f>CONCATENATE("          ", "6294", " - ", "TRAVEL OPERATIONAL")</f>
        <v xml:space="preserve">          6294 - TRAVEL OPERATIONAL</v>
      </c>
      <c r="C109" s="11"/>
      <c r="D109" s="6">
        <v>33.43</v>
      </c>
      <c r="E109" s="2"/>
      <c r="F109" s="7">
        <f t="shared" si="57"/>
        <v>1.0266347692298239E-3</v>
      </c>
      <c r="G109" s="2"/>
      <c r="H109" s="6">
        <v>55.81</v>
      </c>
      <c r="I109" s="2"/>
      <c r="J109" s="7">
        <f t="shared" si="58"/>
        <v>1.6093535710289826E-3</v>
      </c>
      <c r="K109" s="2"/>
      <c r="L109" s="6">
        <f t="shared" si="59"/>
        <v>-22.380000000000003</v>
      </c>
      <c r="M109" s="2"/>
      <c r="N109" s="7">
        <f t="shared" si="60"/>
        <v>-0.40100340440781224</v>
      </c>
      <c r="O109" s="11"/>
      <c r="P109" s="6">
        <v>102.1</v>
      </c>
      <c r="Q109" s="2"/>
      <c r="R109" s="7">
        <f t="shared" si="61"/>
        <v>6.6497901375731517E-4</v>
      </c>
      <c r="S109" s="2"/>
      <c r="T109" s="6">
        <v>216.42</v>
      </c>
      <c r="U109" s="2"/>
      <c r="V109" s="7">
        <f t="shared" si="62"/>
        <v>1.6695682119520002E-3</v>
      </c>
      <c r="W109" s="2"/>
      <c r="X109" s="6">
        <f t="shared" si="63"/>
        <v>-114.32</v>
      </c>
      <c r="Y109" s="2"/>
      <c r="Z109" s="7">
        <f t="shared" si="64"/>
        <v>-0.52823214120691253</v>
      </c>
    </row>
    <row r="110" spans="1:26" s="29" customFormat="1" outlineLevel="1" collapsed="1" x14ac:dyDescent="0.25">
      <c r="A110" s="27"/>
      <c r="B110" s="14" t="str">
        <f>CONCATENATE("     ","Utilities                                         ")</f>
        <v xml:space="preserve">     Utilities                                         </v>
      </c>
      <c r="C110" s="14"/>
      <c r="D110" s="1">
        <f>SUM(OSRRefD22_19x_0)</f>
        <v>55.02</v>
      </c>
      <c r="E110" s="1"/>
      <c r="F110" s="5">
        <f t="shared" si="57"/>
        <v>1.6896633264440598E-3</v>
      </c>
      <c r="G110" s="1"/>
      <c r="H110" s="1">
        <f>SUM(OSRRefH22_19x_0)</f>
        <v>62.19</v>
      </c>
      <c r="I110" s="1"/>
      <c r="J110" s="5">
        <f t="shared" si="58"/>
        <v>1.7933291270792408E-3</v>
      </c>
      <c r="K110" s="1"/>
      <c r="L110" s="1">
        <f t="shared" si="59"/>
        <v>-7.1699999999999946</v>
      </c>
      <c r="M110" s="1"/>
      <c r="N110" s="5">
        <f t="shared" si="60"/>
        <v>-0.11529184756391694</v>
      </c>
      <c r="O110" s="14"/>
      <c r="P110" s="1">
        <f>SUM(OSRRefP22_19x_0)</f>
        <v>151.80000000000001</v>
      </c>
      <c r="Q110" s="1"/>
      <c r="R110" s="5">
        <f t="shared" si="61"/>
        <v>9.8867594797610631E-4</v>
      </c>
      <c r="S110" s="1"/>
      <c r="T110" s="1">
        <f>SUM(OSRRefT22_19x_0)</f>
        <v>203.55</v>
      </c>
      <c r="U110" s="1"/>
      <c r="V110" s="5">
        <f t="shared" si="62"/>
        <v>1.570282827570602E-3</v>
      </c>
      <c r="W110" s="1"/>
      <c r="X110" s="1">
        <f t="shared" si="63"/>
        <v>-51.75</v>
      </c>
      <c r="Y110" s="1"/>
      <c r="Z110" s="5">
        <f t="shared" si="64"/>
        <v>-0.25423728813559321</v>
      </c>
    </row>
    <row r="111" spans="1:26" s="24" customFormat="1" hidden="1" outlineLevel="2" x14ac:dyDescent="0.25">
      <c r="A111" s="28"/>
      <c r="B111" s="11" t="str">
        <f>CONCATENATE("          ", "6274", " - ", "UTILITIES")</f>
        <v xml:space="preserve">          6274 - UTILITIES</v>
      </c>
      <c r="C111" s="11"/>
      <c r="D111" s="6">
        <v>55.02</v>
      </c>
      <c r="E111" s="2"/>
      <c r="F111" s="7">
        <f t="shared" si="57"/>
        <v>1.6896633264440598E-3</v>
      </c>
      <c r="G111" s="2"/>
      <c r="H111" s="6">
        <v>62.19</v>
      </c>
      <c r="I111" s="2"/>
      <c r="J111" s="7">
        <f t="shared" si="58"/>
        <v>1.7933291270792408E-3</v>
      </c>
      <c r="K111" s="2"/>
      <c r="L111" s="6">
        <f t="shared" si="59"/>
        <v>-7.1699999999999946</v>
      </c>
      <c r="M111" s="2"/>
      <c r="N111" s="7">
        <f t="shared" si="60"/>
        <v>-0.11529184756391694</v>
      </c>
      <c r="O111" s="11"/>
      <c r="P111" s="6">
        <v>151.80000000000001</v>
      </c>
      <c r="Q111" s="2"/>
      <c r="R111" s="7">
        <f t="shared" si="61"/>
        <v>9.8867594797610631E-4</v>
      </c>
      <c r="S111" s="2"/>
      <c r="T111" s="6">
        <v>203.55</v>
      </c>
      <c r="U111" s="2"/>
      <c r="V111" s="7">
        <f t="shared" si="62"/>
        <v>1.570282827570602E-3</v>
      </c>
      <c r="W111" s="2"/>
      <c r="X111" s="6">
        <f t="shared" si="63"/>
        <v>-51.75</v>
      </c>
      <c r="Y111" s="2"/>
      <c r="Z111" s="7">
        <f t="shared" si="64"/>
        <v>-0.25423728813559321</v>
      </c>
    </row>
    <row r="112" spans="1:26" s="53" customFormat="1" x14ac:dyDescent="0.25">
      <c r="A112" s="37"/>
      <c r="B112" s="37"/>
      <c r="C112" s="37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7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x14ac:dyDescent="0.25">
      <c r="A113" s="10"/>
      <c r="B113" s="25" t="s">
        <v>0</v>
      </c>
      <c r="C113" s="10"/>
      <c r="D113" s="4">
        <f>SUM(0)</f>
        <v>0</v>
      </c>
      <c r="E113" s="4"/>
      <c r="F113" s="12">
        <f>IF(D$12=0,0,D113/D$12)</f>
        <v>0</v>
      </c>
      <c r="G113" s="4"/>
      <c r="H113" s="4">
        <f>SUM(0)</f>
        <v>0</v>
      </c>
      <c r="I113" s="4"/>
      <c r="J113" s="12">
        <f>IF(H$12=0,0,H113/H$12)</f>
        <v>0</v>
      </c>
      <c r="K113" s="4"/>
      <c r="L113" s="4">
        <f>+D113-H113</f>
        <v>0</v>
      </c>
      <c r="M113" s="4"/>
      <c r="N113" s="12">
        <f>IF(H113=0,0,L113/H113)</f>
        <v>0</v>
      </c>
      <c r="O113" s="10"/>
      <c r="P113" s="4">
        <f>SUM(0)</f>
        <v>0</v>
      </c>
      <c r="Q113" s="4"/>
      <c r="R113" s="12">
        <f>IF(P$12=0,0,P113/P$12)</f>
        <v>0</v>
      </c>
      <c r="S113" s="4"/>
      <c r="T113" s="4">
        <f>SUM(0)</f>
        <v>0</v>
      </c>
      <c r="U113" s="4"/>
      <c r="V113" s="12">
        <f>IF(T$12=0,0,T113/T$12)</f>
        <v>0</v>
      </c>
      <c r="W113" s="4"/>
      <c r="X113" s="4">
        <f>+P113-T113</f>
        <v>0</v>
      </c>
      <c r="Y113" s="4"/>
      <c r="Z113" s="12">
        <f>IF(T113=0,0,X113/T113)</f>
        <v>0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10"/>
      <c r="B115" s="26" t="s">
        <v>3</v>
      </c>
      <c r="C115" s="26"/>
      <c r="D115" s="21">
        <f>+D53-D55+D113</f>
        <v>-6062.989999999998</v>
      </c>
      <c r="E115" s="13"/>
      <c r="F115" s="20">
        <f>IF(D$12=0,0,D115/D$12)</f>
        <v>-0.18619432663753302</v>
      </c>
      <c r="G115" s="13"/>
      <c r="H115" s="21">
        <f>+H53-H55+H113</f>
        <v>-3764.5299999999988</v>
      </c>
      <c r="I115" s="13"/>
      <c r="J115" s="20">
        <f>IF(H$12=0,0,H115/H$12)</f>
        <v>-0.10855509404668938</v>
      </c>
      <c r="K115" s="15"/>
      <c r="L115" s="21">
        <f>+D115-H115</f>
        <v>-2298.4599999999991</v>
      </c>
      <c r="M115" s="15"/>
      <c r="N115" s="20">
        <f>IF(H115=0,0,L115/H115)</f>
        <v>0.61055696195806641</v>
      </c>
      <c r="O115" s="25"/>
      <c r="P115" s="21">
        <f>+P53-P55+P113</f>
        <v>-1015.9300000000221</v>
      </c>
      <c r="Q115" s="13"/>
      <c r="R115" s="20">
        <f>IF(P$12=0,0,P115/P$12)</f>
        <v>-6.6167691424729091E-3</v>
      </c>
      <c r="S115" s="13"/>
      <c r="T115" s="21">
        <f>+T53-T55+T113</f>
        <v>-9636.1999999999971</v>
      </c>
      <c r="U115" s="13"/>
      <c r="V115" s="20">
        <f>IF(T$12=0,0,T115/T$12)</f>
        <v>-7.4338292228129835E-2</v>
      </c>
      <c r="W115" s="15"/>
      <c r="X115" s="21">
        <f>+P115-T115</f>
        <v>8620.269999999975</v>
      </c>
      <c r="Y115" s="15"/>
      <c r="Z115" s="20">
        <f>IF(T115=0,0,X115/T115)</f>
        <v>-0.89457151159170389</v>
      </c>
    </row>
    <row r="116" spans="1:26" x14ac:dyDescent="0.2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51"/>
      <c r="B117" s="10" t="s">
        <v>13</v>
      </c>
      <c r="C117" s="10"/>
      <c r="D117" s="4">
        <v>1408.59</v>
      </c>
      <c r="E117" s="4"/>
      <c r="F117" s="12">
        <f>IF(D$12=0,0,D117/D$12)</f>
        <v>4.3257776535729521E-2</v>
      </c>
      <c r="G117" s="4"/>
      <c r="H117" s="4">
        <v>1823.2</v>
      </c>
      <c r="I117" s="4"/>
      <c r="J117" s="12">
        <f>IF(H$12=0,0,H117/H$12)</f>
        <v>5.2574331315177227E-2</v>
      </c>
      <c r="K117" s="4"/>
      <c r="L117" s="4">
        <f>+D117-H117</f>
        <v>-414.61000000000013</v>
      </c>
      <c r="M117" s="4"/>
      <c r="N117" s="12">
        <f>IF(H117=0,0,L117/H117)</f>
        <v>-0.22740785432207114</v>
      </c>
      <c r="O117" s="10"/>
      <c r="P117" s="4">
        <v>16492.09</v>
      </c>
      <c r="Q117" s="4"/>
      <c r="R117" s="12">
        <f>IF(P$12=0,0,P117/P$12)</f>
        <v>0.10741325899115457</v>
      </c>
      <c r="S117" s="4"/>
      <c r="T117" s="4">
        <v>11516.92</v>
      </c>
      <c r="U117" s="4"/>
      <c r="V117" s="12">
        <f>IF(T$12=0,0,T117/T$12)</f>
        <v>8.8847072967351587E-2</v>
      </c>
      <c r="W117" s="4"/>
      <c r="X117" s="4">
        <f>+P117-T117</f>
        <v>4975.17</v>
      </c>
      <c r="Y117" s="4"/>
      <c r="Z117" s="12">
        <f>IF(T117=0,0,X117/T117)</f>
        <v>0.43198789259628445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6" t="s">
        <v>4</v>
      </c>
      <c r="C119" s="26"/>
      <c r="D119" s="35">
        <f>+D115-D117</f>
        <v>-7471.5799999999981</v>
      </c>
      <c r="E119" s="13"/>
      <c r="F119" s="30">
        <f>IF(D$12=0,0,D119/D$12)</f>
        <v>-0.22945210317326253</v>
      </c>
      <c r="G119" s="13"/>
      <c r="H119" s="35">
        <f>+H115-H117</f>
        <v>-5587.7299999999987</v>
      </c>
      <c r="I119" s="13"/>
      <c r="J119" s="30">
        <f>IF(H$12=0,0,H119/H$12)</f>
        <v>-0.16112942536186659</v>
      </c>
      <c r="K119" s="15"/>
      <c r="L119" s="35">
        <f>D119-H119</f>
        <v>-1883.8499999999995</v>
      </c>
      <c r="M119" s="15"/>
      <c r="N119" s="30">
        <f>IF(H119=0,0,L119/H119)</f>
        <v>0.33714048459750201</v>
      </c>
      <c r="O119" s="25"/>
      <c r="P119" s="35">
        <f>+P115-P117</f>
        <v>-17508.020000000022</v>
      </c>
      <c r="Q119" s="13"/>
      <c r="R119" s="30">
        <f>IF(P$12=0,0,P119/P$12)</f>
        <v>-0.11403002813362748</v>
      </c>
      <c r="S119" s="13"/>
      <c r="T119" s="35">
        <f>+T115-T117</f>
        <v>-21153.119999999995</v>
      </c>
      <c r="U119" s="13"/>
      <c r="V119" s="30">
        <f>IF(T$12=0,0,T119/T$12)</f>
        <v>-0.16318536519548141</v>
      </c>
      <c r="W119" s="15"/>
      <c r="X119" s="35">
        <f>P119-T119</f>
        <v>3645.0999999999731</v>
      </c>
      <c r="Y119" s="15"/>
      <c r="Z119" s="30">
        <f>IF(T119=0,0,X119/T119)</f>
        <v>-0.17231973344830331</v>
      </c>
    </row>
    <row r="120" spans="1:26" ht="15.75" thickTop="1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6" t="s">
        <v>5</v>
      </c>
      <c r="C122" s="26"/>
      <c r="D122" s="36">
        <f>SUM(D119:D121)</f>
        <v>-7471.5799999999981</v>
      </c>
      <c r="E122" s="13"/>
      <c r="F122" s="31">
        <f>IF(D$12=0,0,D122/D$12)</f>
        <v>-0.22945210317326253</v>
      </c>
      <c r="G122" s="13"/>
      <c r="H122" s="36">
        <f>SUM(H119:H121)</f>
        <v>-5587.7299999999987</v>
      </c>
      <c r="I122" s="13"/>
      <c r="J122" s="31">
        <f>IF(H$12=0,0,H122/H$12)</f>
        <v>-0.16112942536186659</v>
      </c>
      <c r="K122" s="15"/>
      <c r="L122" s="36">
        <f>+D122-H122</f>
        <v>-1883.8499999999995</v>
      </c>
      <c r="M122" s="15"/>
      <c r="N122" s="31">
        <f>IF(H122=0,0,L122/H122)</f>
        <v>0.33714048459750201</v>
      </c>
      <c r="O122" s="25"/>
      <c r="P122" s="36">
        <f>SUM(P119:P121)</f>
        <v>-17508.020000000022</v>
      </c>
      <c r="Q122" s="13"/>
      <c r="R122" s="31">
        <f>IF(P$12=0,0,P122/P$12)</f>
        <v>-0.11403002813362748</v>
      </c>
      <c r="S122" s="13"/>
      <c r="T122" s="36">
        <f>SUM(T119:T121)</f>
        <v>-21153.119999999995</v>
      </c>
      <c r="U122" s="13"/>
      <c r="V122" s="31">
        <f>IF(T$12=0,0,T122/T$12)</f>
        <v>-0.16318536519548141</v>
      </c>
      <c r="W122" s="15"/>
      <c r="X122" s="36">
        <f>+P122-T122</f>
        <v>3645.0999999999731</v>
      </c>
      <c r="Y122" s="15"/>
      <c r="Z122" s="31">
        <f>IF(T122=0,0,X122/T122)</f>
        <v>-0.17231973344830331</v>
      </c>
    </row>
    <row r="123" spans="1:26" ht="15.75" thickTop="1" x14ac:dyDescent="0.25">
      <c r="A123" s="9"/>
      <c r="C123" s="9"/>
      <c r="D123" s="18"/>
      <c r="E123" s="18"/>
      <c r="G123" s="18"/>
      <c r="H123" s="18"/>
      <c r="I123" s="18"/>
      <c r="J123" s="42"/>
      <c r="K123" s="18"/>
      <c r="L123" s="18"/>
      <c r="M123" s="18"/>
      <c r="P123" s="18"/>
      <c r="Q123" s="18"/>
      <c r="R123" s="42"/>
      <c r="S123" s="18"/>
      <c r="T123" s="18"/>
      <c r="U123" s="18"/>
      <c r="V123" s="42"/>
      <c r="W123" s="18"/>
      <c r="X123" s="18"/>
    </row>
    <row r="124" spans="1:26" x14ac:dyDescent="0.25">
      <c r="A124" s="9"/>
      <c r="B124" s="55">
        <v>43756.463209374997</v>
      </c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A125" s="9"/>
      <c r="B125" s="56" t="s">
        <v>313</v>
      </c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A126" s="9"/>
      <c r="B126" s="57"/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303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65688.590000000011</v>
      </c>
      <c r="E12" s="4"/>
      <c r="F12" s="12"/>
      <c r="G12" s="4"/>
      <c r="H12" s="4">
        <f>SUM(OSRRefH13x_0)</f>
        <v>68710.290000000008</v>
      </c>
      <c r="I12" s="4"/>
      <c r="J12" s="12"/>
      <c r="K12" s="4"/>
      <c r="L12" s="4">
        <f t="shared" ref="L12:L28" si="0">+D12-H12</f>
        <v>-3021.6999999999971</v>
      </c>
      <c r="M12" s="4"/>
      <c r="N12" s="12">
        <f t="shared" ref="N12:N28" si="1">IF(H12=0,0,L12/H12)</f>
        <v>-4.397740134701799E-2</v>
      </c>
      <c r="O12" s="10"/>
      <c r="P12" s="4">
        <f>SUM(OSRRefP13x_0)</f>
        <v>171964.24</v>
      </c>
      <c r="Q12" s="4"/>
      <c r="R12" s="12"/>
      <c r="S12" s="4"/>
      <c r="T12" s="4">
        <f>SUM(OSRRefT13x_0)</f>
        <v>181597.27000000002</v>
      </c>
      <c r="U12" s="4"/>
      <c r="V12" s="12"/>
      <c r="W12" s="4"/>
      <c r="X12" s="4">
        <f t="shared" ref="X12:X28" si="2">+P12-T12</f>
        <v>-9633.0300000000279</v>
      </c>
      <c r="Y12" s="4"/>
      <c r="Z12" s="12">
        <f t="shared" ref="Z12:Z28" si="3">IF(T12=0,0,X12/T12)</f>
        <v>-5.3046116827637484E-2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--20926.4</f>
        <v>20926.400000000001</v>
      </c>
      <c r="E13" s="2"/>
      <c r="F13" s="19"/>
      <c r="G13" s="2"/>
      <c r="H13" s="2">
        <f>--25369.05</f>
        <v>25369.05</v>
      </c>
      <c r="I13" s="2"/>
      <c r="J13" s="19"/>
      <c r="K13" s="2"/>
      <c r="L13" s="2">
        <f t="shared" si="0"/>
        <v>-4442.6499999999978</v>
      </c>
      <c r="M13" s="2"/>
      <c r="N13" s="19">
        <f t="shared" si="1"/>
        <v>-0.17512086577936492</v>
      </c>
      <c r="O13" s="11"/>
      <c r="P13" s="2">
        <f>--95294.2</f>
        <v>95294.2</v>
      </c>
      <c r="Q13" s="2"/>
      <c r="R13" s="19"/>
      <c r="S13" s="2"/>
      <c r="T13" s="2">
        <f>--105413</f>
        <v>105413</v>
      </c>
      <c r="U13" s="2"/>
      <c r="V13" s="19"/>
      <c r="W13" s="2"/>
      <c r="X13" s="2">
        <f t="shared" si="2"/>
        <v>-10118.800000000003</v>
      </c>
      <c r="Y13" s="2"/>
      <c r="Z13" s="19">
        <f t="shared" si="3"/>
        <v>-9.5991955451414937E-2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--7680.9</f>
        <v>7680.9</v>
      </c>
      <c r="E14" s="2"/>
      <c r="F14" s="19"/>
      <c r="G14" s="2"/>
      <c r="H14" s="2">
        <f>--6406.86</f>
        <v>6406.86</v>
      </c>
      <c r="I14" s="2"/>
      <c r="J14" s="19"/>
      <c r="K14" s="2"/>
      <c r="L14" s="2">
        <f t="shared" si="0"/>
        <v>1274.04</v>
      </c>
      <c r="M14" s="2"/>
      <c r="N14" s="19">
        <f t="shared" si="1"/>
        <v>0.1988556016519793</v>
      </c>
      <c r="O14" s="11"/>
      <c r="P14" s="2">
        <f>--19757.89</f>
        <v>19757.89</v>
      </c>
      <c r="Q14" s="2"/>
      <c r="R14" s="19"/>
      <c r="S14" s="2"/>
      <c r="T14" s="2">
        <f>--19018.91</f>
        <v>19018.91</v>
      </c>
      <c r="U14" s="2"/>
      <c r="V14" s="19"/>
      <c r="W14" s="2"/>
      <c r="X14" s="2">
        <f t="shared" si="2"/>
        <v>738.97999999999956</v>
      </c>
      <c r="Y14" s="2"/>
      <c r="Z14" s="19">
        <f t="shared" si="3"/>
        <v>3.8855013247341703E-2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>--18.47</f>
        <v>18.47</v>
      </c>
      <c r="E15" s="2"/>
      <c r="F15" s="19"/>
      <c r="G15" s="2"/>
      <c r="H15" s="2">
        <f>--147.2</f>
        <v>147.19999999999999</v>
      </c>
      <c r="I15" s="2"/>
      <c r="J15" s="19"/>
      <c r="K15" s="2"/>
      <c r="L15" s="2">
        <f t="shared" si="0"/>
        <v>-128.72999999999999</v>
      </c>
      <c r="M15" s="2"/>
      <c r="N15" s="19">
        <f t="shared" si="1"/>
        <v>-0.87452445652173916</v>
      </c>
      <c r="O15" s="11"/>
      <c r="P15" s="2">
        <f>--95.73</f>
        <v>95.73</v>
      </c>
      <c r="Q15" s="2"/>
      <c r="R15" s="19"/>
      <c r="S15" s="2"/>
      <c r="T15" s="2">
        <f>--353.77</f>
        <v>353.77</v>
      </c>
      <c r="U15" s="2"/>
      <c r="V15" s="19"/>
      <c r="W15" s="2"/>
      <c r="X15" s="2">
        <f t="shared" si="2"/>
        <v>-258.03999999999996</v>
      </c>
      <c r="Y15" s="2"/>
      <c r="Z15" s="19">
        <f t="shared" si="3"/>
        <v>-0.72940045792464026</v>
      </c>
    </row>
    <row r="16" spans="1:26" s="24" customFormat="1" hidden="1" outlineLevel="1" x14ac:dyDescent="0.25">
      <c r="A16" s="44"/>
      <c r="B16" s="11" t="str">
        <f>CONCATENATE("          ", "4047", " - ", "TAXABLE SALES-MISC")</f>
        <v xml:space="preserve">          4047 - TAXABLE SALES-MISC</v>
      </c>
      <c r="C16" s="11"/>
      <c r="D16" s="2">
        <f>--488.97</f>
        <v>488.97</v>
      </c>
      <c r="E16" s="2"/>
      <c r="F16" s="19"/>
      <c r="G16" s="2"/>
      <c r="H16" s="2">
        <f>--300.22</f>
        <v>300.22000000000003</v>
      </c>
      <c r="I16" s="2"/>
      <c r="J16" s="19"/>
      <c r="K16" s="2"/>
      <c r="L16" s="2">
        <f t="shared" si="0"/>
        <v>188.75</v>
      </c>
      <c r="M16" s="2"/>
      <c r="N16" s="19">
        <f t="shared" si="1"/>
        <v>0.62870561588168672</v>
      </c>
      <c r="O16" s="11"/>
      <c r="P16" s="2">
        <f>--971.35</f>
        <v>971.35</v>
      </c>
      <c r="Q16" s="2"/>
      <c r="R16" s="19"/>
      <c r="S16" s="2"/>
      <c r="T16" s="2">
        <f>--649.51</f>
        <v>649.51</v>
      </c>
      <c r="U16" s="2"/>
      <c r="V16" s="19"/>
      <c r="W16" s="2"/>
      <c r="X16" s="2">
        <f t="shared" si="2"/>
        <v>321.84000000000003</v>
      </c>
      <c r="Y16" s="2"/>
      <c r="Z16" s="19">
        <f t="shared" si="3"/>
        <v>0.49551200135486756</v>
      </c>
    </row>
    <row r="17" spans="1:26" s="24" customFormat="1" hidden="1" outlineLevel="1" x14ac:dyDescent="0.25">
      <c r="A17" s="44"/>
      <c r="B17" s="11" t="str">
        <f>CONCATENATE("          ", "4092", " - ", "TAXABLE SALES-GRAD MERCH")</f>
        <v xml:space="preserve">          4092 - TAXABLE SALES-GRAD MERCH</v>
      </c>
      <c r="C17" s="11"/>
      <c r="D17" s="2">
        <f>--49.9</f>
        <v>49.9</v>
      </c>
      <c r="E17" s="2"/>
      <c r="F17" s="19"/>
      <c r="G17" s="2"/>
      <c r="H17" s="2">
        <f>--49.9</f>
        <v>49.9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--3912.58</f>
        <v>3912.58</v>
      </c>
      <c r="Q17" s="2"/>
      <c r="R17" s="19"/>
      <c r="S17" s="2"/>
      <c r="T17" s="2">
        <f>--4066.3</f>
        <v>4066.3</v>
      </c>
      <c r="U17" s="2"/>
      <c r="V17" s="19"/>
      <c r="W17" s="2"/>
      <c r="X17" s="2">
        <f t="shared" si="2"/>
        <v>-153.72000000000025</v>
      </c>
      <c r="Y17" s="2"/>
      <c r="Z17" s="19">
        <f t="shared" si="3"/>
        <v>-3.780340850404551E-2</v>
      </c>
    </row>
    <row r="18" spans="1:26" s="24" customFormat="1" hidden="1" outlineLevel="1" x14ac:dyDescent="0.25">
      <c r="A18" s="44"/>
      <c r="B18" s="11" t="str">
        <f>CONCATENATE("          ", "4095", " - ", "TAXABLE SALES-CUSTOMER SERVICE")</f>
        <v xml:space="preserve">          4095 - TAXABLE SALES-CUSTOMER SERVICE</v>
      </c>
      <c r="C18" s="11"/>
      <c r="D18" s="2">
        <f>--19.9</f>
        <v>19.899999999999999</v>
      </c>
      <c r="E18" s="2"/>
      <c r="F18" s="19"/>
      <c r="G18" s="2"/>
      <c r="H18" s="2">
        <f>--106.96</f>
        <v>106.96</v>
      </c>
      <c r="I18" s="2"/>
      <c r="J18" s="19"/>
      <c r="K18" s="2"/>
      <c r="L18" s="2">
        <f t="shared" si="0"/>
        <v>-87.06</v>
      </c>
      <c r="M18" s="2"/>
      <c r="N18" s="19">
        <f t="shared" si="1"/>
        <v>-0.81394913986537032</v>
      </c>
      <c r="O18" s="11"/>
      <c r="P18" s="2">
        <f>--177.09</f>
        <v>177.09</v>
      </c>
      <c r="Q18" s="2"/>
      <c r="R18" s="19"/>
      <c r="S18" s="2"/>
      <c r="T18" s="2">
        <f>--609.88</f>
        <v>609.88</v>
      </c>
      <c r="U18" s="2"/>
      <c r="V18" s="19"/>
      <c r="W18" s="2"/>
      <c r="X18" s="2">
        <f t="shared" si="2"/>
        <v>-432.78999999999996</v>
      </c>
      <c r="Y18" s="2"/>
      <c r="Z18" s="19">
        <f t="shared" si="3"/>
        <v>-0.7096314028989309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>-24.65</f>
        <v>-24.65</v>
      </c>
      <c r="E19" s="2"/>
      <c r="F19" s="19"/>
      <c r="G19" s="2"/>
      <c r="H19" s="2">
        <f>--403.2</f>
        <v>403.2</v>
      </c>
      <c r="I19" s="2"/>
      <c r="J19" s="19"/>
      <c r="K19" s="2"/>
      <c r="L19" s="2">
        <f t="shared" si="0"/>
        <v>-427.84999999999997</v>
      </c>
      <c r="M19" s="2"/>
      <c r="N19" s="19">
        <f t="shared" si="1"/>
        <v>-1.0611359126984126</v>
      </c>
      <c r="O19" s="11"/>
      <c r="P19" s="2">
        <f>--152.75</f>
        <v>152.75</v>
      </c>
      <c r="Q19" s="2"/>
      <c r="R19" s="19"/>
      <c r="S19" s="2"/>
      <c r="T19" s="2">
        <f>--1187.45</f>
        <v>1187.45</v>
      </c>
      <c r="U19" s="2"/>
      <c r="V19" s="19"/>
      <c r="W19" s="2"/>
      <c r="X19" s="2">
        <f t="shared" si="2"/>
        <v>-1034.7</v>
      </c>
      <c r="Y19" s="2"/>
      <c r="Z19" s="19">
        <f t="shared" si="3"/>
        <v>-0.87136300475809503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--1589.5</f>
        <v>1589.5</v>
      </c>
      <c r="E20" s="2"/>
      <c r="F20" s="19"/>
      <c r="G20" s="2"/>
      <c r="H20" s="2">
        <f>--1735</f>
        <v>1735</v>
      </c>
      <c r="I20" s="2"/>
      <c r="J20" s="19"/>
      <c r="K20" s="2"/>
      <c r="L20" s="2">
        <f t="shared" si="0"/>
        <v>-145.5</v>
      </c>
      <c r="M20" s="2"/>
      <c r="N20" s="19">
        <f t="shared" si="1"/>
        <v>-8.3861671469740634E-2</v>
      </c>
      <c r="O20" s="11"/>
      <c r="P20" s="2">
        <f>--2101.5</f>
        <v>2101.5</v>
      </c>
      <c r="Q20" s="2"/>
      <c r="R20" s="19"/>
      <c r="S20" s="2"/>
      <c r="T20" s="2">
        <f>--2305.5</f>
        <v>2305.5</v>
      </c>
      <c r="U20" s="2"/>
      <c r="V20" s="19"/>
      <c r="W20" s="2"/>
      <c r="X20" s="2">
        <f t="shared" si="2"/>
        <v>-204</v>
      </c>
      <c r="Y20" s="2"/>
      <c r="Z20" s="19">
        <f t="shared" si="3"/>
        <v>-8.8484059856864014E-2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--34744.75</f>
        <v>34744.75</v>
      </c>
      <c r="E21" s="2"/>
      <c r="F21" s="19"/>
      <c r="G21" s="2"/>
      <c r="H21" s="2">
        <f>--34411.4</f>
        <v>34411.4</v>
      </c>
      <c r="I21" s="2"/>
      <c r="J21" s="19"/>
      <c r="K21" s="2"/>
      <c r="L21" s="2">
        <f t="shared" si="0"/>
        <v>333.34999999999854</v>
      </c>
      <c r="M21" s="2"/>
      <c r="N21" s="19">
        <f t="shared" si="1"/>
        <v>9.6871966848195226E-3</v>
      </c>
      <c r="O21" s="11"/>
      <c r="P21" s="2">
        <f>--50093.5</f>
        <v>50093.5</v>
      </c>
      <c r="Q21" s="2"/>
      <c r="R21" s="19"/>
      <c r="S21" s="2"/>
      <c r="T21" s="2">
        <f>--49114.45</f>
        <v>49114.45</v>
      </c>
      <c r="U21" s="2"/>
      <c r="V21" s="19"/>
      <c r="W21" s="2"/>
      <c r="X21" s="2">
        <f t="shared" si="2"/>
        <v>979.05000000000291</v>
      </c>
      <c r="Y21" s="2"/>
      <c r="Z21" s="19">
        <f t="shared" si="3"/>
        <v>1.9934051994881404E-2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--344.5</f>
        <v>344.5</v>
      </c>
      <c r="E22" s="2"/>
      <c r="F22" s="19"/>
      <c r="G22" s="2"/>
      <c r="H22" s="2">
        <f>--92</f>
        <v>92</v>
      </c>
      <c r="I22" s="2"/>
      <c r="J22" s="19"/>
      <c r="K22" s="2"/>
      <c r="L22" s="2">
        <f t="shared" si="0"/>
        <v>252.5</v>
      </c>
      <c r="M22" s="2"/>
      <c r="N22" s="19">
        <f t="shared" si="1"/>
        <v>2.7445652173913042</v>
      </c>
      <c r="O22" s="11"/>
      <c r="P22" s="2">
        <f>--414.9</f>
        <v>414.9</v>
      </c>
      <c r="Q22" s="2"/>
      <c r="R22" s="19"/>
      <c r="S22" s="2"/>
      <c r="T22" s="2">
        <f>--190</f>
        <v>190</v>
      </c>
      <c r="U22" s="2"/>
      <c r="V22" s="19"/>
      <c r="W22" s="2"/>
      <c r="X22" s="2">
        <f t="shared" si="2"/>
        <v>224.89999999999998</v>
      </c>
      <c r="Y22" s="2"/>
      <c r="Z22" s="19">
        <f t="shared" si="3"/>
        <v>1.1836842105263157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-150.05</f>
        <v>-150.05000000000001</v>
      </c>
      <c r="E23" s="2"/>
      <c r="F23" s="19"/>
      <c r="G23" s="2"/>
      <c r="H23" s="2">
        <f>-311.5</f>
        <v>-311.5</v>
      </c>
      <c r="I23" s="2"/>
      <c r="J23" s="19"/>
      <c r="K23" s="2"/>
      <c r="L23" s="2">
        <f t="shared" si="0"/>
        <v>161.44999999999999</v>
      </c>
      <c r="M23" s="2"/>
      <c r="N23" s="19">
        <f t="shared" si="1"/>
        <v>-0.51829855537720704</v>
      </c>
      <c r="O23" s="11"/>
      <c r="P23" s="2">
        <f>-613.75</f>
        <v>-613.75</v>
      </c>
      <c r="Q23" s="2"/>
      <c r="R23" s="19"/>
      <c r="S23" s="2"/>
      <c r="T23" s="2">
        <f>-726.1</f>
        <v>-726.1</v>
      </c>
      <c r="U23" s="2"/>
      <c r="V23" s="19"/>
      <c r="W23" s="2"/>
      <c r="X23" s="2">
        <f t="shared" si="2"/>
        <v>112.35000000000002</v>
      </c>
      <c r="Y23" s="2"/>
      <c r="Z23" s="19">
        <f t="shared" si="3"/>
        <v>-0.15473075333976039</v>
      </c>
    </row>
    <row r="24" spans="1:26" s="24" customFormat="1" hidden="1" outlineLevel="1" x14ac:dyDescent="0.25">
      <c r="A24" s="44"/>
      <c r="B24" s="11" t="str">
        <f>CONCATENATE("          ", "4242", " - ", "SALES RETURN TAXABLE-EVERYDAY")</f>
        <v xml:space="preserve">          4242 - SALES RETURN TAXABLE-EVERYDAY</v>
      </c>
      <c r="C24" s="11"/>
      <c r="D24" s="2">
        <f t="shared" ref="D24:D28" si="4">0</f>
        <v>0</v>
      </c>
      <c r="E24" s="2"/>
      <c r="F24" s="19"/>
      <c r="G24" s="2"/>
      <c r="H24" s="2">
        <f t="shared" ref="H24:H28" si="5"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-16.2</f>
        <v>-16.2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-16.2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"4292", " - ", "SALES RETURN TAXABLE-GRAD MERC")</f>
        <v xml:space="preserve">          4292 - SALES RETURN TAXABLE-GRAD MERC</v>
      </c>
      <c r="C25" s="11"/>
      <c r="D25" s="2">
        <f t="shared" si="4"/>
        <v>0</v>
      </c>
      <c r="E25" s="2"/>
      <c r="F25" s="19"/>
      <c r="G25" s="2"/>
      <c r="H25" s="2">
        <f t="shared" si="5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-369.15</f>
        <v>-369.15</v>
      </c>
      <c r="Q25" s="2"/>
      <c r="R25" s="19"/>
      <c r="S25" s="2"/>
      <c r="T25" s="2">
        <f>-478.25</f>
        <v>-478.25</v>
      </c>
      <c r="U25" s="2"/>
      <c r="V25" s="19"/>
      <c r="W25" s="2"/>
      <c r="X25" s="2">
        <f t="shared" si="2"/>
        <v>109.10000000000002</v>
      </c>
      <c r="Y25" s="2"/>
      <c r="Z25" s="19">
        <f t="shared" si="3"/>
        <v>-0.22812336644014641</v>
      </c>
    </row>
    <row r="26" spans="1:26" s="24" customFormat="1" hidden="1" outlineLevel="1" x14ac:dyDescent="0.25">
      <c r="A26" s="44"/>
      <c r="B26" s="11" t="str">
        <f>CONCATENATE("          ", "4295", " - ", "SALES RETURN TAXABLE-CUSTOMER")</f>
        <v xml:space="preserve">          4295 - SALES RETURN TAXABLE-CUSTOMER</v>
      </c>
      <c r="C26" s="11"/>
      <c r="D26" s="2">
        <f t="shared" si="4"/>
        <v>0</v>
      </c>
      <c r="E26" s="2"/>
      <c r="F26" s="19"/>
      <c r="G26" s="2"/>
      <c r="H26" s="2">
        <f t="shared" si="5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27" si="6">0</f>
        <v>0</v>
      </c>
      <c r="Q26" s="2"/>
      <c r="R26" s="19"/>
      <c r="S26" s="2"/>
      <c r="T26" s="2">
        <f>-99</f>
        <v>-99</v>
      </c>
      <c r="U26" s="2"/>
      <c r="V26" s="19"/>
      <c r="W26" s="2"/>
      <c r="X26" s="2">
        <f t="shared" si="2"/>
        <v>99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"4341", " - ", "SALES RETURN NON TAXABLE-LOGO")</f>
        <v xml:space="preserve">          4341 - SALES RETURN NON TAXABLE-LOGO</v>
      </c>
      <c r="C27" s="11"/>
      <c r="D27" s="2">
        <f t="shared" si="4"/>
        <v>0</v>
      </c>
      <c r="E27" s="2"/>
      <c r="F27" s="19"/>
      <c r="G27" s="2"/>
      <c r="H27" s="2">
        <f t="shared" si="5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6"/>
        <v>0</v>
      </c>
      <c r="Q27" s="2"/>
      <c r="R27" s="19"/>
      <c r="S27" s="2"/>
      <c r="T27" s="2">
        <f>-8.15</f>
        <v>-8.15</v>
      </c>
      <c r="U27" s="2"/>
      <c r="V27" s="19"/>
      <c r="W27" s="2"/>
      <c r="X27" s="2">
        <f t="shared" si="2"/>
        <v>8.15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"4346", " - ", "SALES RETURN NON TAXABLE-COIN-")</f>
        <v xml:space="preserve">          4346 - SALES RETURN NON TAXABLE-COIN-</v>
      </c>
      <c r="C28" s="11"/>
      <c r="D28" s="2">
        <f t="shared" si="4"/>
        <v>0</v>
      </c>
      <c r="E28" s="2"/>
      <c r="F28" s="19"/>
      <c r="G28" s="2"/>
      <c r="H28" s="2">
        <f t="shared" si="5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-8.15</f>
        <v>-8.15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-8.15</v>
      </c>
      <c r="Y28" s="2"/>
      <c r="Z28" s="19">
        <f t="shared" si="3"/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25">
      <c r="A30" s="10"/>
      <c r="B30" s="25" t="s">
        <v>8</v>
      </c>
      <c r="C30" s="10"/>
      <c r="D30" s="4">
        <f>SUM(OSRRefD16x_0)</f>
        <v>26.160000000000046</v>
      </c>
      <c r="E30" s="4"/>
      <c r="F30" s="12">
        <f t="shared" ref="F30:F35" si="7">IF(D$12=0,0,D30/D$12)</f>
        <v>3.9824267806631321E-4</v>
      </c>
      <c r="G30" s="4"/>
      <c r="H30" s="4">
        <f>SUM(OSRRefH16x_0)</f>
        <v>25.210000000000022</v>
      </c>
      <c r="I30" s="4"/>
      <c r="J30" s="12">
        <f t="shared" ref="J30:J35" si="8">IF(H$12=0,0,H30/H$12)</f>
        <v>3.6690283216676888E-4</v>
      </c>
      <c r="K30" s="4"/>
      <c r="L30" s="4">
        <f t="shared" ref="L30:L35" si="9">+D30-H30</f>
        <v>0.95000000000002416</v>
      </c>
      <c r="M30" s="4"/>
      <c r="N30" s="12">
        <f t="shared" ref="N30:N35" si="10">IF(H30=0,0,L30/H30)</f>
        <v>3.7683458944864072E-2</v>
      </c>
      <c r="O30" s="10"/>
      <c r="P30" s="4">
        <f>SUM(OSRRefP16x_0)</f>
        <v>1891.58</v>
      </c>
      <c r="Q30" s="4"/>
      <c r="R30" s="12">
        <f t="shared" ref="R30:R35" si="11">IF(P$12=0,0,P30/P$12)</f>
        <v>1.0999845084070968E-2</v>
      </c>
      <c r="S30" s="4"/>
      <c r="T30" s="4">
        <f>SUM(OSRRefT16x_0)</f>
        <v>1473.86</v>
      </c>
      <c r="U30" s="4"/>
      <c r="V30" s="12">
        <f t="shared" ref="V30:V35" si="12">IF(T$12=0,0,T30/T$12)</f>
        <v>8.1160911725159726E-3</v>
      </c>
      <c r="W30" s="4"/>
      <c r="X30" s="4">
        <f t="shared" ref="X30:X35" si="13">+P30-T30</f>
        <v>417.72</v>
      </c>
      <c r="Y30" s="4"/>
      <c r="Z30" s="12">
        <f t="shared" ref="Z30:Z35" si="14">IF(T30=0,0,X30/T30)</f>
        <v>0.28341904929911937</v>
      </c>
    </row>
    <row r="31" spans="1:26" s="24" customFormat="1" hidden="1" outlineLevel="1" x14ac:dyDescent="0.25">
      <c r="A31" s="44"/>
      <c r="B31" s="11" t="str">
        <f>CONCATENATE("          ", "5092", " - ", "PURCHASES @ COST-GRAD MERCH")</f>
        <v xml:space="preserve">          5092 - PURCHASES @ COST-GRAD MERCH</v>
      </c>
      <c r="C31" s="11"/>
      <c r="D31" s="2">
        <v>-615.04999999999995</v>
      </c>
      <c r="E31" s="2"/>
      <c r="F31" s="19">
        <f t="shared" si="7"/>
        <v>-9.3631177043075487E-3</v>
      </c>
      <c r="G31" s="2"/>
      <c r="H31" s="2">
        <v>-525.4</v>
      </c>
      <c r="I31" s="2"/>
      <c r="J31" s="19">
        <f t="shared" si="8"/>
        <v>-7.6465984934716465E-3</v>
      </c>
      <c r="K31" s="2"/>
      <c r="L31" s="2">
        <f t="shared" si="9"/>
        <v>-89.649999999999977</v>
      </c>
      <c r="M31" s="2"/>
      <c r="N31" s="19">
        <f t="shared" si="10"/>
        <v>0.17063189950513891</v>
      </c>
      <c r="O31" s="11"/>
      <c r="P31" s="2">
        <v>12.95</v>
      </c>
      <c r="Q31" s="2"/>
      <c r="R31" s="19">
        <f t="shared" si="11"/>
        <v>7.5306354390889641E-5</v>
      </c>
      <c r="S31" s="2"/>
      <c r="T31" s="2">
        <v>-3270.44</v>
      </c>
      <c r="U31" s="2"/>
      <c r="V31" s="19">
        <f t="shared" si="12"/>
        <v>-1.8009301571548952E-2</v>
      </c>
      <c r="W31" s="2"/>
      <c r="X31" s="2">
        <f t="shared" si="13"/>
        <v>3283.39</v>
      </c>
      <c r="Y31" s="2"/>
      <c r="Z31" s="19">
        <f t="shared" si="14"/>
        <v>-1.0039597118430548</v>
      </c>
    </row>
    <row r="32" spans="1:26" s="24" customFormat="1" hidden="1" outlineLevel="1" x14ac:dyDescent="0.25">
      <c r="A32" s="44"/>
      <c r="B32" s="11" t="str">
        <f>CONCATENATE("          ", "5095", " - ", "PURCHASES @ COST-CUSTOMER SERV")</f>
        <v xml:space="preserve">          5095 - PURCHASES @ COST-CUSTOMER SERV</v>
      </c>
      <c r="C32" s="11"/>
      <c r="D32" s="2"/>
      <c r="E32" s="2"/>
      <c r="F32" s="19">
        <f t="shared" si="7"/>
        <v>0</v>
      </c>
      <c r="G32" s="2"/>
      <c r="H32" s="2"/>
      <c r="I32" s="2"/>
      <c r="J32" s="19">
        <f t="shared" si="8"/>
        <v>0</v>
      </c>
      <c r="K32" s="2"/>
      <c r="L32" s="2">
        <f t="shared" si="9"/>
        <v>0</v>
      </c>
      <c r="M32" s="2"/>
      <c r="N32" s="19">
        <f t="shared" si="10"/>
        <v>0</v>
      </c>
      <c r="O32" s="11"/>
      <c r="P32" s="2">
        <v>11.85</v>
      </c>
      <c r="Q32" s="2"/>
      <c r="R32" s="19">
        <f t="shared" si="11"/>
        <v>6.8909675639539948E-5</v>
      </c>
      <c r="S32" s="2"/>
      <c r="T32" s="2"/>
      <c r="U32" s="2"/>
      <c r="V32" s="19">
        <f t="shared" si="12"/>
        <v>0</v>
      </c>
      <c r="W32" s="2"/>
      <c r="X32" s="2">
        <f t="shared" si="13"/>
        <v>11.85</v>
      </c>
      <c r="Y32" s="2"/>
      <c r="Z32" s="19">
        <f t="shared" si="14"/>
        <v>0</v>
      </c>
    </row>
    <row r="33" spans="1:26" s="24" customFormat="1" hidden="1" outlineLevel="1" x14ac:dyDescent="0.25">
      <c r="A33" s="44"/>
      <c r="B33" s="11" t="str">
        <f>CONCATENATE("          ", "5200", " - ", "PURCHASES OFFSET")</f>
        <v xml:space="preserve">          5200 - PURCHASES OFFSET</v>
      </c>
      <c r="C33" s="11"/>
      <c r="D33" s="2">
        <v>604</v>
      </c>
      <c r="E33" s="2"/>
      <c r="F33" s="19">
        <f t="shared" si="7"/>
        <v>9.194899753518837E-3</v>
      </c>
      <c r="G33" s="2"/>
      <c r="H33" s="2">
        <v>520</v>
      </c>
      <c r="I33" s="2"/>
      <c r="J33" s="19">
        <f t="shared" si="8"/>
        <v>7.5680076448520293E-3</v>
      </c>
      <c r="K33" s="2"/>
      <c r="L33" s="2">
        <f t="shared" si="9"/>
        <v>84</v>
      </c>
      <c r="M33" s="2"/>
      <c r="N33" s="19">
        <f t="shared" si="10"/>
        <v>0.16153846153846155</v>
      </c>
      <c r="O33" s="11"/>
      <c r="P33" s="2">
        <v>-96</v>
      </c>
      <c r="Q33" s="2"/>
      <c r="R33" s="19">
        <f t="shared" si="11"/>
        <v>-5.5825560011779195E-4</v>
      </c>
      <c r="S33" s="2"/>
      <c r="T33" s="2">
        <v>3157</v>
      </c>
      <c r="U33" s="2"/>
      <c r="V33" s="19">
        <f t="shared" si="12"/>
        <v>1.7384622577200637E-2</v>
      </c>
      <c r="W33" s="2"/>
      <c r="X33" s="2">
        <f t="shared" si="13"/>
        <v>-3253</v>
      </c>
      <c r="Y33" s="2"/>
      <c r="Z33" s="19">
        <f t="shared" si="14"/>
        <v>-1.0304086157744694</v>
      </c>
    </row>
    <row r="34" spans="1:26" s="24" customFormat="1" hidden="1" outlineLevel="1" x14ac:dyDescent="0.25">
      <c r="A34" s="44"/>
      <c r="B34" s="11" t="str">
        <f>CONCATENATE("          ", "5300", " - ", "COG$ OFFSET")</f>
        <v xml:space="preserve">          5300 - COG$ OFFSET</v>
      </c>
      <c r="C34" s="11"/>
      <c r="D34" s="2">
        <v>26</v>
      </c>
      <c r="E34" s="2"/>
      <c r="F34" s="19">
        <f t="shared" si="7"/>
        <v>3.9580694303226779E-4</v>
      </c>
      <c r="G34" s="2"/>
      <c r="H34" s="2">
        <v>25</v>
      </c>
      <c r="I34" s="2"/>
      <c r="J34" s="19">
        <f t="shared" si="8"/>
        <v>3.6384652138711678E-4</v>
      </c>
      <c r="K34" s="2"/>
      <c r="L34" s="2">
        <f t="shared" si="9"/>
        <v>1</v>
      </c>
      <c r="M34" s="2"/>
      <c r="N34" s="19">
        <f t="shared" si="10"/>
        <v>0.04</v>
      </c>
      <c r="O34" s="11"/>
      <c r="P34" s="2">
        <v>1892</v>
      </c>
      <c r="Q34" s="2"/>
      <c r="R34" s="19">
        <f t="shared" si="11"/>
        <v>1.1002287452321484E-2</v>
      </c>
      <c r="S34" s="2"/>
      <c r="T34" s="2">
        <v>1473</v>
      </c>
      <c r="U34" s="2"/>
      <c r="V34" s="19">
        <f t="shared" si="12"/>
        <v>8.1113554185038121E-3</v>
      </c>
      <c r="W34" s="2"/>
      <c r="X34" s="2">
        <f t="shared" si="13"/>
        <v>419</v>
      </c>
      <c r="Y34" s="2"/>
      <c r="Z34" s="19">
        <f t="shared" si="14"/>
        <v>0.28445349626612354</v>
      </c>
    </row>
    <row r="35" spans="1:26" s="24" customFormat="1" hidden="1" outlineLevel="1" x14ac:dyDescent="0.25">
      <c r="A35" s="44"/>
      <c r="B35" s="11" t="str">
        <f>CONCATENATE("          ", "5592", " - ", "FREIGHT-IN-GRAD MERCH")</f>
        <v xml:space="preserve">          5592 - FREIGHT-IN-GRAD MERCH</v>
      </c>
      <c r="C35" s="11"/>
      <c r="D35" s="2">
        <v>11.21</v>
      </c>
      <c r="E35" s="2"/>
      <c r="F35" s="19">
        <f t="shared" si="7"/>
        <v>1.7065368582275855E-4</v>
      </c>
      <c r="G35" s="2"/>
      <c r="H35" s="2">
        <v>5.61</v>
      </c>
      <c r="I35" s="2"/>
      <c r="J35" s="19">
        <f t="shared" si="8"/>
        <v>8.1647159399269011E-5</v>
      </c>
      <c r="K35" s="2"/>
      <c r="L35" s="2">
        <f t="shared" si="9"/>
        <v>5.6000000000000005</v>
      </c>
      <c r="M35" s="2"/>
      <c r="N35" s="19">
        <f t="shared" si="10"/>
        <v>0.99821746880570417</v>
      </c>
      <c r="O35" s="11"/>
      <c r="P35" s="2">
        <v>70.78</v>
      </c>
      <c r="Q35" s="2"/>
      <c r="R35" s="19">
        <f t="shared" si="11"/>
        <v>4.1159720183684702E-4</v>
      </c>
      <c r="S35" s="2"/>
      <c r="T35" s="2">
        <v>114.3</v>
      </c>
      <c r="U35" s="2"/>
      <c r="V35" s="19">
        <f t="shared" si="12"/>
        <v>6.2941474836047918E-4</v>
      </c>
      <c r="W35" s="2"/>
      <c r="X35" s="2">
        <f t="shared" si="13"/>
        <v>-43.519999999999996</v>
      </c>
      <c r="Y35" s="2"/>
      <c r="Z35" s="19">
        <f t="shared" si="14"/>
        <v>-0.3807524059492563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6" t="s">
        <v>6</v>
      </c>
      <c r="C37" s="26"/>
      <c r="D37" s="21">
        <f>D12-D30</f>
        <v>65662.430000000008</v>
      </c>
      <c r="E37" s="13"/>
      <c r="F37" s="20">
        <f>IF(D$12=0,0,D37/D$12)</f>
        <v>0.99960175732193368</v>
      </c>
      <c r="G37" s="13"/>
      <c r="H37" s="21">
        <f>H12-H30</f>
        <v>68685.08</v>
      </c>
      <c r="I37" s="13"/>
      <c r="J37" s="20">
        <f>IF(H$12=0,0,H37/H$12)</f>
        <v>0.99963309716783311</v>
      </c>
      <c r="K37" s="15"/>
      <c r="L37" s="21">
        <f>+D37-H37</f>
        <v>-3022.6499999999942</v>
      </c>
      <c r="M37" s="15"/>
      <c r="N37" s="20">
        <f>IF(H37=0,0,L37/H37)</f>
        <v>-4.4007373944967294E-2</v>
      </c>
      <c r="O37" s="25"/>
      <c r="P37" s="21">
        <f>P12-P30</f>
        <v>170072.66</v>
      </c>
      <c r="Q37" s="13"/>
      <c r="R37" s="20">
        <f>IF(P$12=0,0,P37/P$12)</f>
        <v>0.98900015491592908</v>
      </c>
      <c r="S37" s="13"/>
      <c r="T37" s="21">
        <f>T12-T30</f>
        <v>180123.41000000003</v>
      </c>
      <c r="U37" s="13"/>
      <c r="V37" s="20">
        <f>IF(T$12=0,0,T37/T$12)</f>
        <v>0.99188390882748412</v>
      </c>
      <c r="W37" s="15"/>
      <c r="X37" s="21">
        <f>+P37-T37</f>
        <v>-10050.750000000029</v>
      </c>
      <c r="Y37" s="15"/>
      <c r="Z37" s="20">
        <f>IF(T37=0,0,X37/T37)</f>
        <v>-5.5799243418720681E-2</v>
      </c>
    </row>
    <row r="38" spans="1:26" x14ac:dyDescent="0.25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7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5" t="s">
        <v>9</v>
      </c>
      <c r="C39" s="10"/>
      <c r="D39" s="22">
        <f>SUM(OSRRefD22x_0)</f>
        <v>58502.80000000001</v>
      </c>
      <c r="E39" s="22"/>
      <c r="F39" s="34">
        <f t="shared" ref="F39:F48" si="15">IF(D$12=0,0,D39/D$12)</f>
        <v>0.89060824718569842</v>
      </c>
      <c r="G39" s="22"/>
      <c r="H39" s="22">
        <f>SUM(OSRRefH22x_0)</f>
        <v>56394.95</v>
      </c>
      <c r="I39" s="22"/>
      <c r="J39" s="34">
        <f t="shared" ref="J39:J48" si="16">IF(H$12=0,0,H39/H$12)</f>
        <v>0.82076425525201524</v>
      </c>
      <c r="K39" s="4"/>
      <c r="L39" s="22">
        <f t="shared" ref="L39:L48" si="17">+D39-H39</f>
        <v>2107.8500000000131</v>
      </c>
      <c r="M39" s="4"/>
      <c r="N39" s="34">
        <f t="shared" ref="N39:N48" si="18">IF(H39=0,0,L39/H39)</f>
        <v>3.7376573611644537E-2</v>
      </c>
      <c r="O39" s="10"/>
      <c r="P39" s="22">
        <f>SUM(OSRRefP22x_0)</f>
        <v>120315.00000000001</v>
      </c>
      <c r="Q39" s="22"/>
      <c r="R39" s="34">
        <f t="shared" ref="R39:R48" si="19">IF(P$12=0,0,P39/P$12)</f>
        <v>0.69965127633512658</v>
      </c>
      <c r="S39" s="22"/>
      <c r="T39" s="22">
        <f>SUM(OSRRefT22x_0)</f>
        <v>128080.77</v>
      </c>
      <c r="U39" s="22"/>
      <c r="V39" s="34">
        <f t="shared" ref="V39:V48" si="20">IF(T$12=0,0,T39/T$12)</f>
        <v>0.70530118652114093</v>
      </c>
      <c r="W39" s="4"/>
      <c r="X39" s="22">
        <f t="shared" ref="X39:X48" si="21">+P39-T39</f>
        <v>-7765.7699999999895</v>
      </c>
      <c r="Y39" s="4"/>
      <c r="Z39" s="34">
        <f t="shared" ref="Z39:Z48" si="22">IF(T39=0,0,X39/T39)</f>
        <v>-6.0631818500154158E-2</v>
      </c>
    </row>
    <row r="40" spans="1:26" s="29" customFormat="1" outlineLevel="1" collapsed="1" x14ac:dyDescent="0.25">
      <c r="A40" s="27"/>
      <c r="B40" s="14" t="str">
        <f>CONCATENATE("     ","*Benefits                                         ")</f>
        <v xml:space="preserve">     *Benefits                                         </v>
      </c>
      <c r="C40" s="14"/>
      <c r="D40" s="1">
        <f>SUM(OSRRefD22_0x_0)</f>
        <v>7974.0300000000007</v>
      </c>
      <c r="E40" s="1"/>
      <c r="F40" s="5">
        <f t="shared" si="15"/>
        <v>0.12139140145952287</v>
      </c>
      <c r="G40" s="1"/>
      <c r="H40" s="1">
        <f>SUM(OSRRefH22_0x_0)</f>
        <v>6454.2800000000007</v>
      </c>
      <c r="I40" s="1"/>
      <c r="J40" s="5">
        <f t="shared" si="16"/>
        <v>9.3934693042337619E-2</v>
      </c>
      <c r="K40" s="1"/>
      <c r="L40" s="1">
        <f t="shared" si="17"/>
        <v>1519.75</v>
      </c>
      <c r="M40" s="1"/>
      <c r="N40" s="5">
        <f t="shared" si="18"/>
        <v>0.23546390921992846</v>
      </c>
      <c r="O40" s="14"/>
      <c r="P40" s="1">
        <f>SUM(OSRRefP22_0x_0)</f>
        <v>23116.100000000002</v>
      </c>
      <c r="Q40" s="1"/>
      <c r="R40" s="5">
        <f t="shared" si="19"/>
        <v>0.13442387789461346</v>
      </c>
      <c r="S40" s="1"/>
      <c r="T40" s="1">
        <f>SUM(OSRRefT22_0x_0)</f>
        <v>19924.32</v>
      </c>
      <c r="U40" s="1"/>
      <c r="V40" s="5">
        <f t="shared" si="20"/>
        <v>0.10971706788323414</v>
      </c>
      <c r="W40" s="1"/>
      <c r="X40" s="1">
        <f t="shared" si="21"/>
        <v>3191.7800000000025</v>
      </c>
      <c r="Y40" s="1"/>
      <c r="Z40" s="5">
        <f t="shared" si="22"/>
        <v>0.16019517855565471</v>
      </c>
    </row>
    <row r="41" spans="1:26" s="24" customFormat="1" hidden="1" outlineLevel="2" x14ac:dyDescent="0.25">
      <c r="A41" s="28"/>
      <c r="B41" s="11" t="str">
        <f>CONCATENATE("          ", "6111", " - ", "F.I.C.A.")</f>
        <v xml:space="preserve">          6111 - F.I.C.A.</v>
      </c>
      <c r="C41" s="11"/>
      <c r="D41" s="6">
        <v>1053.6400000000001</v>
      </c>
      <c r="E41" s="2"/>
      <c r="F41" s="7">
        <f t="shared" si="15"/>
        <v>1.6039924132943025E-2</v>
      </c>
      <c r="G41" s="2"/>
      <c r="H41" s="6">
        <v>989.59</v>
      </c>
      <c r="I41" s="2"/>
      <c r="J41" s="7">
        <f t="shared" si="16"/>
        <v>1.4402355163979077E-2</v>
      </c>
      <c r="K41" s="2"/>
      <c r="L41" s="6">
        <f t="shared" si="17"/>
        <v>64.050000000000068</v>
      </c>
      <c r="M41" s="2"/>
      <c r="N41" s="7">
        <f t="shared" si="18"/>
        <v>6.4723774492466649E-2</v>
      </c>
      <c r="O41" s="11"/>
      <c r="P41" s="6">
        <v>3542.57</v>
      </c>
      <c r="Q41" s="2"/>
      <c r="R41" s="7">
        <f t="shared" si="19"/>
        <v>2.0600620221971733E-2</v>
      </c>
      <c r="S41" s="2"/>
      <c r="T41" s="6">
        <v>3218.95</v>
      </c>
      <c r="U41" s="2"/>
      <c r="V41" s="7">
        <f t="shared" si="20"/>
        <v>1.7725762066797587E-2</v>
      </c>
      <c r="W41" s="2"/>
      <c r="X41" s="6">
        <f t="shared" si="21"/>
        <v>323.62000000000035</v>
      </c>
      <c r="Y41" s="2"/>
      <c r="Z41" s="7">
        <f t="shared" si="22"/>
        <v>0.10053588903213792</v>
      </c>
    </row>
    <row r="42" spans="1:26" s="24" customFormat="1" hidden="1" outlineLevel="2" x14ac:dyDescent="0.25">
      <c r="A42" s="28"/>
      <c r="B42" s="11" t="str">
        <f>CONCATENATE("          ", "6112", " - ", "COMPENSATION INSURANCE")</f>
        <v xml:space="preserve">          6112 - COMPENSATION INSURANCE</v>
      </c>
      <c r="C42" s="11"/>
      <c r="D42" s="6">
        <v>238.77</v>
      </c>
      <c r="E42" s="2"/>
      <c r="F42" s="7">
        <f t="shared" si="15"/>
        <v>3.6348778379928686E-3</v>
      </c>
      <c r="G42" s="2"/>
      <c r="H42" s="6"/>
      <c r="I42" s="2"/>
      <c r="J42" s="7">
        <f t="shared" si="16"/>
        <v>0</v>
      </c>
      <c r="K42" s="2"/>
      <c r="L42" s="6">
        <f t="shared" si="17"/>
        <v>238.77</v>
      </c>
      <c r="M42" s="2"/>
      <c r="N42" s="7">
        <f t="shared" si="18"/>
        <v>0</v>
      </c>
      <c r="O42" s="11"/>
      <c r="P42" s="6">
        <v>641.23</v>
      </c>
      <c r="Q42" s="2"/>
      <c r="R42" s="7">
        <f t="shared" si="19"/>
        <v>3.7288566506617892E-3</v>
      </c>
      <c r="S42" s="2"/>
      <c r="T42" s="6">
        <v>413.7</v>
      </c>
      <c r="U42" s="2"/>
      <c r="V42" s="7">
        <f t="shared" si="20"/>
        <v>2.2781179474779547E-3</v>
      </c>
      <c r="W42" s="2"/>
      <c r="X42" s="6">
        <f t="shared" si="21"/>
        <v>227.53000000000003</v>
      </c>
      <c r="Y42" s="2"/>
      <c r="Z42" s="7">
        <f t="shared" si="22"/>
        <v>0.54998791394730495</v>
      </c>
    </row>
    <row r="43" spans="1:26" s="24" customFormat="1" hidden="1" outlineLevel="2" x14ac:dyDescent="0.25">
      <c r="A43" s="28"/>
      <c r="B43" s="11" t="str">
        <f>CONCATENATE("          ", "6113", " - ", "GROUP INSURANCE")</f>
        <v xml:space="preserve">          6113 - GROUP INSURANCE</v>
      </c>
      <c r="C43" s="11"/>
      <c r="D43" s="6">
        <v>3051.28</v>
      </c>
      <c r="E43" s="2"/>
      <c r="F43" s="7">
        <f t="shared" si="15"/>
        <v>4.6450684966749929E-2</v>
      </c>
      <c r="G43" s="2"/>
      <c r="H43" s="6">
        <v>2722.97</v>
      </c>
      <c r="I43" s="2"/>
      <c r="J43" s="7">
        <f t="shared" si="16"/>
        <v>3.9629726493659097E-2</v>
      </c>
      <c r="K43" s="2"/>
      <c r="L43" s="6">
        <f t="shared" si="17"/>
        <v>328.3100000000004</v>
      </c>
      <c r="M43" s="2"/>
      <c r="N43" s="7">
        <f t="shared" si="18"/>
        <v>0.12057055347653498</v>
      </c>
      <c r="O43" s="11"/>
      <c r="P43" s="6">
        <v>8534.86</v>
      </c>
      <c r="Q43" s="2"/>
      <c r="R43" s="7">
        <f t="shared" si="19"/>
        <v>4.9631597825222272E-2</v>
      </c>
      <c r="S43" s="2"/>
      <c r="T43" s="6">
        <v>6471.77</v>
      </c>
      <c r="U43" s="2"/>
      <c r="V43" s="7">
        <f t="shared" si="20"/>
        <v>3.5638035748004358E-2</v>
      </c>
      <c r="W43" s="2"/>
      <c r="X43" s="6">
        <f t="shared" si="21"/>
        <v>2063.09</v>
      </c>
      <c r="Y43" s="2"/>
      <c r="Z43" s="7">
        <f t="shared" si="22"/>
        <v>0.3187829604574946</v>
      </c>
    </row>
    <row r="44" spans="1:26" s="24" customFormat="1" hidden="1" outlineLevel="2" x14ac:dyDescent="0.25">
      <c r="A44" s="28"/>
      <c r="B44" s="11" t="str">
        <f>CONCATENATE("          ", "6114", " - ", "STATE UNEMPLOYMENT INSURANCE")</f>
        <v xml:space="preserve">          6114 - STATE UNEMPLOYMENT INSURANCE</v>
      </c>
      <c r="C44" s="11"/>
      <c r="D44" s="6">
        <v>47.03</v>
      </c>
      <c r="E44" s="2"/>
      <c r="F44" s="7">
        <f t="shared" si="15"/>
        <v>7.1595386656952129E-4</v>
      </c>
      <c r="G44" s="2"/>
      <c r="H44" s="6">
        <v>41.39</v>
      </c>
      <c r="I44" s="2"/>
      <c r="J44" s="7">
        <f t="shared" si="16"/>
        <v>6.0238430080851056E-4</v>
      </c>
      <c r="K44" s="2"/>
      <c r="L44" s="6">
        <f t="shared" si="17"/>
        <v>5.6400000000000006</v>
      </c>
      <c r="M44" s="2"/>
      <c r="N44" s="7">
        <f t="shared" si="18"/>
        <v>0.1362647982604494</v>
      </c>
      <c r="O44" s="11"/>
      <c r="P44" s="6">
        <v>130.82</v>
      </c>
      <c r="Q44" s="2"/>
      <c r="R44" s="7">
        <f t="shared" si="19"/>
        <v>7.6073955841051604E-4</v>
      </c>
      <c r="S44" s="2"/>
      <c r="T44" s="6">
        <v>131.78</v>
      </c>
      <c r="U44" s="2"/>
      <c r="V44" s="7">
        <f t="shared" si="20"/>
        <v>7.2567170200300911E-4</v>
      </c>
      <c r="W44" s="2"/>
      <c r="X44" s="6">
        <f t="shared" si="21"/>
        <v>-0.96000000000000796</v>
      </c>
      <c r="Y44" s="2"/>
      <c r="Z44" s="7">
        <f t="shared" si="22"/>
        <v>-7.2848687205949916E-3</v>
      </c>
    </row>
    <row r="45" spans="1:26" s="24" customFormat="1" hidden="1" outlineLevel="2" x14ac:dyDescent="0.25">
      <c r="A45" s="28"/>
      <c r="B45" s="11" t="str">
        <f>CONCATENATE("          ", "6115", " - ", "P.E.R.S.")</f>
        <v xml:space="preserve">          6115 - P.E.R.S.</v>
      </c>
      <c r="C45" s="11"/>
      <c r="D45" s="6">
        <v>1187.75</v>
      </c>
      <c r="E45" s="2"/>
      <c r="F45" s="7">
        <f t="shared" si="15"/>
        <v>1.8081526791791386E-2</v>
      </c>
      <c r="G45" s="2"/>
      <c r="H45" s="6">
        <v>984.68</v>
      </c>
      <c r="I45" s="2"/>
      <c r="J45" s="7">
        <f t="shared" si="16"/>
        <v>1.4330895707178645E-2</v>
      </c>
      <c r="K45" s="2"/>
      <c r="L45" s="6">
        <f t="shared" si="17"/>
        <v>203.07000000000005</v>
      </c>
      <c r="M45" s="2"/>
      <c r="N45" s="7">
        <f t="shared" si="18"/>
        <v>0.2062294349433319</v>
      </c>
      <c r="O45" s="11"/>
      <c r="P45" s="6">
        <v>3501.13</v>
      </c>
      <c r="Q45" s="2"/>
      <c r="R45" s="7">
        <f t="shared" si="19"/>
        <v>2.0359639887920885E-2</v>
      </c>
      <c r="S45" s="2"/>
      <c r="T45" s="6">
        <v>3432.05</v>
      </c>
      <c r="U45" s="2"/>
      <c r="V45" s="7">
        <f t="shared" si="20"/>
        <v>1.8899237857485412E-2</v>
      </c>
      <c r="W45" s="2"/>
      <c r="X45" s="6">
        <f t="shared" si="21"/>
        <v>69.079999999999927</v>
      </c>
      <c r="Y45" s="2"/>
      <c r="Z45" s="7">
        <f t="shared" si="22"/>
        <v>2.0127911889395528E-2</v>
      </c>
    </row>
    <row r="46" spans="1:26" s="24" customFormat="1" hidden="1" outlineLevel="2" x14ac:dyDescent="0.25">
      <c r="A46" s="28"/>
      <c r="B46" s="11" t="str">
        <f>CONCATENATE("          ", "6118", " - ", "VACATION")</f>
        <v xml:space="preserve">          6118 - VACATION</v>
      </c>
      <c r="C46" s="11"/>
      <c r="D46" s="6">
        <v>1236.01</v>
      </c>
      <c r="E46" s="2"/>
      <c r="F46" s="7">
        <f t="shared" si="15"/>
        <v>1.8816205371435128E-2</v>
      </c>
      <c r="G46" s="2"/>
      <c r="H46" s="6">
        <v>951.42</v>
      </c>
      <c r="I46" s="2"/>
      <c r="J46" s="7">
        <f t="shared" si="16"/>
        <v>1.3846834295125225E-2</v>
      </c>
      <c r="K46" s="2"/>
      <c r="L46" s="6">
        <f t="shared" si="17"/>
        <v>284.59000000000003</v>
      </c>
      <c r="M46" s="2"/>
      <c r="N46" s="7">
        <f t="shared" si="18"/>
        <v>0.29912131340522591</v>
      </c>
      <c r="O46" s="11"/>
      <c r="P46" s="6">
        <v>3793.07</v>
      </c>
      <c r="Q46" s="2"/>
      <c r="R46" s="7">
        <f t="shared" si="19"/>
        <v>2.2057318428529097E-2</v>
      </c>
      <c r="S46" s="2"/>
      <c r="T46" s="6">
        <v>2854.26</v>
      </c>
      <c r="U46" s="2"/>
      <c r="V46" s="7">
        <f t="shared" si="20"/>
        <v>1.57175270311057E-2</v>
      </c>
      <c r="W46" s="2"/>
      <c r="X46" s="6">
        <f t="shared" si="21"/>
        <v>938.81</v>
      </c>
      <c r="Y46" s="2"/>
      <c r="Z46" s="7">
        <f t="shared" si="22"/>
        <v>0.32891537561399448</v>
      </c>
    </row>
    <row r="47" spans="1:26" s="24" customFormat="1" hidden="1" outlineLevel="2" x14ac:dyDescent="0.25">
      <c r="A47" s="28"/>
      <c r="B47" s="11" t="str">
        <f>CONCATENATE("          ", "6119", " - ", "SICK LEAVE")</f>
        <v xml:space="preserve">          6119 - SICK LEAVE</v>
      </c>
      <c r="C47" s="11"/>
      <c r="D47" s="6">
        <v>809.89</v>
      </c>
      <c r="E47" s="2"/>
      <c r="F47" s="7">
        <f t="shared" si="15"/>
        <v>1.2329234042015514E-2</v>
      </c>
      <c r="G47" s="2"/>
      <c r="H47" s="6">
        <v>482.72</v>
      </c>
      <c r="I47" s="2"/>
      <c r="J47" s="7">
        <f t="shared" si="16"/>
        <v>7.025439712159561E-3</v>
      </c>
      <c r="K47" s="2"/>
      <c r="L47" s="6">
        <f t="shared" si="17"/>
        <v>327.16999999999996</v>
      </c>
      <c r="M47" s="2"/>
      <c r="N47" s="7">
        <f t="shared" si="18"/>
        <v>0.67776350679482922</v>
      </c>
      <c r="O47" s="11"/>
      <c r="P47" s="6">
        <v>2236.9699999999998</v>
      </c>
      <c r="Q47" s="2"/>
      <c r="R47" s="7">
        <f t="shared" si="19"/>
        <v>1.3008344060369759E-2</v>
      </c>
      <c r="S47" s="2"/>
      <c r="T47" s="6">
        <v>2552.19</v>
      </c>
      <c r="U47" s="2"/>
      <c r="V47" s="7">
        <f t="shared" si="20"/>
        <v>1.4054120967787676E-2</v>
      </c>
      <c r="W47" s="2"/>
      <c r="X47" s="6">
        <f t="shared" si="21"/>
        <v>-315.22000000000025</v>
      </c>
      <c r="Y47" s="2"/>
      <c r="Z47" s="7">
        <f t="shared" si="22"/>
        <v>-0.12350961331248858</v>
      </c>
    </row>
    <row r="48" spans="1:26" s="24" customFormat="1" hidden="1" outlineLevel="2" x14ac:dyDescent="0.25">
      <c r="A48" s="28"/>
      <c r="B48" s="11" t="str">
        <f>CONCATENATE("          ", "6156", " - ", "EMPLOYEE MEALS")</f>
        <v xml:space="preserve">          6156 - EMPLOYEE MEALS</v>
      </c>
      <c r="C48" s="11"/>
      <c r="D48" s="6">
        <v>349.66</v>
      </c>
      <c r="E48" s="2"/>
      <c r="F48" s="7">
        <f t="shared" si="15"/>
        <v>5.322994450025491E-3</v>
      </c>
      <c r="G48" s="2"/>
      <c r="H48" s="6">
        <v>281.51</v>
      </c>
      <c r="I48" s="2"/>
      <c r="J48" s="7">
        <f t="shared" si="16"/>
        <v>4.0970573694274898E-3</v>
      </c>
      <c r="K48" s="2"/>
      <c r="L48" s="6">
        <f t="shared" si="17"/>
        <v>68.150000000000034</v>
      </c>
      <c r="M48" s="2"/>
      <c r="N48" s="7">
        <f t="shared" si="18"/>
        <v>0.24208731483783894</v>
      </c>
      <c r="O48" s="11"/>
      <c r="P48" s="6">
        <v>735.45</v>
      </c>
      <c r="Q48" s="2"/>
      <c r="R48" s="7">
        <f t="shared" si="19"/>
        <v>4.2767612615273974E-3</v>
      </c>
      <c r="S48" s="2"/>
      <c r="T48" s="6">
        <v>849.62</v>
      </c>
      <c r="U48" s="2"/>
      <c r="V48" s="7">
        <f t="shared" si="20"/>
        <v>4.6785945625724438E-3</v>
      </c>
      <c r="W48" s="2"/>
      <c r="X48" s="6">
        <f t="shared" si="21"/>
        <v>-114.16999999999996</v>
      </c>
      <c r="Y48" s="2"/>
      <c r="Z48" s="7">
        <f t="shared" si="22"/>
        <v>-0.13437772180504221</v>
      </c>
    </row>
    <row r="49" spans="1:26" s="29" customFormat="1" outlineLevel="1" collapsed="1" x14ac:dyDescent="0.25">
      <c r="A49" s="27"/>
      <c r="B49" s="14" t="str">
        <f>CONCATENATE("     ","*Payroll                                          ")</f>
        <v xml:space="preserve">     *Payroll                                          </v>
      </c>
      <c r="C49" s="14"/>
      <c r="D49" s="1">
        <f>SUM(OSRRefD22_1x_0)</f>
        <v>18204.34</v>
      </c>
      <c r="E49" s="1"/>
      <c r="F49" s="5">
        <f t="shared" ref="F49:F53" si="23">IF(D$12=0,0,D49/D$12)</f>
        <v>0.27713092943538592</v>
      </c>
      <c r="G49" s="1"/>
      <c r="H49" s="1">
        <f>SUM(OSRRefH22_1x_0)</f>
        <v>14715.85</v>
      </c>
      <c r="I49" s="1"/>
      <c r="J49" s="5">
        <f t="shared" ref="J49:J53" si="24">IF(H$12=0,0,H49/H$12)</f>
        <v>0.21417243327018412</v>
      </c>
      <c r="K49" s="1"/>
      <c r="L49" s="1">
        <f t="shared" ref="L49:L53" si="25">+D49-H49</f>
        <v>3488.49</v>
      </c>
      <c r="M49" s="1"/>
      <c r="N49" s="5">
        <f t="shared" ref="N49:N53" si="26">IF(H49=0,0,L49/H49)</f>
        <v>0.23705664300736959</v>
      </c>
      <c r="O49" s="14"/>
      <c r="P49" s="1">
        <f>SUM(OSRRefP22_1x_0)</f>
        <v>54248.100000000006</v>
      </c>
      <c r="Q49" s="1"/>
      <c r="R49" s="5">
        <f t="shared" ref="R49:R53" si="27">IF(P$12=0,0,P49/P$12)</f>
        <v>0.31546151688281243</v>
      </c>
      <c r="S49" s="1"/>
      <c r="T49" s="1">
        <f>SUM(OSRRefT22_1x_0)</f>
        <v>47238.75</v>
      </c>
      <c r="U49" s="1"/>
      <c r="V49" s="5">
        <f t="shared" ref="V49:V53" si="28">IF(T$12=0,0,T49/T$12)</f>
        <v>0.26012918586276101</v>
      </c>
      <c r="W49" s="1"/>
      <c r="X49" s="1">
        <f t="shared" ref="X49:X53" si="29">+P49-T49</f>
        <v>7009.3500000000058</v>
      </c>
      <c r="Y49" s="1"/>
      <c r="Z49" s="5">
        <f t="shared" ref="Z49:Z53" si="30">IF(T49=0,0,X49/T49)</f>
        <v>0.14838136064142268</v>
      </c>
    </row>
    <row r="50" spans="1:26" s="24" customFormat="1" hidden="1" outlineLevel="2" x14ac:dyDescent="0.25">
      <c r="A50" s="28"/>
      <c r="B50" s="11" t="str">
        <f>CONCATENATE("          ", "6002", " - ", "STAFF SALARIES")</f>
        <v xml:space="preserve">          6002 - STAFF SALARIES</v>
      </c>
      <c r="C50" s="11"/>
      <c r="D50" s="6">
        <v>11858.2</v>
      </c>
      <c r="E50" s="2"/>
      <c r="F50" s="7">
        <f t="shared" si="23"/>
        <v>0.18052145737943223</v>
      </c>
      <c r="G50" s="2"/>
      <c r="H50" s="6">
        <v>9831.25</v>
      </c>
      <c r="I50" s="2"/>
      <c r="J50" s="7">
        <f t="shared" si="24"/>
        <v>0.14308264453548367</v>
      </c>
      <c r="K50" s="2"/>
      <c r="L50" s="6">
        <f t="shared" si="25"/>
        <v>2026.9500000000007</v>
      </c>
      <c r="M50" s="2"/>
      <c r="N50" s="7">
        <f t="shared" si="26"/>
        <v>0.20617418944691679</v>
      </c>
      <c r="O50" s="11"/>
      <c r="P50" s="6">
        <v>36786.97</v>
      </c>
      <c r="Q50" s="2"/>
      <c r="R50" s="7">
        <f t="shared" si="27"/>
        <v>0.21392220847776261</v>
      </c>
      <c r="S50" s="2"/>
      <c r="T50" s="6">
        <v>32691.100000000002</v>
      </c>
      <c r="U50" s="2"/>
      <c r="V50" s="7">
        <f t="shared" si="28"/>
        <v>0.18001977672902242</v>
      </c>
      <c r="W50" s="2"/>
      <c r="X50" s="6">
        <f t="shared" si="29"/>
        <v>4095.869999999999</v>
      </c>
      <c r="Y50" s="2"/>
      <c r="Z50" s="7">
        <f t="shared" si="30"/>
        <v>0.12529006365646916</v>
      </c>
    </row>
    <row r="51" spans="1:26" s="24" customFormat="1" hidden="1" outlineLevel="2" x14ac:dyDescent="0.25">
      <c r="A51" s="28"/>
      <c r="B51" s="11" t="str">
        <f>CONCATENATE("          ", "6005", " - ", "TEMPORARY WAGES-HOURLY")</f>
        <v xml:space="preserve">          6005 - TEMPORARY WAGES-HOURLY</v>
      </c>
      <c r="C51" s="11"/>
      <c r="D51" s="6">
        <v>1690.5</v>
      </c>
      <c r="E51" s="2"/>
      <c r="F51" s="7">
        <f t="shared" si="23"/>
        <v>2.5735062969078796E-2</v>
      </c>
      <c r="G51" s="2"/>
      <c r="H51" s="6">
        <v>1318.85</v>
      </c>
      <c r="I51" s="2"/>
      <c r="J51" s="7">
        <f t="shared" si="24"/>
        <v>1.9194359389255958E-2</v>
      </c>
      <c r="K51" s="2"/>
      <c r="L51" s="6">
        <f t="shared" si="25"/>
        <v>371.65000000000009</v>
      </c>
      <c r="M51" s="2"/>
      <c r="N51" s="7">
        <f t="shared" si="26"/>
        <v>0.28179853660385951</v>
      </c>
      <c r="O51" s="11"/>
      <c r="P51" s="6">
        <v>4182.5</v>
      </c>
      <c r="Q51" s="2"/>
      <c r="R51" s="7">
        <f t="shared" si="27"/>
        <v>2.4321917161381927E-2</v>
      </c>
      <c r="S51" s="2"/>
      <c r="T51" s="6">
        <v>3207.63</v>
      </c>
      <c r="U51" s="2"/>
      <c r="V51" s="7">
        <f t="shared" si="28"/>
        <v>1.7663426327939841E-2</v>
      </c>
      <c r="W51" s="2"/>
      <c r="X51" s="6">
        <f t="shared" si="29"/>
        <v>974.86999999999989</v>
      </c>
      <c r="Y51" s="2"/>
      <c r="Z51" s="7">
        <f t="shared" si="30"/>
        <v>0.30392221047938817</v>
      </c>
    </row>
    <row r="52" spans="1:26" s="24" customFormat="1" hidden="1" outlineLevel="2" x14ac:dyDescent="0.25">
      <c r="A52" s="28"/>
      <c r="B52" s="11" t="str">
        <f>CONCATENATE("          ", "6006", " - ", "TEMPORARY PART TIME")</f>
        <v xml:space="preserve">          6006 - TEMPORARY PART TIME</v>
      </c>
      <c r="C52" s="11"/>
      <c r="D52" s="6"/>
      <c r="E52" s="2"/>
      <c r="F52" s="7">
        <f t="shared" si="23"/>
        <v>0</v>
      </c>
      <c r="G52" s="2"/>
      <c r="H52" s="6">
        <v>1134.75</v>
      </c>
      <c r="I52" s="2"/>
      <c r="J52" s="7">
        <f t="shared" si="24"/>
        <v>1.6514993605761231E-2</v>
      </c>
      <c r="K52" s="2"/>
      <c r="L52" s="6">
        <f t="shared" si="25"/>
        <v>-1134.75</v>
      </c>
      <c r="M52" s="2"/>
      <c r="N52" s="7">
        <f t="shared" si="26"/>
        <v>-1</v>
      </c>
      <c r="O52" s="11"/>
      <c r="P52" s="6">
        <v>57.37</v>
      </c>
      <c r="Q52" s="2"/>
      <c r="R52" s="7">
        <f t="shared" si="27"/>
        <v>3.3361587269539294E-4</v>
      </c>
      <c r="S52" s="2"/>
      <c r="T52" s="6">
        <v>3143.14</v>
      </c>
      <c r="U52" s="2"/>
      <c r="V52" s="7">
        <f t="shared" si="28"/>
        <v>1.7308299843934876E-2</v>
      </c>
      <c r="W52" s="2"/>
      <c r="X52" s="6">
        <f t="shared" si="29"/>
        <v>-3085.77</v>
      </c>
      <c r="Y52" s="2"/>
      <c r="Z52" s="7">
        <f t="shared" si="30"/>
        <v>-0.98174755181124607</v>
      </c>
    </row>
    <row r="53" spans="1:26" s="24" customFormat="1" hidden="1" outlineLevel="2" x14ac:dyDescent="0.25">
      <c r="A53" s="28"/>
      <c r="B53" s="11" t="str">
        <f>CONCATENATE("          ", "6007", " - ", "STUDENT HOURLY")</f>
        <v xml:space="preserve">          6007 - STUDENT HOURLY</v>
      </c>
      <c r="C53" s="11"/>
      <c r="D53" s="6">
        <v>4655.6400000000003</v>
      </c>
      <c r="E53" s="2"/>
      <c r="F53" s="7">
        <f t="shared" si="23"/>
        <v>7.0874409086874895E-2</v>
      </c>
      <c r="G53" s="2"/>
      <c r="H53" s="6">
        <v>2431</v>
      </c>
      <c r="I53" s="2"/>
      <c r="J53" s="7">
        <f t="shared" si="24"/>
        <v>3.538043573968324E-2</v>
      </c>
      <c r="K53" s="2"/>
      <c r="L53" s="6">
        <f t="shared" si="25"/>
        <v>2224.6400000000003</v>
      </c>
      <c r="M53" s="2"/>
      <c r="N53" s="7">
        <f t="shared" si="26"/>
        <v>0.91511312217194585</v>
      </c>
      <c r="O53" s="11"/>
      <c r="P53" s="6">
        <v>13221.26</v>
      </c>
      <c r="Q53" s="2"/>
      <c r="R53" s="7">
        <f t="shared" si="27"/>
        <v>7.6883775370972476E-2</v>
      </c>
      <c r="S53" s="2"/>
      <c r="T53" s="6">
        <v>8196.8799999999992</v>
      </c>
      <c r="U53" s="2"/>
      <c r="V53" s="7">
        <f t="shared" si="28"/>
        <v>4.5137682961863899E-2</v>
      </c>
      <c r="W53" s="2"/>
      <c r="X53" s="6">
        <f t="shared" si="29"/>
        <v>5024.380000000001</v>
      </c>
      <c r="Y53" s="2"/>
      <c r="Z53" s="7">
        <f t="shared" si="30"/>
        <v>0.61296249304613482</v>
      </c>
    </row>
    <row r="54" spans="1:26" s="29" customFormat="1" outlineLevel="1" collapsed="1" x14ac:dyDescent="0.25">
      <c r="A54" s="27"/>
      <c r="B54" s="14" t="str">
        <f>CONCATENATE("     ","Advertising/Promo                                 ")</f>
        <v xml:space="preserve">     Advertising/Promo                                 </v>
      </c>
      <c r="C54" s="14"/>
      <c r="D54" s="1">
        <f>SUM(OSRRefD22_2x_0)</f>
        <v>-857.46</v>
      </c>
      <c r="E54" s="1"/>
      <c r="F54" s="5">
        <f t="shared" ref="F54:F62" si="31">IF(D$12=0,0,D54/D$12)</f>
        <v>-1.3053408514324938E-2</v>
      </c>
      <c r="G54" s="1"/>
      <c r="H54" s="1">
        <f>SUM(OSRRefH22_2x_0)</f>
        <v>13.5</v>
      </c>
      <c r="I54" s="1"/>
      <c r="J54" s="5">
        <f t="shared" ref="J54:J62" si="32">IF(H$12=0,0,H54/H$12)</f>
        <v>1.9647712154904307E-4</v>
      </c>
      <c r="K54" s="1"/>
      <c r="L54" s="1">
        <f t="shared" ref="L54:L62" si="33">+D54-H54</f>
        <v>-870.96</v>
      </c>
      <c r="M54" s="1"/>
      <c r="N54" s="5">
        <f t="shared" ref="N54:N62" si="34">IF(H54=0,0,L54/H54)</f>
        <v>-64.515555555555565</v>
      </c>
      <c r="O54" s="14"/>
      <c r="P54" s="1">
        <f>SUM(OSRRefP22_2x_0)</f>
        <v>-857.46</v>
      </c>
      <c r="Q54" s="1"/>
      <c r="R54" s="5">
        <f t="shared" ref="R54:R62" si="35">IF(P$12=0,0,P54/P$12)</f>
        <v>-4.9862692383021035E-3</v>
      </c>
      <c r="S54" s="1"/>
      <c r="T54" s="1">
        <f>SUM(OSRRefT22_2x_0)</f>
        <v>551.5</v>
      </c>
      <c r="U54" s="1"/>
      <c r="V54" s="5">
        <f t="shared" ref="V54:V62" si="36">IF(T$12=0,0,T54/T$12)</f>
        <v>3.0369399275660914E-3</v>
      </c>
      <c r="W54" s="1"/>
      <c r="X54" s="1">
        <f t="shared" ref="X54:X62" si="37">+P54-T54</f>
        <v>-1408.96</v>
      </c>
      <c r="Y54" s="1"/>
      <c r="Z54" s="5">
        <f t="shared" ref="Z54:Z62" si="38">IF(T54=0,0,X54/T54)</f>
        <v>-2.5547778785131459</v>
      </c>
    </row>
    <row r="55" spans="1:26" s="24" customFormat="1" hidden="1" outlineLevel="2" x14ac:dyDescent="0.25">
      <c r="A55" s="28"/>
      <c r="B55" s="11" t="str">
        <f>CONCATENATE("          ", "6362", " - ", "ADVERTISING EXPENSE")</f>
        <v xml:space="preserve">          6362 - ADVERTISING EXPENSE</v>
      </c>
      <c r="C55" s="11"/>
      <c r="D55" s="6">
        <v>-857.46</v>
      </c>
      <c r="E55" s="2"/>
      <c r="F55" s="7">
        <f t="shared" si="31"/>
        <v>-1.3053408514324938E-2</v>
      </c>
      <c r="G55" s="2"/>
      <c r="H55" s="6">
        <v>13.5</v>
      </c>
      <c r="I55" s="2"/>
      <c r="J55" s="7">
        <f t="shared" si="32"/>
        <v>1.9647712154904307E-4</v>
      </c>
      <c r="K55" s="2"/>
      <c r="L55" s="6">
        <f t="shared" si="33"/>
        <v>-870.96</v>
      </c>
      <c r="M55" s="2"/>
      <c r="N55" s="7">
        <f t="shared" si="34"/>
        <v>-64.515555555555565</v>
      </c>
      <c r="O55" s="11"/>
      <c r="P55" s="6">
        <v>-857.46</v>
      </c>
      <c r="Q55" s="2"/>
      <c r="R55" s="7">
        <f t="shared" si="35"/>
        <v>-4.9862692383021035E-3</v>
      </c>
      <c r="S55" s="2"/>
      <c r="T55" s="6">
        <v>551.5</v>
      </c>
      <c r="U55" s="2"/>
      <c r="V55" s="7">
        <f t="shared" si="36"/>
        <v>3.0369399275660914E-3</v>
      </c>
      <c r="W55" s="2"/>
      <c r="X55" s="6">
        <f t="shared" si="37"/>
        <v>-1408.96</v>
      </c>
      <c r="Y55" s="2"/>
      <c r="Z55" s="7">
        <f t="shared" si="38"/>
        <v>-2.5547778785131459</v>
      </c>
    </row>
    <row r="56" spans="1:26" s="29" customFormat="1" outlineLevel="1" collapsed="1" x14ac:dyDescent="0.25">
      <c r="A56" s="27"/>
      <c r="B56" s="14" t="str">
        <f>CONCATENATE("     ","Discounts and Markdowns                           ")</f>
        <v xml:space="preserve">     Discounts and Markdowns                           </v>
      </c>
      <c r="C56" s="14"/>
      <c r="D56" s="1">
        <f>SUM(OSRRefD22_3x_0)</f>
        <v>140.38999999999999</v>
      </c>
      <c r="E56" s="1"/>
      <c r="F56" s="5">
        <f t="shared" si="31"/>
        <v>2.1372052589346182E-3</v>
      </c>
      <c r="G56" s="1"/>
      <c r="H56" s="1">
        <f>SUM(OSRRefH22_3x_0)</f>
        <v>152.52000000000001</v>
      </c>
      <c r="I56" s="1"/>
      <c r="J56" s="5">
        <f t="shared" si="32"/>
        <v>2.2197548576785224E-3</v>
      </c>
      <c r="K56" s="1"/>
      <c r="L56" s="1">
        <f t="shared" si="33"/>
        <v>-12.130000000000024</v>
      </c>
      <c r="M56" s="1"/>
      <c r="N56" s="5">
        <f t="shared" si="34"/>
        <v>-7.9530553370049981E-2</v>
      </c>
      <c r="O56" s="14"/>
      <c r="P56" s="1">
        <f>SUM(OSRRefP22_3x_0)</f>
        <v>305.81</v>
      </c>
      <c r="Q56" s="1"/>
      <c r="R56" s="5">
        <f t="shared" si="35"/>
        <v>1.7783348445002288E-3</v>
      </c>
      <c r="S56" s="1"/>
      <c r="T56" s="1">
        <f>SUM(OSRRefT22_3x_0)</f>
        <v>494.58</v>
      </c>
      <c r="U56" s="1"/>
      <c r="V56" s="5">
        <f t="shared" si="36"/>
        <v>2.7234990922495694E-3</v>
      </c>
      <c r="W56" s="1"/>
      <c r="X56" s="1">
        <f t="shared" si="37"/>
        <v>-188.76999999999998</v>
      </c>
      <c r="Y56" s="1"/>
      <c r="Z56" s="5">
        <f t="shared" si="38"/>
        <v>-0.38167738282987584</v>
      </c>
    </row>
    <row r="57" spans="1:26" s="24" customFormat="1" hidden="1" outlineLevel="2" x14ac:dyDescent="0.25">
      <c r="A57" s="28"/>
      <c r="B57" s="11" t="str">
        <f>CONCATENATE("          ", "6382", " - ", "DISCOUNTS/MARK DOWNS")</f>
        <v xml:space="preserve">          6382 - DISCOUNTS/MARK DOWNS</v>
      </c>
      <c r="C57" s="11"/>
      <c r="D57" s="6">
        <v>140.38999999999999</v>
      </c>
      <c r="E57" s="2"/>
      <c r="F57" s="7">
        <f t="shared" si="31"/>
        <v>2.1372052589346182E-3</v>
      </c>
      <c r="G57" s="2"/>
      <c r="H57" s="6">
        <v>152.52000000000001</v>
      </c>
      <c r="I57" s="2"/>
      <c r="J57" s="7">
        <f t="shared" si="32"/>
        <v>2.2197548576785224E-3</v>
      </c>
      <c r="K57" s="2"/>
      <c r="L57" s="6">
        <f t="shared" si="33"/>
        <v>-12.130000000000024</v>
      </c>
      <c r="M57" s="2"/>
      <c r="N57" s="7">
        <f t="shared" si="34"/>
        <v>-7.9530553370049981E-2</v>
      </c>
      <c r="O57" s="11"/>
      <c r="P57" s="6">
        <v>305.81</v>
      </c>
      <c r="Q57" s="2"/>
      <c r="R57" s="7">
        <f t="shared" si="35"/>
        <v>1.7783348445002288E-3</v>
      </c>
      <c r="S57" s="2"/>
      <c r="T57" s="6">
        <v>494.58</v>
      </c>
      <c r="U57" s="2"/>
      <c r="V57" s="7">
        <f t="shared" si="36"/>
        <v>2.7234990922495694E-3</v>
      </c>
      <c r="W57" s="2"/>
      <c r="X57" s="6">
        <f t="shared" si="37"/>
        <v>-188.76999999999998</v>
      </c>
      <c r="Y57" s="2"/>
      <c r="Z57" s="7">
        <f t="shared" si="38"/>
        <v>-0.38167738282987584</v>
      </c>
    </row>
    <row r="58" spans="1:26" s="29" customFormat="1" outlineLevel="1" collapsed="1" x14ac:dyDescent="0.25">
      <c r="A58" s="27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SUM(OSRRefD22_4x_0)</f>
        <v>1205.6400000000001</v>
      </c>
      <c r="E58" s="1"/>
      <c r="F58" s="5">
        <f t="shared" si="31"/>
        <v>1.8353872415285515E-2</v>
      </c>
      <c r="G58" s="1"/>
      <c r="H58" s="1">
        <f>SUM(OSRRefH22_4x_0)</f>
        <v>3142.91</v>
      </c>
      <c r="I58" s="1"/>
      <c r="J58" s="5">
        <f t="shared" si="32"/>
        <v>4.5741474821311329E-2</v>
      </c>
      <c r="K58" s="1"/>
      <c r="L58" s="1">
        <f t="shared" si="33"/>
        <v>-1937.2699999999998</v>
      </c>
      <c r="M58" s="1"/>
      <c r="N58" s="5">
        <f t="shared" si="34"/>
        <v>-0.61639372428736416</v>
      </c>
      <c r="O58" s="14"/>
      <c r="P58" s="1">
        <f>SUM(OSRRefP22_4x_0)</f>
        <v>3616.92</v>
      </c>
      <c r="Q58" s="1"/>
      <c r="R58" s="5">
        <f t="shared" si="35"/>
        <v>2.1032977553937959E-2</v>
      </c>
      <c r="S58" s="1"/>
      <c r="T58" s="1">
        <f>SUM(OSRRefT22_4x_0)</f>
        <v>9430.01</v>
      </c>
      <c r="U58" s="1"/>
      <c r="V58" s="5">
        <f t="shared" si="36"/>
        <v>5.1928148479324601E-2</v>
      </c>
      <c r="W58" s="1"/>
      <c r="X58" s="1">
        <f t="shared" si="37"/>
        <v>-5813.09</v>
      </c>
      <c r="Y58" s="1"/>
      <c r="Z58" s="5">
        <f t="shared" si="38"/>
        <v>-0.61644579380085496</v>
      </c>
    </row>
    <row r="59" spans="1:26" s="24" customFormat="1" hidden="1" outlineLevel="2" x14ac:dyDescent="0.25">
      <c r="A59" s="28"/>
      <c r="B59" s="11" t="str">
        <f>CONCATENATE("          ", "6351", " - ", "EQUIPMENT RENTAL")</f>
        <v xml:space="preserve">          6351 - EQUIPMENT RENTAL</v>
      </c>
      <c r="C59" s="11"/>
      <c r="D59" s="6">
        <v>1205.6400000000001</v>
      </c>
      <c r="E59" s="2"/>
      <c r="F59" s="7">
        <f t="shared" si="31"/>
        <v>1.8353872415285515E-2</v>
      </c>
      <c r="G59" s="2"/>
      <c r="H59" s="6">
        <v>3142.91</v>
      </c>
      <c r="I59" s="2"/>
      <c r="J59" s="7">
        <f t="shared" si="32"/>
        <v>4.5741474821311329E-2</v>
      </c>
      <c r="K59" s="2"/>
      <c r="L59" s="6">
        <f t="shared" si="33"/>
        <v>-1937.2699999999998</v>
      </c>
      <c r="M59" s="2"/>
      <c r="N59" s="7">
        <f t="shared" si="34"/>
        <v>-0.61639372428736416</v>
      </c>
      <c r="O59" s="11"/>
      <c r="P59" s="6">
        <v>3616.92</v>
      </c>
      <c r="Q59" s="2"/>
      <c r="R59" s="7">
        <f t="shared" si="35"/>
        <v>2.1032977553937959E-2</v>
      </c>
      <c r="S59" s="2"/>
      <c r="T59" s="6">
        <v>9430.01</v>
      </c>
      <c r="U59" s="2"/>
      <c r="V59" s="7">
        <f t="shared" si="36"/>
        <v>5.1928148479324601E-2</v>
      </c>
      <c r="W59" s="2"/>
      <c r="X59" s="6">
        <f t="shared" si="37"/>
        <v>-5813.09</v>
      </c>
      <c r="Y59" s="2"/>
      <c r="Z59" s="7">
        <f t="shared" si="38"/>
        <v>-0.61644579380085496</v>
      </c>
    </row>
    <row r="60" spans="1:26" s="29" customFormat="1" outlineLevel="1" collapsed="1" x14ac:dyDescent="0.25">
      <c r="A60" s="27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SUM(OSRRefD22_5x_0)</f>
        <v>7286.9499999999989</v>
      </c>
      <c r="E60" s="1"/>
      <c r="F60" s="5">
        <f t="shared" si="31"/>
        <v>0.11093174628957628</v>
      </c>
      <c r="G60" s="1"/>
      <c r="H60" s="1">
        <f>SUM(OSRRefH22_5x_0)</f>
        <v>5830.5499999999993</v>
      </c>
      <c r="I60" s="1"/>
      <c r="J60" s="5">
        <f t="shared" si="32"/>
        <v>8.4857013410946147E-2</v>
      </c>
      <c r="K60" s="1"/>
      <c r="L60" s="1">
        <f t="shared" si="33"/>
        <v>1456.3999999999996</v>
      </c>
      <c r="M60" s="1"/>
      <c r="N60" s="5">
        <f t="shared" si="34"/>
        <v>0.24978775587208751</v>
      </c>
      <c r="O60" s="14"/>
      <c r="P60" s="1">
        <f>SUM(OSRRefP22_5x_0)</f>
        <v>-8513.2200000000012</v>
      </c>
      <c r="Q60" s="1"/>
      <c r="R60" s="5">
        <f t="shared" si="35"/>
        <v>-4.9505757708695725E-2</v>
      </c>
      <c r="S60" s="1"/>
      <c r="T60" s="1">
        <f>SUM(OSRRefT22_5x_0)</f>
        <v>-4006.4299999999985</v>
      </c>
      <c r="U60" s="1"/>
      <c r="V60" s="5">
        <f t="shared" si="36"/>
        <v>-2.2062170868537827E-2</v>
      </c>
      <c r="W60" s="1"/>
      <c r="X60" s="1">
        <f t="shared" si="37"/>
        <v>-4506.7900000000027</v>
      </c>
      <c r="Y60" s="1"/>
      <c r="Z60" s="5">
        <f t="shared" si="38"/>
        <v>1.1248892405458237</v>
      </c>
    </row>
    <row r="61" spans="1:26" s="24" customFormat="1" hidden="1" outlineLevel="2" x14ac:dyDescent="0.25">
      <c r="A61" s="28"/>
      <c r="B61" s="11" t="str">
        <f>CONCATENATE("          ", "6305", " - ", "FREIGHT OUT")</f>
        <v xml:space="preserve">          6305 - FREIGHT OUT</v>
      </c>
      <c r="C61" s="11"/>
      <c r="D61" s="6">
        <v>8515.89</v>
      </c>
      <c r="E61" s="2"/>
      <c r="F61" s="7">
        <f t="shared" si="31"/>
        <v>0.12964032261919456</v>
      </c>
      <c r="G61" s="2"/>
      <c r="H61" s="6">
        <v>10108.39</v>
      </c>
      <c r="I61" s="2"/>
      <c r="J61" s="7">
        <f t="shared" si="32"/>
        <v>0.14711610153297269</v>
      </c>
      <c r="K61" s="2"/>
      <c r="L61" s="6">
        <f t="shared" si="33"/>
        <v>-1592.5</v>
      </c>
      <c r="M61" s="2"/>
      <c r="N61" s="7">
        <f t="shared" si="34"/>
        <v>-0.15754239794863475</v>
      </c>
      <c r="O61" s="11"/>
      <c r="P61" s="6">
        <v>12129.32</v>
      </c>
      <c r="Q61" s="2"/>
      <c r="R61" s="7">
        <f t="shared" si="35"/>
        <v>7.0533966829382663E-2</v>
      </c>
      <c r="S61" s="2"/>
      <c r="T61" s="6">
        <v>14436.38</v>
      </c>
      <c r="U61" s="2"/>
      <c r="V61" s="7">
        <f t="shared" si="36"/>
        <v>7.9496679658234939E-2</v>
      </c>
      <c r="W61" s="2"/>
      <c r="X61" s="6">
        <f t="shared" si="37"/>
        <v>-2307.0599999999995</v>
      </c>
      <c r="Y61" s="2"/>
      <c r="Z61" s="7">
        <f t="shared" si="38"/>
        <v>-0.1598087609220594</v>
      </c>
    </row>
    <row r="62" spans="1:26" s="24" customFormat="1" hidden="1" outlineLevel="2" x14ac:dyDescent="0.25">
      <c r="A62" s="28"/>
      <c r="B62" s="11" t="str">
        <f>CONCATENATE("          ", "6307", " - ", "POSTAGE")</f>
        <v xml:space="preserve">          6307 - POSTAGE</v>
      </c>
      <c r="C62" s="11"/>
      <c r="D62" s="6">
        <v>-1228.94</v>
      </c>
      <c r="E62" s="2"/>
      <c r="F62" s="7">
        <f t="shared" si="31"/>
        <v>-1.8708576329618278E-2</v>
      </c>
      <c r="G62" s="2"/>
      <c r="H62" s="6">
        <v>-4277.84</v>
      </c>
      <c r="I62" s="2"/>
      <c r="J62" s="7">
        <f t="shared" si="32"/>
        <v>-6.2259088122026553E-2</v>
      </c>
      <c r="K62" s="2"/>
      <c r="L62" s="6">
        <f t="shared" si="33"/>
        <v>3048.9</v>
      </c>
      <c r="M62" s="2"/>
      <c r="N62" s="7">
        <f t="shared" si="34"/>
        <v>-0.71271950330073119</v>
      </c>
      <c r="O62" s="11"/>
      <c r="P62" s="6">
        <v>-20642.54</v>
      </c>
      <c r="Q62" s="2"/>
      <c r="R62" s="7">
        <f t="shared" si="35"/>
        <v>-0.12003972453807839</v>
      </c>
      <c r="S62" s="2"/>
      <c r="T62" s="6">
        <v>-18442.809999999998</v>
      </c>
      <c r="U62" s="2"/>
      <c r="V62" s="7">
        <f t="shared" si="36"/>
        <v>-0.10155885052677277</v>
      </c>
      <c r="W62" s="2"/>
      <c r="X62" s="6">
        <f t="shared" si="37"/>
        <v>-2199.7300000000032</v>
      </c>
      <c r="Y62" s="2"/>
      <c r="Z62" s="7">
        <f t="shared" si="38"/>
        <v>0.11927303919522043</v>
      </c>
    </row>
    <row r="63" spans="1:26" s="29" customFormat="1" outlineLevel="1" collapsed="1" x14ac:dyDescent="0.25">
      <c r="A63" s="27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SUM(OSRRefD22_6x_0)</f>
        <v>80.17</v>
      </c>
      <c r="E63" s="1"/>
      <c r="F63" s="5">
        <f t="shared" ref="F63:F76" si="39">IF(D$12=0,0,D63/D$12)</f>
        <v>1.2204554854960349E-3</v>
      </c>
      <c r="G63" s="1"/>
      <c r="H63" s="1">
        <f>SUM(OSRRefH22_6x_0)</f>
        <v>83.47</v>
      </c>
      <c r="I63" s="1"/>
      <c r="J63" s="5">
        <f t="shared" ref="J63:J76" si="40">IF(H$12=0,0,H63/H$12)</f>
        <v>1.2148107656073056E-3</v>
      </c>
      <c r="K63" s="1"/>
      <c r="L63" s="1">
        <f t="shared" ref="L63:L76" si="41">+D63-H63</f>
        <v>-3.2999999999999972</v>
      </c>
      <c r="M63" s="1"/>
      <c r="N63" s="5">
        <f t="shared" ref="N63:N76" si="42">IF(H63=0,0,L63/H63)</f>
        <v>-3.9535162333772578E-2</v>
      </c>
      <c r="O63" s="14"/>
      <c r="P63" s="1">
        <f>SUM(OSRRefP22_6x_0)</f>
        <v>80.17</v>
      </c>
      <c r="Q63" s="1"/>
      <c r="R63" s="5">
        <f t="shared" ref="R63:R76" si="43">IF(P$12=0,0,P63/P$12)</f>
        <v>4.6620157772336857E-4</v>
      </c>
      <c r="S63" s="1"/>
      <c r="T63" s="1">
        <f>SUM(OSRRefT22_6x_0)</f>
        <v>83.47</v>
      </c>
      <c r="U63" s="1"/>
      <c r="V63" s="5">
        <f t="shared" ref="V63:V76" si="44">IF(T$12=0,0,T63/T$12)</f>
        <v>4.5964347371521606E-4</v>
      </c>
      <c r="W63" s="1"/>
      <c r="X63" s="1">
        <f t="shared" ref="X63:X76" si="45">+P63-T63</f>
        <v>-3.2999999999999972</v>
      </c>
      <c r="Y63" s="1"/>
      <c r="Z63" s="5">
        <f t="shared" ref="Z63:Z76" si="46">IF(T63=0,0,X63/T63)</f>
        <v>-3.9535162333772578E-2</v>
      </c>
    </row>
    <row r="64" spans="1:26" s="24" customFormat="1" hidden="1" outlineLevel="2" x14ac:dyDescent="0.25">
      <c r="A64" s="28"/>
      <c r="B64" s="11" t="str">
        <f>CONCATENATE("          ", "6279", " - ", "GENERAL EXPENSE")</f>
        <v xml:space="preserve">          6279 - GENERAL EXPENSE</v>
      </c>
      <c r="C64" s="11"/>
      <c r="D64" s="6">
        <v>80.17</v>
      </c>
      <c r="E64" s="2"/>
      <c r="F64" s="7">
        <f t="shared" si="39"/>
        <v>1.2204554854960349E-3</v>
      </c>
      <c r="G64" s="2"/>
      <c r="H64" s="6">
        <v>83.47</v>
      </c>
      <c r="I64" s="2"/>
      <c r="J64" s="7">
        <f t="shared" si="40"/>
        <v>1.2148107656073056E-3</v>
      </c>
      <c r="K64" s="2"/>
      <c r="L64" s="6">
        <f t="shared" si="41"/>
        <v>-3.2999999999999972</v>
      </c>
      <c r="M64" s="2"/>
      <c r="N64" s="7">
        <f t="shared" si="42"/>
        <v>-3.9535162333772578E-2</v>
      </c>
      <c r="O64" s="11"/>
      <c r="P64" s="6">
        <v>80.17</v>
      </c>
      <c r="Q64" s="2"/>
      <c r="R64" s="7">
        <f t="shared" si="43"/>
        <v>4.6620157772336857E-4</v>
      </c>
      <c r="S64" s="2"/>
      <c r="T64" s="6">
        <v>83.47</v>
      </c>
      <c r="U64" s="2"/>
      <c r="V64" s="7">
        <f t="shared" si="44"/>
        <v>4.5964347371521606E-4</v>
      </c>
      <c r="W64" s="2"/>
      <c r="X64" s="6">
        <f t="shared" si="45"/>
        <v>-3.2999999999999972</v>
      </c>
      <c r="Y64" s="2"/>
      <c r="Z64" s="7">
        <f t="shared" si="46"/>
        <v>-3.9535162333772578E-2</v>
      </c>
    </row>
    <row r="65" spans="1:26" s="29" customFormat="1" outlineLevel="1" collapsed="1" x14ac:dyDescent="0.25">
      <c r="A65" s="27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SUM(OSRRefD22_7x_0)</f>
        <v>100</v>
      </c>
      <c r="E65" s="1"/>
      <c r="F65" s="5">
        <f t="shared" si="39"/>
        <v>1.5223343962779531E-3</v>
      </c>
      <c r="G65" s="1"/>
      <c r="H65" s="1">
        <f>SUM(OSRRefH22_7x_0)</f>
        <v>100</v>
      </c>
      <c r="I65" s="1"/>
      <c r="J65" s="5">
        <f t="shared" si="40"/>
        <v>1.4553860855484671E-3</v>
      </c>
      <c r="K65" s="1"/>
      <c r="L65" s="1">
        <f t="shared" si="41"/>
        <v>0</v>
      </c>
      <c r="M65" s="1"/>
      <c r="N65" s="5">
        <f t="shared" si="42"/>
        <v>0</v>
      </c>
      <c r="O65" s="14"/>
      <c r="P65" s="1">
        <f>SUM(OSRRefP22_7x_0)</f>
        <v>200</v>
      </c>
      <c r="Q65" s="1"/>
      <c r="R65" s="5">
        <f t="shared" si="43"/>
        <v>1.1630325002453998E-3</v>
      </c>
      <c r="S65" s="1"/>
      <c r="T65" s="1">
        <f>SUM(OSRRefT22_7x_0)</f>
        <v>300</v>
      </c>
      <c r="U65" s="1"/>
      <c r="V65" s="5">
        <f t="shared" si="44"/>
        <v>1.6520072135445647E-3</v>
      </c>
      <c r="W65" s="1"/>
      <c r="X65" s="1">
        <f t="shared" si="45"/>
        <v>-100</v>
      </c>
      <c r="Y65" s="1"/>
      <c r="Z65" s="5">
        <f t="shared" si="46"/>
        <v>-0.33333333333333331</v>
      </c>
    </row>
    <row r="66" spans="1:26" s="24" customFormat="1" hidden="1" outlineLevel="2" x14ac:dyDescent="0.25">
      <c r="A66" s="28"/>
      <c r="B66" s="11" t="str">
        <f>CONCATENATE("          ", "6408", " - ", "INVENTORY ADJUSTMENT")</f>
        <v xml:space="preserve">          6408 - INVENTORY ADJUSTMENT</v>
      </c>
      <c r="C66" s="11"/>
      <c r="D66" s="6">
        <v>100</v>
      </c>
      <c r="E66" s="2"/>
      <c r="F66" s="7">
        <f t="shared" si="39"/>
        <v>1.5223343962779531E-3</v>
      </c>
      <c r="G66" s="2"/>
      <c r="H66" s="6">
        <v>100</v>
      </c>
      <c r="I66" s="2"/>
      <c r="J66" s="7">
        <f t="shared" si="40"/>
        <v>1.4553860855484671E-3</v>
      </c>
      <c r="K66" s="2"/>
      <c r="L66" s="6">
        <f t="shared" si="41"/>
        <v>0</v>
      </c>
      <c r="M66" s="2"/>
      <c r="N66" s="7">
        <f t="shared" si="42"/>
        <v>0</v>
      </c>
      <c r="O66" s="11"/>
      <c r="P66" s="6">
        <v>200</v>
      </c>
      <c r="Q66" s="2"/>
      <c r="R66" s="7">
        <f t="shared" si="43"/>
        <v>1.1630325002453998E-3</v>
      </c>
      <c r="S66" s="2"/>
      <c r="T66" s="6">
        <v>300</v>
      </c>
      <c r="U66" s="2"/>
      <c r="V66" s="7">
        <f t="shared" si="44"/>
        <v>1.6520072135445647E-3</v>
      </c>
      <c r="W66" s="2"/>
      <c r="X66" s="6">
        <f t="shared" si="45"/>
        <v>-100</v>
      </c>
      <c r="Y66" s="2"/>
      <c r="Z66" s="7">
        <f t="shared" si="46"/>
        <v>-0.33333333333333331</v>
      </c>
    </row>
    <row r="67" spans="1:26" s="29" customFormat="1" outlineLevel="1" collapsed="1" x14ac:dyDescent="0.25">
      <c r="A67" s="27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SUM(OSRRefD22_8x_0)</f>
        <v>6637.41</v>
      </c>
      <c r="E67" s="1"/>
      <c r="F67" s="5">
        <f t="shared" si="39"/>
        <v>0.10104357545199248</v>
      </c>
      <c r="G67" s="1"/>
      <c r="H67" s="1">
        <f>SUM(OSRRefH22_8x_0)</f>
        <v>2347.71</v>
      </c>
      <c r="I67" s="1"/>
      <c r="J67" s="5">
        <f t="shared" si="40"/>
        <v>3.4168244669029922E-2</v>
      </c>
      <c r="K67" s="1"/>
      <c r="L67" s="1">
        <f t="shared" si="41"/>
        <v>4289.7</v>
      </c>
      <c r="M67" s="1"/>
      <c r="N67" s="5">
        <f t="shared" si="42"/>
        <v>1.8271847885812131</v>
      </c>
      <c r="O67" s="14"/>
      <c r="P67" s="1">
        <f>SUM(OSRRefP22_8x_0)</f>
        <v>18447.43</v>
      </c>
      <c r="Q67" s="1"/>
      <c r="R67" s="5">
        <f t="shared" si="43"/>
        <v>0.10727480318000999</v>
      </c>
      <c r="S67" s="1"/>
      <c r="T67" s="1">
        <f>SUM(OSRRefT22_8x_0)</f>
        <v>20254.740000000002</v>
      </c>
      <c r="U67" s="1"/>
      <c r="V67" s="5">
        <f t="shared" si="44"/>
        <v>0.11153658862823213</v>
      </c>
      <c r="W67" s="1"/>
      <c r="X67" s="1">
        <f t="shared" si="45"/>
        <v>-1807.3100000000013</v>
      </c>
      <c r="Y67" s="1"/>
      <c r="Z67" s="5">
        <f t="shared" si="46"/>
        <v>-8.9228990349913218E-2</v>
      </c>
    </row>
    <row r="68" spans="1:26" s="24" customFormat="1" hidden="1" outlineLevel="2" x14ac:dyDescent="0.25">
      <c r="A68" s="28"/>
      <c r="B68" s="11" t="str">
        <f>CONCATENATE("          ", "6373", " - ", "MAINTENANCE CONTRACTS")</f>
        <v xml:space="preserve">          6373 - MAINTENANCE CONTRACTS</v>
      </c>
      <c r="C68" s="11"/>
      <c r="D68" s="6">
        <v>6637.41</v>
      </c>
      <c r="E68" s="2"/>
      <c r="F68" s="7">
        <f t="shared" si="39"/>
        <v>0.10104357545199248</v>
      </c>
      <c r="G68" s="2"/>
      <c r="H68" s="6">
        <v>2347.71</v>
      </c>
      <c r="I68" s="2"/>
      <c r="J68" s="7">
        <f t="shared" si="40"/>
        <v>3.4168244669029922E-2</v>
      </c>
      <c r="K68" s="2"/>
      <c r="L68" s="6">
        <f t="shared" si="41"/>
        <v>4289.7</v>
      </c>
      <c r="M68" s="2"/>
      <c r="N68" s="7">
        <f t="shared" si="42"/>
        <v>1.8271847885812131</v>
      </c>
      <c r="O68" s="11"/>
      <c r="P68" s="6">
        <v>18447.43</v>
      </c>
      <c r="Q68" s="2"/>
      <c r="R68" s="7">
        <f t="shared" si="43"/>
        <v>0.10727480318000999</v>
      </c>
      <c r="S68" s="2"/>
      <c r="T68" s="6">
        <v>20254.740000000002</v>
      </c>
      <c r="U68" s="2"/>
      <c r="V68" s="7">
        <f t="shared" si="44"/>
        <v>0.11153658862823213</v>
      </c>
      <c r="W68" s="2"/>
      <c r="X68" s="6">
        <f t="shared" si="45"/>
        <v>-1807.3100000000013</v>
      </c>
      <c r="Y68" s="2"/>
      <c r="Z68" s="7">
        <f t="shared" si="46"/>
        <v>-8.9228990349913218E-2</v>
      </c>
    </row>
    <row r="69" spans="1:26" s="29" customFormat="1" outlineLevel="1" collapsed="1" x14ac:dyDescent="0.25">
      <c r="A69" s="27"/>
      <c r="B69" s="14" t="str">
        <f>CONCATENATE("     ","Royalty &amp; Commissions                             ")</f>
        <v xml:space="preserve">     Royalty &amp; Commissions                             </v>
      </c>
      <c r="C69" s="14"/>
      <c r="D69" s="1">
        <f>SUM(OSRRefD22_9x_0)</f>
        <v>10215.44</v>
      </c>
      <c r="E69" s="1"/>
      <c r="F69" s="5">
        <f t="shared" si="39"/>
        <v>0.15551315685113654</v>
      </c>
      <c r="G69" s="1"/>
      <c r="H69" s="1">
        <f>SUM(OSRRefH22_9x_0)</f>
        <v>9974.27</v>
      </c>
      <c r="I69" s="1"/>
      <c r="J69" s="5">
        <f t="shared" si="40"/>
        <v>0.14516413771503511</v>
      </c>
      <c r="K69" s="1"/>
      <c r="L69" s="1">
        <f t="shared" si="41"/>
        <v>241.17000000000007</v>
      </c>
      <c r="M69" s="1"/>
      <c r="N69" s="5">
        <f t="shared" si="42"/>
        <v>2.417921311534579E-2</v>
      </c>
      <c r="O69" s="14"/>
      <c r="P69" s="1">
        <f>SUM(OSRRefP22_9x_0)</f>
        <v>14469.62</v>
      </c>
      <c r="Q69" s="1"/>
      <c r="R69" s="5">
        <f t="shared" si="43"/>
        <v>8.4143191631004227E-2</v>
      </c>
      <c r="S69" s="1"/>
      <c r="T69" s="1">
        <f>SUM(OSRRefT22_9x_0)</f>
        <v>14371.35</v>
      </c>
      <c r="U69" s="1"/>
      <c r="V69" s="5">
        <f t="shared" si="44"/>
        <v>7.9138579561245606E-2</v>
      </c>
      <c r="W69" s="1"/>
      <c r="X69" s="1">
        <f t="shared" si="45"/>
        <v>98.270000000000437</v>
      </c>
      <c r="Y69" s="1"/>
      <c r="Z69" s="5">
        <f t="shared" si="46"/>
        <v>6.8379101476201219E-3</v>
      </c>
    </row>
    <row r="70" spans="1:26" s="24" customFormat="1" hidden="1" outlineLevel="2" x14ac:dyDescent="0.25">
      <c r="A70" s="28"/>
      <c r="B70" s="11" t="str">
        <f>CONCATENATE("          ", "6259", " - ", "ROYALTY &amp; COMMISSIONS")</f>
        <v xml:space="preserve">          6259 - ROYALTY &amp; COMMISSIONS</v>
      </c>
      <c r="C70" s="11"/>
      <c r="D70" s="6">
        <v>10215.44</v>
      </c>
      <c r="E70" s="2"/>
      <c r="F70" s="7">
        <f t="shared" si="39"/>
        <v>0.15551315685113654</v>
      </c>
      <c r="G70" s="2"/>
      <c r="H70" s="6">
        <v>9974.27</v>
      </c>
      <c r="I70" s="2"/>
      <c r="J70" s="7">
        <f t="shared" si="40"/>
        <v>0.14516413771503511</v>
      </c>
      <c r="K70" s="2"/>
      <c r="L70" s="6">
        <f t="shared" si="41"/>
        <v>241.17000000000007</v>
      </c>
      <c r="M70" s="2"/>
      <c r="N70" s="7">
        <f t="shared" si="42"/>
        <v>2.417921311534579E-2</v>
      </c>
      <c r="O70" s="11"/>
      <c r="P70" s="6">
        <v>14469.62</v>
      </c>
      <c r="Q70" s="2"/>
      <c r="R70" s="7">
        <f t="shared" si="43"/>
        <v>8.4143191631004227E-2</v>
      </c>
      <c r="S70" s="2"/>
      <c r="T70" s="6">
        <v>14371.35</v>
      </c>
      <c r="U70" s="2"/>
      <c r="V70" s="7">
        <f t="shared" si="44"/>
        <v>7.9138579561245606E-2</v>
      </c>
      <c r="W70" s="2"/>
      <c r="X70" s="6">
        <f t="shared" si="45"/>
        <v>98.270000000000437</v>
      </c>
      <c r="Y70" s="2"/>
      <c r="Z70" s="7">
        <f t="shared" si="46"/>
        <v>6.8379101476201219E-3</v>
      </c>
    </row>
    <row r="71" spans="1:26" s="29" customFormat="1" outlineLevel="1" collapsed="1" x14ac:dyDescent="0.25">
      <c r="A71" s="27"/>
      <c r="B71" s="14" t="str">
        <f>CONCATENATE("     ","Supplies                                          ")</f>
        <v xml:space="preserve">     Supplies                                          </v>
      </c>
      <c r="C71" s="14"/>
      <c r="D71" s="1">
        <f>SUM(OSRRefD22_10x_0)</f>
        <v>7168.18</v>
      </c>
      <c r="E71" s="1"/>
      <c r="F71" s="5">
        <f t="shared" si="39"/>
        <v>0.10912366972711698</v>
      </c>
      <c r="G71" s="1"/>
      <c r="H71" s="1">
        <f>SUM(OSRRefH22_10x_0)</f>
        <v>13354.890000000001</v>
      </c>
      <c r="I71" s="1"/>
      <c r="J71" s="5">
        <f t="shared" si="40"/>
        <v>0.19436521080030369</v>
      </c>
      <c r="K71" s="1"/>
      <c r="L71" s="1">
        <f t="shared" si="41"/>
        <v>-6186.7100000000009</v>
      </c>
      <c r="M71" s="1"/>
      <c r="N71" s="5">
        <f t="shared" si="42"/>
        <v>-0.46325428363693</v>
      </c>
      <c r="O71" s="14"/>
      <c r="P71" s="1">
        <f>SUM(OSRRefP22_10x_0)</f>
        <v>14461.77</v>
      </c>
      <c r="Q71" s="1"/>
      <c r="R71" s="5">
        <f t="shared" si="43"/>
        <v>8.4097542605369585E-2</v>
      </c>
      <c r="S71" s="1"/>
      <c r="T71" s="1">
        <f>SUM(OSRRefT22_10x_0)</f>
        <v>18508.03</v>
      </c>
      <c r="U71" s="1"/>
      <c r="V71" s="5">
        <f t="shared" si="44"/>
        <v>0.10191799689499736</v>
      </c>
      <c r="W71" s="1"/>
      <c r="X71" s="1">
        <f t="shared" si="45"/>
        <v>-4046.2599999999984</v>
      </c>
      <c r="Y71" s="1"/>
      <c r="Z71" s="5">
        <f t="shared" si="46"/>
        <v>-0.21862186305079465</v>
      </c>
    </row>
    <row r="72" spans="1:26" s="24" customFormat="1" hidden="1" outlineLevel="2" x14ac:dyDescent="0.25">
      <c r="A72" s="28"/>
      <c r="B72" s="11" t="str">
        <f>CONCATENATE("          ", "6234", " - ", "EXPENDABLE SUPPLIES &amp; EQUIPMEN")</f>
        <v xml:space="preserve">          6234 - EXPENDABLE SUPPLIES &amp; EQUIPMEN</v>
      </c>
      <c r="C72" s="11"/>
      <c r="D72" s="6"/>
      <c r="E72" s="2"/>
      <c r="F72" s="7">
        <f t="shared" si="39"/>
        <v>0</v>
      </c>
      <c r="G72" s="2"/>
      <c r="H72" s="6"/>
      <c r="I72" s="2"/>
      <c r="J72" s="7">
        <f t="shared" si="40"/>
        <v>0</v>
      </c>
      <c r="K72" s="2"/>
      <c r="L72" s="6">
        <f t="shared" si="41"/>
        <v>0</v>
      </c>
      <c r="M72" s="2"/>
      <c r="N72" s="7">
        <f t="shared" si="42"/>
        <v>0</v>
      </c>
      <c r="O72" s="11"/>
      <c r="P72" s="6">
        <v>1017.27</v>
      </c>
      <c r="Q72" s="2"/>
      <c r="R72" s="7">
        <f t="shared" si="43"/>
        <v>5.9155903576231898E-3</v>
      </c>
      <c r="S72" s="2"/>
      <c r="T72" s="6">
        <v>856.68</v>
      </c>
      <c r="U72" s="2"/>
      <c r="V72" s="7">
        <f t="shared" si="44"/>
        <v>4.7174717989978583E-3</v>
      </c>
      <c r="W72" s="2"/>
      <c r="X72" s="6">
        <f t="shared" si="45"/>
        <v>160.59000000000003</v>
      </c>
      <c r="Y72" s="2"/>
      <c r="Z72" s="7">
        <f t="shared" si="46"/>
        <v>0.18745622636223566</v>
      </c>
    </row>
    <row r="73" spans="1:26" s="24" customFormat="1" hidden="1" outlineLevel="2" x14ac:dyDescent="0.25">
      <c r="A73" s="28"/>
      <c r="B73" s="11" t="str">
        <f>CONCATENATE("          ", "6241", " - ", "OFFICE EXPENSE")</f>
        <v xml:space="preserve">          6241 - OFFICE EXPENSE</v>
      </c>
      <c r="C73" s="11"/>
      <c r="D73" s="6">
        <v>87.41</v>
      </c>
      <c r="E73" s="2"/>
      <c r="F73" s="7">
        <f t="shared" si="39"/>
        <v>1.3306724957865587E-3</v>
      </c>
      <c r="G73" s="2"/>
      <c r="H73" s="6"/>
      <c r="I73" s="2"/>
      <c r="J73" s="7">
        <f t="shared" si="40"/>
        <v>0</v>
      </c>
      <c r="K73" s="2"/>
      <c r="L73" s="6">
        <f t="shared" si="41"/>
        <v>87.41</v>
      </c>
      <c r="M73" s="2"/>
      <c r="N73" s="7">
        <f t="shared" si="42"/>
        <v>0</v>
      </c>
      <c r="O73" s="11"/>
      <c r="P73" s="6">
        <v>115.02</v>
      </c>
      <c r="Q73" s="2"/>
      <c r="R73" s="7">
        <f t="shared" si="43"/>
        <v>6.6885999089112951E-4</v>
      </c>
      <c r="S73" s="2"/>
      <c r="T73" s="6">
        <v>1.59</v>
      </c>
      <c r="U73" s="2"/>
      <c r="V73" s="7">
        <f t="shared" si="44"/>
        <v>8.7556382317861939E-6</v>
      </c>
      <c r="W73" s="2"/>
      <c r="X73" s="6">
        <f t="shared" si="45"/>
        <v>113.42999999999999</v>
      </c>
      <c r="Y73" s="2"/>
      <c r="Z73" s="7">
        <f t="shared" si="46"/>
        <v>71.339622641509422</v>
      </c>
    </row>
    <row r="74" spans="1:26" s="24" customFormat="1" hidden="1" outlineLevel="2" x14ac:dyDescent="0.25">
      <c r="A74" s="28"/>
      <c r="B74" s="11" t="str">
        <f>CONCATENATE("          ", "6243", " - ", "PAPER SUPPLIES")</f>
        <v xml:space="preserve">          6243 - PAPER SUPPLIES</v>
      </c>
      <c r="C74" s="11"/>
      <c r="D74" s="6">
        <v>318.66000000000003</v>
      </c>
      <c r="E74" s="2"/>
      <c r="F74" s="7">
        <f t="shared" si="39"/>
        <v>4.8510707871793259E-3</v>
      </c>
      <c r="G74" s="2"/>
      <c r="H74" s="6">
        <v>6071.85</v>
      </c>
      <c r="I74" s="2"/>
      <c r="J74" s="7">
        <f t="shared" si="40"/>
        <v>8.8368860035374613E-2</v>
      </c>
      <c r="K74" s="2"/>
      <c r="L74" s="6">
        <f t="shared" si="41"/>
        <v>-5753.1900000000005</v>
      </c>
      <c r="M74" s="2"/>
      <c r="N74" s="7">
        <f t="shared" si="42"/>
        <v>-0.94751846636527581</v>
      </c>
      <c r="O74" s="11"/>
      <c r="P74" s="6">
        <v>2976.95</v>
      </c>
      <c r="Q74" s="2"/>
      <c r="R74" s="7">
        <f t="shared" si="43"/>
        <v>1.7311448008027714E-2</v>
      </c>
      <c r="S74" s="2"/>
      <c r="T74" s="6">
        <v>8354.14</v>
      </c>
      <c r="U74" s="2"/>
      <c r="V74" s="7">
        <f t="shared" si="44"/>
        <v>4.6003665143203962E-2</v>
      </c>
      <c r="W74" s="2"/>
      <c r="X74" s="6">
        <f t="shared" si="45"/>
        <v>-5377.19</v>
      </c>
      <c r="Y74" s="2"/>
      <c r="Z74" s="7">
        <f t="shared" si="46"/>
        <v>-0.643655720397312</v>
      </c>
    </row>
    <row r="75" spans="1:26" s="24" customFormat="1" hidden="1" outlineLevel="2" x14ac:dyDescent="0.25">
      <c r="A75" s="28"/>
      <c r="B75" s="11" t="str">
        <f>CONCATENATE("          ", "6245", " - ", "PRINTING")</f>
        <v xml:space="preserve">          6245 - PRINTING</v>
      </c>
      <c r="C75" s="11"/>
      <c r="D75" s="6">
        <v>254.9</v>
      </c>
      <c r="E75" s="2"/>
      <c r="F75" s="7">
        <f t="shared" si="39"/>
        <v>3.8804303761125025E-3</v>
      </c>
      <c r="G75" s="2"/>
      <c r="H75" s="6">
        <v>3810.55</v>
      </c>
      <c r="I75" s="2"/>
      <c r="J75" s="7">
        <f t="shared" si="40"/>
        <v>5.545821448286712E-2</v>
      </c>
      <c r="K75" s="2"/>
      <c r="L75" s="6">
        <f t="shared" si="41"/>
        <v>-3555.65</v>
      </c>
      <c r="M75" s="2"/>
      <c r="N75" s="7">
        <f t="shared" si="42"/>
        <v>-0.9331067693640025</v>
      </c>
      <c r="O75" s="11"/>
      <c r="P75" s="6">
        <v>242.2</v>
      </c>
      <c r="Q75" s="2"/>
      <c r="R75" s="7">
        <f t="shared" si="43"/>
        <v>1.4084323577971793E-3</v>
      </c>
      <c r="S75" s="2"/>
      <c r="T75" s="6">
        <v>3821.24</v>
      </c>
      <c r="U75" s="2"/>
      <c r="V75" s="7">
        <f t="shared" si="44"/>
        <v>2.1042386815616772E-2</v>
      </c>
      <c r="W75" s="2"/>
      <c r="X75" s="6">
        <f t="shared" si="45"/>
        <v>-3579.04</v>
      </c>
      <c r="Y75" s="2"/>
      <c r="Z75" s="7">
        <f t="shared" si="46"/>
        <v>-0.93661743308454848</v>
      </c>
    </row>
    <row r="76" spans="1:26" s="24" customFormat="1" hidden="1" outlineLevel="2" x14ac:dyDescent="0.25">
      <c r="A76" s="28"/>
      <c r="B76" s="11" t="str">
        <f>CONCATENATE("          ", "6247", " - ", "STORE SUPPLIES")</f>
        <v xml:space="preserve">          6247 - STORE SUPPLIES</v>
      </c>
      <c r="C76" s="11"/>
      <c r="D76" s="6">
        <v>6507.21</v>
      </c>
      <c r="E76" s="2"/>
      <c r="F76" s="7">
        <f t="shared" si="39"/>
        <v>9.9061496068038588E-2</v>
      </c>
      <c r="G76" s="2"/>
      <c r="H76" s="6">
        <v>3472.49</v>
      </c>
      <c r="I76" s="2"/>
      <c r="J76" s="7">
        <f t="shared" si="40"/>
        <v>5.0538136282061961E-2</v>
      </c>
      <c r="K76" s="2"/>
      <c r="L76" s="6">
        <f t="shared" si="41"/>
        <v>3034.7200000000003</v>
      </c>
      <c r="M76" s="2"/>
      <c r="N76" s="7">
        <f t="shared" si="42"/>
        <v>0.87393196236706239</v>
      </c>
      <c r="O76" s="11"/>
      <c r="P76" s="6">
        <v>10110.33</v>
      </c>
      <c r="Q76" s="2"/>
      <c r="R76" s="7">
        <f t="shared" si="43"/>
        <v>5.8793211891030372E-2</v>
      </c>
      <c r="S76" s="2"/>
      <c r="T76" s="6">
        <v>5474.38</v>
      </c>
      <c r="U76" s="2"/>
      <c r="V76" s="7">
        <f t="shared" si="44"/>
        <v>3.014571749894698E-2</v>
      </c>
      <c r="W76" s="2"/>
      <c r="X76" s="6">
        <f t="shared" si="45"/>
        <v>4635.95</v>
      </c>
      <c r="Y76" s="2"/>
      <c r="Z76" s="7">
        <f t="shared" si="46"/>
        <v>0.84684475684917737</v>
      </c>
    </row>
    <row r="77" spans="1:26" s="29" customFormat="1" outlineLevel="1" collapsed="1" x14ac:dyDescent="0.25">
      <c r="A77" s="27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SUM(OSRRefD22_11x_0)</f>
        <v>250</v>
      </c>
      <c r="E77" s="1"/>
      <c r="F77" s="5">
        <f t="shared" ref="F77:F80" si="47">IF(D$12=0,0,D77/D$12)</f>
        <v>3.8058359906948825E-3</v>
      </c>
      <c r="G77" s="1"/>
      <c r="H77" s="1">
        <f>SUM(OSRRefH22_11x_0)</f>
        <v>225</v>
      </c>
      <c r="I77" s="1"/>
      <c r="J77" s="5">
        <f t="shared" ref="J77:J80" si="48">IF(H$12=0,0,H77/H$12)</f>
        <v>3.274618692484051E-3</v>
      </c>
      <c r="K77" s="1"/>
      <c r="L77" s="1">
        <f t="shared" ref="L77:L80" si="49">+D77-H77</f>
        <v>25</v>
      </c>
      <c r="M77" s="1"/>
      <c r="N77" s="5">
        <f t="shared" ref="N77:N80" si="50">IF(H77=0,0,L77/H77)</f>
        <v>0.1111111111111111</v>
      </c>
      <c r="O77" s="14"/>
      <c r="P77" s="1">
        <f>SUM(OSRRefP22_11x_0)</f>
        <v>642.04999999999995</v>
      </c>
      <c r="Q77" s="1"/>
      <c r="R77" s="5">
        <f t="shared" ref="R77:R80" si="51">IF(P$12=0,0,P77/P$12)</f>
        <v>3.7336250839127946E-3</v>
      </c>
      <c r="S77" s="1"/>
      <c r="T77" s="1">
        <f>SUM(OSRRefT22_11x_0)</f>
        <v>930.45</v>
      </c>
      <c r="U77" s="1"/>
      <c r="V77" s="5">
        <f t="shared" ref="V77:V80" si="52">IF(T$12=0,0,T77/T$12)</f>
        <v>5.1237003728084674E-3</v>
      </c>
      <c r="W77" s="1"/>
      <c r="X77" s="1">
        <f t="shared" ref="X77:X80" si="53">+P77-T77</f>
        <v>-288.40000000000009</v>
      </c>
      <c r="Y77" s="1"/>
      <c r="Z77" s="5">
        <f t="shared" ref="Z77:Z80" si="54">IF(T77=0,0,X77/T77)</f>
        <v>-0.3099575474232899</v>
      </c>
    </row>
    <row r="78" spans="1:26" s="24" customFormat="1" hidden="1" outlineLevel="2" x14ac:dyDescent="0.25">
      <c r="A78" s="28"/>
      <c r="B78" s="11" t="str">
        <f>CONCATENATE("          ", "6309", " - ", "TELEPHONE")</f>
        <v xml:space="preserve">          6309 - TELEPHONE</v>
      </c>
      <c r="C78" s="11"/>
      <c r="D78" s="6">
        <v>250</v>
      </c>
      <c r="E78" s="2"/>
      <c r="F78" s="7">
        <f t="shared" si="47"/>
        <v>3.8058359906948825E-3</v>
      </c>
      <c r="G78" s="2"/>
      <c r="H78" s="6">
        <v>225</v>
      </c>
      <c r="I78" s="2"/>
      <c r="J78" s="7">
        <f t="shared" si="48"/>
        <v>3.274618692484051E-3</v>
      </c>
      <c r="K78" s="2"/>
      <c r="L78" s="6">
        <f t="shared" si="49"/>
        <v>25</v>
      </c>
      <c r="M78" s="2"/>
      <c r="N78" s="7">
        <f t="shared" si="50"/>
        <v>0.1111111111111111</v>
      </c>
      <c r="O78" s="11"/>
      <c r="P78" s="6">
        <v>642.04999999999995</v>
      </c>
      <c r="Q78" s="2"/>
      <c r="R78" s="7">
        <f t="shared" si="51"/>
        <v>3.7336250839127946E-3</v>
      </c>
      <c r="S78" s="2"/>
      <c r="T78" s="6">
        <v>930.45</v>
      </c>
      <c r="U78" s="2"/>
      <c r="V78" s="7">
        <f t="shared" si="52"/>
        <v>5.1237003728084674E-3</v>
      </c>
      <c r="W78" s="2"/>
      <c r="X78" s="6">
        <f t="shared" si="53"/>
        <v>-288.40000000000009</v>
      </c>
      <c r="Y78" s="2"/>
      <c r="Z78" s="7">
        <f t="shared" si="54"/>
        <v>-0.3099575474232899</v>
      </c>
    </row>
    <row r="79" spans="1:26" s="29" customFormat="1" outlineLevel="1" collapsed="1" x14ac:dyDescent="0.25">
      <c r="A79" s="27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SUM(OSRRefD22_12x_0)</f>
        <v>97.71</v>
      </c>
      <c r="E79" s="1"/>
      <c r="F79" s="5">
        <f t="shared" si="47"/>
        <v>1.4874729386031879E-3</v>
      </c>
      <c r="G79" s="1"/>
      <c r="H79" s="1">
        <f>SUM(OSRRefH22_12x_0)</f>
        <v>0</v>
      </c>
      <c r="I79" s="1"/>
      <c r="J79" s="5">
        <f t="shared" si="48"/>
        <v>0</v>
      </c>
      <c r="K79" s="1"/>
      <c r="L79" s="1">
        <f t="shared" si="49"/>
        <v>97.71</v>
      </c>
      <c r="M79" s="1"/>
      <c r="N79" s="5">
        <f t="shared" si="50"/>
        <v>0</v>
      </c>
      <c r="O79" s="14"/>
      <c r="P79" s="1">
        <f>SUM(OSRRefP22_12x_0)</f>
        <v>97.71</v>
      </c>
      <c r="Q79" s="1"/>
      <c r="R79" s="5">
        <f t="shared" si="51"/>
        <v>5.6819952799489013E-4</v>
      </c>
      <c r="S79" s="1"/>
      <c r="T79" s="1">
        <f>SUM(OSRRefT22_12x_0)</f>
        <v>0</v>
      </c>
      <c r="U79" s="1"/>
      <c r="V79" s="5">
        <f t="shared" si="52"/>
        <v>0</v>
      </c>
      <c r="W79" s="1"/>
      <c r="X79" s="1">
        <f t="shared" si="53"/>
        <v>97.71</v>
      </c>
      <c r="Y79" s="1"/>
      <c r="Z79" s="5">
        <f t="shared" si="54"/>
        <v>0</v>
      </c>
    </row>
    <row r="80" spans="1:26" s="24" customFormat="1" hidden="1" outlineLevel="2" x14ac:dyDescent="0.25">
      <c r="A80" s="28"/>
      <c r="B80" s="11" t="str">
        <f>CONCATENATE("          ", "6376", " - ", "TRAINING")</f>
        <v xml:space="preserve">          6376 - TRAINING</v>
      </c>
      <c r="C80" s="11"/>
      <c r="D80" s="6">
        <v>97.71</v>
      </c>
      <c r="E80" s="2"/>
      <c r="F80" s="7">
        <f t="shared" si="47"/>
        <v>1.4874729386031879E-3</v>
      </c>
      <c r="G80" s="2"/>
      <c r="H80" s="6"/>
      <c r="I80" s="2"/>
      <c r="J80" s="7">
        <f t="shared" si="48"/>
        <v>0</v>
      </c>
      <c r="K80" s="2"/>
      <c r="L80" s="6">
        <f t="shared" si="49"/>
        <v>97.71</v>
      </c>
      <c r="M80" s="2"/>
      <c r="N80" s="7">
        <f t="shared" si="50"/>
        <v>0</v>
      </c>
      <c r="O80" s="11"/>
      <c r="P80" s="6">
        <v>97.71</v>
      </c>
      <c r="Q80" s="2"/>
      <c r="R80" s="7">
        <f t="shared" si="51"/>
        <v>5.6819952799489013E-4</v>
      </c>
      <c r="S80" s="2"/>
      <c r="T80" s="6"/>
      <c r="U80" s="2"/>
      <c r="V80" s="7">
        <f t="shared" si="52"/>
        <v>0</v>
      </c>
      <c r="W80" s="2"/>
      <c r="X80" s="6">
        <f t="shared" si="53"/>
        <v>97.71</v>
      </c>
      <c r="Y80" s="2"/>
      <c r="Z80" s="7">
        <f t="shared" si="54"/>
        <v>0</v>
      </c>
    </row>
    <row r="81" spans="1:26" s="53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25">
      <c r="A82" s="10"/>
      <c r="B82" s="25" t="s">
        <v>0</v>
      </c>
      <c r="C82" s="10"/>
      <c r="D82" s="4">
        <f>SUM(OSRRefD25x_0)</f>
        <v>13299</v>
      </c>
      <c r="E82" s="4"/>
      <c r="F82" s="12">
        <f t="shared" ref="F82:F87" si="55">IF(D$12=0,0,D82/D$12)</f>
        <v>0.20245525136100498</v>
      </c>
      <c r="G82" s="4"/>
      <c r="H82" s="4">
        <f>SUM(OSRRefH25x_0)</f>
        <v>12243</v>
      </c>
      <c r="I82" s="4"/>
      <c r="J82" s="12">
        <f t="shared" ref="J82:J87" si="56">IF(H$12=0,0,H82/H$12)</f>
        <v>0.17818291845369882</v>
      </c>
      <c r="K82" s="4"/>
      <c r="L82" s="4">
        <f t="shared" ref="L82:L87" si="57">+D82-H82</f>
        <v>1056</v>
      </c>
      <c r="M82" s="4"/>
      <c r="N82" s="12">
        <f t="shared" ref="N82:N87" si="58">IF(H82=0,0,L82/H82)</f>
        <v>8.6253369272237201E-2</v>
      </c>
      <c r="O82" s="10"/>
      <c r="P82" s="4">
        <f>SUM(OSRRefP25x_0)</f>
        <v>63128.85</v>
      </c>
      <c r="Q82" s="4"/>
      <c r="R82" s="12">
        <f t="shared" ref="R82:R87" si="59">IF(P$12=0,0,P82/P$12)</f>
        <v>0.36710452126558407</v>
      </c>
      <c r="S82" s="4"/>
      <c r="T82" s="4">
        <f>SUM(OSRRefT25x_0)</f>
        <v>36934</v>
      </c>
      <c r="U82" s="4"/>
      <c r="V82" s="12">
        <f t="shared" ref="V82:V87" si="60">IF(T$12=0,0,T82/T$12)</f>
        <v>0.20338411475018317</v>
      </c>
      <c r="W82" s="4"/>
      <c r="X82" s="4">
        <f t="shared" ref="X82:X87" si="61">+P82-T82</f>
        <v>26194.85</v>
      </c>
      <c r="Y82" s="4"/>
      <c r="Z82" s="12">
        <f t="shared" ref="Z82:Z87" si="62">IF(T82=0,0,X82/T82)</f>
        <v>0.70923403909676719</v>
      </c>
    </row>
    <row r="83" spans="1:26" s="24" customFormat="1" hidden="1" outlineLevel="1" x14ac:dyDescent="0.25">
      <c r="A83" s="44"/>
      <c r="B83" s="11" t="str">
        <f>CONCATENATE("          ", "4098", " - ", "TAXABLE SALES-GRAD RENTALS")</f>
        <v xml:space="preserve">          4098 - TAXABLE SALES-GRAD RENTALS</v>
      </c>
      <c r="C83" s="11"/>
      <c r="D83" s="2">
        <f t="shared" ref="D83:D84" si="63">0</f>
        <v>0</v>
      </c>
      <c r="E83" s="2"/>
      <c r="F83" s="19">
        <f t="shared" si="55"/>
        <v>0</v>
      </c>
      <c r="G83" s="2"/>
      <c r="H83" s="2">
        <f>0</f>
        <v>0</v>
      </c>
      <c r="I83" s="2"/>
      <c r="J83" s="19">
        <f t="shared" si="56"/>
        <v>0</v>
      </c>
      <c r="K83" s="2"/>
      <c r="L83" s="2">
        <f t="shared" si="57"/>
        <v>0</v>
      </c>
      <c r="M83" s="2"/>
      <c r="N83" s="19">
        <f t="shared" si="58"/>
        <v>0</v>
      </c>
      <c r="O83" s="11"/>
      <c r="P83" s="2">
        <f>--1626.85</f>
        <v>1626.85</v>
      </c>
      <c r="Q83" s="2"/>
      <c r="R83" s="19">
        <f t="shared" si="59"/>
        <v>9.4603971151211441E-3</v>
      </c>
      <c r="S83" s="2"/>
      <c r="T83" s="2">
        <f>0</f>
        <v>0</v>
      </c>
      <c r="U83" s="2"/>
      <c r="V83" s="19">
        <f t="shared" si="60"/>
        <v>0</v>
      </c>
      <c r="W83" s="2"/>
      <c r="X83" s="2">
        <f t="shared" si="61"/>
        <v>1626.85</v>
      </c>
      <c r="Y83" s="2"/>
      <c r="Z83" s="19">
        <f t="shared" si="62"/>
        <v>0</v>
      </c>
    </row>
    <row r="84" spans="1:26" s="24" customFormat="1" hidden="1" outlineLevel="1" x14ac:dyDescent="0.25">
      <c r="A84" s="44"/>
      <c r="B84" s="11" t="str">
        <f>CONCATENATE("          ", "4197", " - ", "NON-TAXABLE SALES-RETURNED CHE")</f>
        <v xml:space="preserve">          4197 - NON-TAXABLE SALES-RETURNED CHE</v>
      </c>
      <c r="C84" s="11"/>
      <c r="D84" s="2">
        <f t="shared" si="63"/>
        <v>0</v>
      </c>
      <c r="E84" s="2"/>
      <c r="F84" s="19">
        <f t="shared" si="55"/>
        <v>0</v>
      </c>
      <c r="G84" s="2"/>
      <c r="H84" s="2">
        <f>--130</f>
        <v>130</v>
      </c>
      <c r="I84" s="2"/>
      <c r="J84" s="19">
        <f t="shared" si="56"/>
        <v>1.8920019112130073E-3</v>
      </c>
      <c r="K84" s="2"/>
      <c r="L84" s="2">
        <f t="shared" si="57"/>
        <v>-130</v>
      </c>
      <c r="M84" s="2"/>
      <c r="N84" s="19">
        <f t="shared" si="58"/>
        <v>-1</v>
      </c>
      <c r="O84" s="11"/>
      <c r="P84" s="2">
        <f>--30</f>
        <v>30</v>
      </c>
      <c r="Q84" s="2"/>
      <c r="R84" s="19">
        <f t="shared" si="59"/>
        <v>1.7445487503680999E-4</v>
      </c>
      <c r="S84" s="2"/>
      <c r="T84" s="2">
        <f>--250</f>
        <v>250</v>
      </c>
      <c r="U84" s="2"/>
      <c r="V84" s="19">
        <f t="shared" si="60"/>
        <v>1.376672677953804E-3</v>
      </c>
      <c r="W84" s="2"/>
      <c r="X84" s="2">
        <f t="shared" si="61"/>
        <v>-220</v>
      </c>
      <c r="Y84" s="2"/>
      <c r="Z84" s="19">
        <f t="shared" si="62"/>
        <v>-0.88</v>
      </c>
    </row>
    <row r="85" spans="1:26" s="24" customFormat="1" hidden="1" outlineLevel="1" x14ac:dyDescent="0.25">
      <c r="A85" s="44"/>
      <c r="B85" s="11" t="str">
        <f>CONCATENATE("          ", "4198", " - ", "NON-TAXABLE SALES-GRAD RENTALS")</f>
        <v xml:space="preserve">          4198 - NON-TAXABLE SALES-GRAD RENTALS</v>
      </c>
      <c r="C85" s="11"/>
      <c r="D85" s="2">
        <f>--30</f>
        <v>30</v>
      </c>
      <c r="E85" s="2"/>
      <c r="F85" s="19">
        <f t="shared" si="55"/>
        <v>4.5670031888338588E-4</v>
      </c>
      <c r="G85" s="2"/>
      <c r="H85" s="2">
        <f>--30</f>
        <v>30</v>
      </c>
      <c r="I85" s="2"/>
      <c r="J85" s="19">
        <f t="shared" si="56"/>
        <v>4.3661582566454016E-4</v>
      </c>
      <c r="K85" s="2"/>
      <c r="L85" s="2">
        <f t="shared" si="57"/>
        <v>0</v>
      </c>
      <c r="M85" s="2"/>
      <c r="N85" s="19">
        <f t="shared" si="58"/>
        <v>0</v>
      </c>
      <c r="O85" s="11"/>
      <c r="P85" s="2">
        <f>--495</f>
        <v>495</v>
      </c>
      <c r="Q85" s="2"/>
      <c r="R85" s="19">
        <f t="shared" si="59"/>
        <v>2.878505438107365E-3</v>
      </c>
      <c r="S85" s="2"/>
      <c r="T85" s="2">
        <f>--435</f>
        <v>435</v>
      </c>
      <c r="U85" s="2"/>
      <c r="V85" s="19">
        <f t="shared" si="60"/>
        <v>2.3954104596396186E-3</v>
      </c>
      <c r="W85" s="2"/>
      <c r="X85" s="2">
        <f t="shared" si="61"/>
        <v>60</v>
      </c>
      <c r="Y85" s="2"/>
      <c r="Z85" s="19">
        <f t="shared" si="62"/>
        <v>0.13793103448275862</v>
      </c>
    </row>
    <row r="86" spans="1:26" s="24" customFormat="1" hidden="1" outlineLevel="1" x14ac:dyDescent="0.25">
      <c r="A86" s="44"/>
      <c r="B86" s="11" t="str">
        <f>CONCATENATE("          ", "9150", " - ", "MISC. INCOME")</f>
        <v xml:space="preserve">          9150 - MISC. INCOME</v>
      </c>
      <c r="C86" s="11"/>
      <c r="D86" s="2">
        <f>--13269</f>
        <v>13269</v>
      </c>
      <c r="E86" s="2"/>
      <c r="F86" s="19">
        <f t="shared" si="55"/>
        <v>0.20199855104212158</v>
      </c>
      <c r="G86" s="2"/>
      <c r="H86" s="2">
        <f>--12083</f>
        <v>12083</v>
      </c>
      <c r="I86" s="2"/>
      <c r="J86" s="19">
        <f t="shared" si="56"/>
        <v>0.17585430071682129</v>
      </c>
      <c r="K86" s="2"/>
      <c r="L86" s="2">
        <f t="shared" si="57"/>
        <v>1186</v>
      </c>
      <c r="M86" s="2"/>
      <c r="N86" s="19">
        <f t="shared" si="58"/>
        <v>9.8154431846395759E-2</v>
      </c>
      <c r="O86" s="11"/>
      <c r="P86" s="2">
        <f>--39807</f>
        <v>39807</v>
      </c>
      <c r="Q86" s="2"/>
      <c r="R86" s="19">
        <f t="shared" si="59"/>
        <v>0.23148417368634316</v>
      </c>
      <c r="S86" s="2"/>
      <c r="T86" s="2">
        <f>--36249</f>
        <v>36249</v>
      </c>
      <c r="U86" s="2"/>
      <c r="V86" s="19">
        <f t="shared" si="60"/>
        <v>0.19961203161258975</v>
      </c>
      <c r="W86" s="2"/>
      <c r="X86" s="2">
        <f t="shared" si="61"/>
        <v>3558</v>
      </c>
      <c r="Y86" s="2"/>
      <c r="Z86" s="19">
        <f t="shared" si="62"/>
        <v>9.8154431846395759E-2</v>
      </c>
    </row>
    <row r="87" spans="1:26" s="24" customFormat="1" hidden="1" outlineLevel="1" x14ac:dyDescent="0.25">
      <c r="A87" s="44"/>
      <c r="B87" s="11" t="str">
        <f>CONCATENATE("          ", "9160", " - ", "MISC. INCOME")</f>
        <v xml:space="preserve">          9160 - MISC. INCOME</v>
      </c>
      <c r="C87" s="11"/>
      <c r="D87" s="2">
        <f>0</f>
        <v>0</v>
      </c>
      <c r="E87" s="2"/>
      <c r="F87" s="19">
        <f t="shared" si="55"/>
        <v>0</v>
      </c>
      <c r="G87" s="2"/>
      <c r="H87" s="2">
        <f>0</f>
        <v>0</v>
      </c>
      <c r="I87" s="2"/>
      <c r="J87" s="19">
        <f t="shared" si="56"/>
        <v>0</v>
      </c>
      <c r="K87" s="2"/>
      <c r="L87" s="2">
        <f t="shared" si="57"/>
        <v>0</v>
      </c>
      <c r="M87" s="2"/>
      <c r="N87" s="19">
        <f t="shared" si="58"/>
        <v>0</v>
      </c>
      <c r="O87" s="11"/>
      <c r="P87" s="2">
        <f>--21170</f>
        <v>21170</v>
      </c>
      <c r="Q87" s="2"/>
      <c r="R87" s="19">
        <f t="shared" si="59"/>
        <v>0.12310699015097558</v>
      </c>
      <c r="S87" s="2"/>
      <c r="T87" s="2">
        <f>0</f>
        <v>0</v>
      </c>
      <c r="U87" s="2"/>
      <c r="V87" s="19">
        <f t="shared" si="60"/>
        <v>0</v>
      </c>
      <c r="W87" s="2"/>
      <c r="X87" s="2">
        <f t="shared" si="61"/>
        <v>21170</v>
      </c>
      <c r="Y87" s="2"/>
      <c r="Z87" s="19">
        <f t="shared" si="62"/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6" t="s">
        <v>3</v>
      </c>
      <c r="C89" s="26"/>
      <c r="D89" s="21">
        <f>+D37-D39+D82</f>
        <v>20458.629999999997</v>
      </c>
      <c r="E89" s="13"/>
      <c r="F89" s="20">
        <f>IF(D$12=0,0,D89/D$12)</f>
        <v>0.31144876149724016</v>
      </c>
      <c r="G89" s="13"/>
      <c r="H89" s="21">
        <f>+H37-H39+H82</f>
        <v>24533.130000000005</v>
      </c>
      <c r="I89" s="13"/>
      <c r="J89" s="20">
        <f>IF(H$12=0,0,H89/H$12)</f>
        <v>0.35705176036951675</v>
      </c>
      <c r="K89" s="15"/>
      <c r="L89" s="21">
        <f>+D89-H89</f>
        <v>-4074.5000000000073</v>
      </c>
      <c r="M89" s="15"/>
      <c r="N89" s="20">
        <f>IF(H89=0,0,L89/H89)</f>
        <v>-0.16608153953449911</v>
      </c>
      <c r="O89" s="25"/>
      <c r="P89" s="21">
        <f>+P37-P39+P82</f>
        <v>112886.50999999998</v>
      </c>
      <c r="Q89" s="13"/>
      <c r="R89" s="20">
        <f>IF(P$12=0,0,P89/P$12)</f>
        <v>0.65645339984638662</v>
      </c>
      <c r="S89" s="13"/>
      <c r="T89" s="21">
        <f>+T37-T39+T82</f>
        <v>88976.640000000029</v>
      </c>
      <c r="U89" s="13"/>
      <c r="V89" s="20">
        <f>IF(T$12=0,0,T89/T$12)</f>
        <v>0.48996683705652633</v>
      </c>
      <c r="W89" s="15"/>
      <c r="X89" s="21">
        <f>+P89-T89</f>
        <v>23909.869999999952</v>
      </c>
      <c r="Y89" s="15"/>
      <c r="Z89" s="20">
        <f>IF(T89=0,0,X89/T89)</f>
        <v>0.26872075636931159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1"/>
      <c r="B91" s="10" t="s">
        <v>13</v>
      </c>
      <c r="C91" s="10"/>
      <c r="D91" s="4">
        <v>5220.59</v>
      </c>
      <c r="E91" s="4"/>
      <c r="F91" s="12">
        <f>IF(D$12=0,0,D91/D$12)</f>
        <v>7.9474837258647194E-2</v>
      </c>
      <c r="G91" s="4"/>
      <c r="H91" s="4">
        <v>4609.16</v>
      </c>
      <c r="I91" s="4"/>
      <c r="J91" s="12">
        <f>IF(H$12=0,0,H91/H$12)</f>
        <v>6.7081073300665733E-2</v>
      </c>
      <c r="K91" s="4"/>
      <c r="L91" s="4">
        <f>+D91-H91</f>
        <v>611.43000000000029</v>
      </c>
      <c r="M91" s="4"/>
      <c r="N91" s="12">
        <f>IF(H91=0,0,L91/H91)</f>
        <v>0.13265540792682404</v>
      </c>
      <c r="O91" s="10"/>
      <c r="P91" s="4">
        <v>18471.230000000003</v>
      </c>
      <c r="Q91" s="4"/>
      <c r="R91" s="12">
        <f>IF(P$12=0,0,P91/P$12)</f>
        <v>0.10741320404753921</v>
      </c>
      <c r="S91" s="4"/>
      <c r="T91" s="4">
        <v>16134.390000000001</v>
      </c>
      <c r="U91" s="4"/>
      <c r="V91" s="12">
        <f>IF(T$12=0,0,T91/T$12)</f>
        <v>8.8847095553804309E-2</v>
      </c>
      <c r="W91" s="4"/>
      <c r="X91" s="4">
        <f>+P91-T91</f>
        <v>2336.840000000002</v>
      </c>
      <c r="Y91" s="4"/>
      <c r="Z91" s="12">
        <f>IF(T91=0,0,X91/T91)</f>
        <v>0.14483596838802099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6" t="s">
        <v>4</v>
      </c>
      <c r="C93" s="26"/>
      <c r="D93" s="35">
        <f>+D89-D91</f>
        <v>15238.039999999997</v>
      </c>
      <c r="E93" s="13"/>
      <c r="F93" s="30">
        <f>IF(D$12=0,0,D93/D$12)</f>
        <v>0.23197392423859295</v>
      </c>
      <c r="G93" s="13"/>
      <c r="H93" s="35">
        <f>+H89-H91</f>
        <v>19923.970000000005</v>
      </c>
      <c r="I93" s="13"/>
      <c r="J93" s="30">
        <f>IF(H$12=0,0,H93/H$12)</f>
        <v>0.28997068706885099</v>
      </c>
      <c r="K93" s="15"/>
      <c r="L93" s="35">
        <f>D93-H93</f>
        <v>-4685.9300000000076</v>
      </c>
      <c r="M93" s="15"/>
      <c r="N93" s="30">
        <f>IF(H93=0,0,L93/H93)</f>
        <v>-0.23519057697838364</v>
      </c>
      <c r="O93" s="25"/>
      <c r="P93" s="35">
        <f>+P89-P91</f>
        <v>94415.27999999997</v>
      </c>
      <c r="Q93" s="13"/>
      <c r="R93" s="30">
        <f>IF(P$12=0,0,P93/P$12)</f>
        <v>0.54904019579884733</v>
      </c>
      <c r="S93" s="13"/>
      <c r="T93" s="35">
        <f>+T89-T91</f>
        <v>72842.250000000029</v>
      </c>
      <c r="U93" s="13"/>
      <c r="V93" s="30">
        <f>IF(T$12=0,0,T93/T$12)</f>
        <v>0.40111974150272206</v>
      </c>
      <c r="W93" s="15"/>
      <c r="X93" s="35">
        <f>P93-T93</f>
        <v>21573.029999999941</v>
      </c>
      <c r="Y93" s="15"/>
      <c r="Z93" s="30">
        <f>IF(T93=0,0,X93/T93)</f>
        <v>0.29616095054724328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6" t="s">
        <v>5</v>
      </c>
      <c r="C96" s="26"/>
      <c r="D96" s="36">
        <f>SUM(D93:D95)</f>
        <v>15238.039999999997</v>
      </c>
      <c r="E96" s="13"/>
      <c r="F96" s="31">
        <f>IF(D$12=0,0,D96/D$12)</f>
        <v>0.23197392423859295</v>
      </c>
      <c r="G96" s="13"/>
      <c r="H96" s="36">
        <f>SUM(H93:H95)</f>
        <v>19923.970000000005</v>
      </c>
      <c r="I96" s="13"/>
      <c r="J96" s="31">
        <f>IF(H$12=0,0,H96/H$12)</f>
        <v>0.28997068706885099</v>
      </c>
      <c r="K96" s="15"/>
      <c r="L96" s="36">
        <f>+D96-H96</f>
        <v>-4685.9300000000076</v>
      </c>
      <c r="M96" s="15"/>
      <c r="N96" s="31">
        <f>IF(H96=0,0,L96/H96)</f>
        <v>-0.23519057697838364</v>
      </c>
      <c r="O96" s="25"/>
      <c r="P96" s="36">
        <f>SUM(P93:P95)</f>
        <v>94415.27999999997</v>
      </c>
      <c r="Q96" s="13"/>
      <c r="R96" s="31">
        <f>IF(P$12=0,0,P96/P$12)</f>
        <v>0.54904019579884733</v>
      </c>
      <c r="S96" s="13"/>
      <c r="T96" s="36">
        <f>SUM(T93:T95)</f>
        <v>72842.250000000029</v>
      </c>
      <c r="U96" s="13"/>
      <c r="V96" s="31">
        <f>IF(T$12=0,0,T96/T$12)</f>
        <v>0.40111974150272206</v>
      </c>
      <c r="W96" s="15"/>
      <c r="X96" s="36">
        <f>+P96-T96</f>
        <v>21573.029999999941</v>
      </c>
      <c r="Y96" s="15"/>
      <c r="Z96" s="31">
        <f>IF(T96=0,0,X96/T96)</f>
        <v>0.29616095054724328</v>
      </c>
    </row>
    <row r="97" spans="1:24" ht="15.75" thickTop="1" x14ac:dyDescent="0.25">
      <c r="A97" s="9"/>
      <c r="C97" s="9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5">
        <v>43756.462569479168</v>
      </c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A99" s="9"/>
      <c r="B99" s="56" t="s">
        <v>313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4" x14ac:dyDescent="0.25">
      <c r="A100" s="9"/>
      <c r="B100" s="57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4" x14ac:dyDescent="0.25"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","316", " - ", "Campus Copy Center")</f>
        <v>Department 316 - Campus Copy Center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65618.789999999994</v>
      </c>
      <c r="E12" s="4"/>
      <c r="F12" s="12"/>
      <c r="G12" s="4"/>
      <c r="H12" s="4">
        <f>SUM(OSRRefH13x_0)</f>
        <v>68553.429999999993</v>
      </c>
      <c r="I12" s="4"/>
      <c r="J12" s="12"/>
      <c r="K12" s="4"/>
      <c r="L12" s="4">
        <f t="shared" ref="L12:L24" si="0">+D12-H12</f>
        <v>-2934.6399999999994</v>
      </c>
      <c r="M12" s="4"/>
      <c r="N12" s="12">
        <f t="shared" ref="N12:N24" si="1">IF(H12=0,0,L12/H12)</f>
        <v>-4.280806955975798E-2</v>
      </c>
      <c r="O12" s="10"/>
      <c r="P12" s="4">
        <f>SUM(OSRRefP13x_0)</f>
        <v>168243.71999999997</v>
      </c>
      <c r="Q12" s="4"/>
      <c r="R12" s="12"/>
      <c r="S12" s="4"/>
      <c r="T12" s="4">
        <f>SUM(OSRRefT13x_0)</f>
        <v>177498.34</v>
      </c>
      <c r="U12" s="4"/>
      <c r="V12" s="12"/>
      <c r="W12" s="4"/>
      <c r="X12" s="4">
        <f t="shared" ref="X12:X24" si="2">+P12-T12</f>
        <v>-9254.6200000000244</v>
      </c>
      <c r="Y12" s="4"/>
      <c r="Z12" s="12">
        <f t="shared" ref="Z12:Z24" si="3">IF(T12=0,0,X12/T12)</f>
        <v>-5.213919183694915E-2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--20926.4</f>
        <v>20926.400000000001</v>
      </c>
      <c r="E13" s="2"/>
      <c r="F13" s="19"/>
      <c r="G13" s="2"/>
      <c r="H13" s="2">
        <f>--25369.05</f>
        <v>25369.05</v>
      </c>
      <c r="I13" s="2"/>
      <c r="J13" s="19"/>
      <c r="K13" s="2"/>
      <c r="L13" s="2">
        <f t="shared" si="0"/>
        <v>-4442.6499999999978</v>
      </c>
      <c r="M13" s="2"/>
      <c r="N13" s="19">
        <f t="shared" si="1"/>
        <v>-0.17512086577936492</v>
      </c>
      <c r="O13" s="11"/>
      <c r="P13" s="2">
        <f>--95294.2</f>
        <v>95294.2</v>
      </c>
      <c r="Q13" s="2"/>
      <c r="R13" s="19"/>
      <c r="S13" s="2"/>
      <c r="T13" s="2">
        <f>--105413</f>
        <v>105413</v>
      </c>
      <c r="U13" s="2"/>
      <c r="V13" s="19"/>
      <c r="W13" s="2"/>
      <c r="X13" s="2">
        <f t="shared" si="2"/>
        <v>-10118.800000000003</v>
      </c>
      <c r="Y13" s="2"/>
      <c r="Z13" s="19">
        <f t="shared" si="3"/>
        <v>-9.5991955451414937E-2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--7680.9</f>
        <v>7680.9</v>
      </c>
      <c r="E14" s="2"/>
      <c r="F14" s="19"/>
      <c r="G14" s="2"/>
      <c r="H14" s="2">
        <f>--6406.86</f>
        <v>6406.86</v>
      </c>
      <c r="I14" s="2"/>
      <c r="J14" s="19"/>
      <c r="K14" s="2"/>
      <c r="L14" s="2">
        <f t="shared" si="0"/>
        <v>1274.04</v>
      </c>
      <c r="M14" s="2"/>
      <c r="N14" s="19">
        <f t="shared" si="1"/>
        <v>0.1988556016519793</v>
      </c>
      <c r="O14" s="11"/>
      <c r="P14" s="2">
        <f>--19757.89</f>
        <v>19757.89</v>
      </c>
      <c r="Q14" s="2"/>
      <c r="R14" s="19"/>
      <c r="S14" s="2"/>
      <c r="T14" s="2">
        <f>--19018.91</f>
        <v>19018.91</v>
      </c>
      <c r="U14" s="2"/>
      <c r="V14" s="19"/>
      <c r="W14" s="2"/>
      <c r="X14" s="2">
        <f t="shared" si="2"/>
        <v>738.97999999999956</v>
      </c>
      <c r="Y14" s="2"/>
      <c r="Z14" s="19">
        <f t="shared" si="3"/>
        <v>3.8855013247341703E-2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>--18.47</f>
        <v>18.47</v>
      </c>
      <c r="E15" s="2"/>
      <c r="F15" s="19"/>
      <c r="G15" s="2"/>
      <c r="H15" s="2">
        <f>--147.2</f>
        <v>147.19999999999999</v>
      </c>
      <c r="I15" s="2"/>
      <c r="J15" s="19"/>
      <c r="K15" s="2"/>
      <c r="L15" s="2">
        <f t="shared" si="0"/>
        <v>-128.72999999999999</v>
      </c>
      <c r="M15" s="2"/>
      <c r="N15" s="19">
        <f t="shared" si="1"/>
        <v>-0.87452445652173916</v>
      </c>
      <c r="O15" s="11"/>
      <c r="P15" s="2">
        <f>--95.73</f>
        <v>95.73</v>
      </c>
      <c r="Q15" s="2"/>
      <c r="R15" s="19"/>
      <c r="S15" s="2"/>
      <c r="T15" s="2">
        <f>--353.77</f>
        <v>353.77</v>
      </c>
      <c r="U15" s="2"/>
      <c r="V15" s="19"/>
      <c r="W15" s="2"/>
      <c r="X15" s="2">
        <f t="shared" si="2"/>
        <v>-258.03999999999996</v>
      </c>
      <c r="Y15" s="2"/>
      <c r="Z15" s="19">
        <f t="shared" si="3"/>
        <v>-0.72940045792464026</v>
      </c>
    </row>
    <row r="16" spans="1:26" s="24" customFormat="1" hidden="1" outlineLevel="1" x14ac:dyDescent="0.25">
      <c r="A16" s="44"/>
      <c r="B16" s="11" t="str">
        <f>CONCATENATE("          ", "4047", " - ", "TAXABLE SALES-MISC")</f>
        <v xml:space="preserve">          4047 - TAXABLE SALES-MISC</v>
      </c>
      <c r="C16" s="11"/>
      <c r="D16" s="2">
        <f>--488.97</f>
        <v>488.97</v>
      </c>
      <c r="E16" s="2"/>
      <c r="F16" s="19"/>
      <c r="G16" s="2"/>
      <c r="H16" s="2">
        <f>--300.22</f>
        <v>300.22000000000003</v>
      </c>
      <c r="I16" s="2"/>
      <c r="J16" s="19"/>
      <c r="K16" s="2"/>
      <c r="L16" s="2">
        <f t="shared" si="0"/>
        <v>188.75</v>
      </c>
      <c r="M16" s="2"/>
      <c r="N16" s="19">
        <f t="shared" si="1"/>
        <v>0.62870561588168672</v>
      </c>
      <c r="O16" s="11"/>
      <c r="P16" s="2">
        <f>--971.35</f>
        <v>971.35</v>
      </c>
      <c r="Q16" s="2"/>
      <c r="R16" s="19"/>
      <c r="S16" s="2"/>
      <c r="T16" s="2">
        <f>--649.51</f>
        <v>649.51</v>
      </c>
      <c r="U16" s="2"/>
      <c r="V16" s="19"/>
      <c r="W16" s="2"/>
      <c r="X16" s="2">
        <f t="shared" si="2"/>
        <v>321.84000000000003</v>
      </c>
      <c r="Y16" s="2"/>
      <c r="Z16" s="19">
        <f t="shared" si="3"/>
        <v>0.49551200135486756</v>
      </c>
    </row>
    <row r="17" spans="1:26" s="24" customFormat="1" hidden="1" outlineLevel="1" x14ac:dyDescent="0.25">
      <c r="A17" s="44"/>
      <c r="B17" s="11" t="str">
        <f>CONCATENATE("          ", "4141", " - ", "NON-TAXABLE SALES-LOGO GIFTS")</f>
        <v xml:space="preserve">          4141 - NON-TAXABLE SALES-LOGO GIFTS</v>
      </c>
      <c r="C17" s="11"/>
      <c r="D17" s="2">
        <f>-24.65</f>
        <v>-24.65</v>
      </c>
      <c r="E17" s="2"/>
      <c r="F17" s="19"/>
      <c r="G17" s="2"/>
      <c r="H17" s="2">
        <f>--403.2</f>
        <v>403.2</v>
      </c>
      <c r="I17" s="2"/>
      <c r="J17" s="19"/>
      <c r="K17" s="2"/>
      <c r="L17" s="2">
        <f t="shared" si="0"/>
        <v>-427.84999999999997</v>
      </c>
      <c r="M17" s="2"/>
      <c r="N17" s="19">
        <f t="shared" si="1"/>
        <v>-1.0611359126984126</v>
      </c>
      <c r="O17" s="11"/>
      <c r="P17" s="2">
        <f>--152.75</f>
        <v>152.75</v>
      </c>
      <c r="Q17" s="2"/>
      <c r="R17" s="19"/>
      <c r="S17" s="2"/>
      <c r="T17" s="2">
        <f>--1187.45</f>
        <v>1187.45</v>
      </c>
      <c r="U17" s="2"/>
      <c r="V17" s="19"/>
      <c r="W17" s="2"/>
      <c r="X17" s="2">
        <f t="shared" si="2"/>
        <v>-1034.7</v>
      </c>
      <c r="Y17" s="2"/>
      <c r="Z17" s="19">
        <f t="shared" si="3"/>
        <v>-0.87136300475809503</v>
      </c>
    </row>
    <row r="18" spans="1:26" s="24" customFormat="1" hidden="1" outlineLevel="1" x14ac:dyDescent="0.25">
      <c r="A18" s="44"/>
      <c r="B18" s="11" t="str">
        <f>CONCATENATE("          ", "4142", " - ", "NON-TAXABLE SALES-EVERYDAY GIF")</f>
        <v xml:space="preserve">          4142 - NON-TAXABLE SALES-EVERYDAY GIF</v>
      </c>
      <c r="C18" s="11"/>
      <c r="D18" s="2">
        <f>--1589.5</f>
        <v>1589.5</v>
      </c>
      <c r="E18" s="2"/>
      <c r="F18" s="19"/>
      <c r="G18" s="2"/>
      <c r="H18" s="2">
        <f>--1735</f>
        <v>1735</v>
      </c>
      <c r="I18" s="2"/>
      <c r="J18" s="19"/>
      <c r="K18" s="2"/>
      <c r="L18" s="2">
        <f t="shared" si="0"/>
        <v>-145.5</v>
      </c>
      <c r="M18" s="2"/>
      <c r="N18" s="19">
        <f t="shared" si="1"/>
        <v>-8.3861671469740634E-2</v>
      </c>
      <c r="O18" s="11"/>
      <c r="P18" s="2">
        <f>--2101.5</f>
        <v>2101.5</v>
      </c>
      <c r="Q18" s="2"/>
      <c r="R18" s="19"/>
      <c r="S18" s="2"/>
      <c r="T18" s="2">
        <f>--2305.5</f>
        <v>2305.5</v>
      </c>
      <c r="U18" s="2"/>
      <c r="V18" s="19"/>
      <c r="W18" s="2"/>
      <c r="X18" s="2">
        <f t="shared" si="2"/>
        <v>-204</v>
      </c>
      <c r="Y18" s="2"/>
      <c r="Z18" s="19">
        <f t="shared" si="3"/>
        <v>-8.8484059856864014E-2</v>
      </c>
    </row>
    <row r="19" spans="1:26" s="24" customFormat="1" hidden="1" outlineLevel="1" x14ac:dyDescent="0.25">
      <c r="A19" s="44"/>
      <c r="B19" s="11" t="str">
        <f>CONCATENATE("          ", "4146", " - ", "NON-TAXABLE SALES-COIN OP MACH")</f>
        <v xml:space="preserve">          4146 - NON-TAXABLE SALES-COIN OP MACH</v>
      </c>
      <c r="C19" s="11"/>
      <c r="D19" s="2">
        <f>--34744.75</f>
        <v>34744.75</v>
      </c>
      <c r="E19" s="2"/>
      <c r="F19" s="19"/>
      <c r="G19" s="2"/>
      <c r="H19" s="2">
        <f>--34411.4</f>
        <v>34411.4</v>
      </c>
      <c r="I19" s="2"/>
      <c r="J19" s="19"/>
      <c r="K19" s="2"/>
      <c r="L19" s="2">
        <f t="shared" si="0"/>
        <v>333.34999999999854</v>
      </c>
      <c r="M19" s="2"/>
      <c r="N19" s="19">
        <f t="shared" si="1"/>
        <v>9.6871966848195226E-3</v>
      </c>
      <c r="O19" s="11"/>
      <c r="P19" s="2">
        <f>--50093.5</f>
        <v>50093.5</v>
      </c>
      <c r="Q19" s="2"/>
      <c r="R19" s="19"/>
      <c r="S19" s="2"/>
      <c r="T19" s="2">
        <f>--49114.45</f>
        <v>49114.45</v>
      </c>
      <c r="U19" s="2"/>
      <c r="V19" s="19"/>
      <c r="W19" s="2"/>
      <c r="X19" s="2">
        <f t="shared" si="2"/>
        <v>979.05000000000291</v>
      </c>
      <c r="Y19" s="2"/>
      <c r="Z19" s="19">
        <f t="shared" si="3"/>
        <v>1.9934051994881404E-2</v>
      </c>
    </row>
    <row r="20" spans="1:26" s="24" customFormat="1" hidden="1" outlineLevel="1" x14ac:dyDescent="0.25">
      <c r="A20" s="44"/>
      <c r="B20" s="11" t="str">
        <f>CONCATENATE("          ", "4147", " - ", "NON-TAXABLE SALES-MISC")</f>
        <v xml:space="preserve">          4147 - NON-TAXABLE SALES-MISC</v>
      </c>
      <c r="C20" s="11"/>
      <c r="D20" s="2">
        <f>--344.5</f>
        <v>344.5</v>
      </c>
      <c r="E20" s="2"/>
      <c r="F20" s="19"/>
      <c r="G20" s="2"/>
      <c r="H20" s="2">
        <f>--92</f>
        <v>92</v>
      </c>
      <c r="I20" s="2"/>
      <c r="J20" s="19"/>
      <c r="K20" s="2"/>
      <c r="L20" s="2">
        <f t="shared" si="0"/>
        <v>252.5</v>
      </c>
      <c r="M20" s="2"/>
      <c r="N20" s="19">
        <f t="shared" si="1"/>
        <v>2.7445652173913042</v>
      </c>
      <c r="O20" s="11"/>
      <c r="P20" s="2">
        <f>--414.9</f>
        <v>414.9</v>
      </c>
      <c r="Q20" s="2"/>
      <c r="R20" s="19"/>
      <c r="S20" s="2"/>
      <c r="T20" s="2">
        <f>--190</f>
        <v>190</v>
      </c>
      <c r="U20" s="2"/>
      <c r="V20" s="19"/>
      <c r="W20" s="2"/>
      <c r="X20" s="2">
        <f t="shared" si="2"/>
        <v>224.89999999999998</v>
      </c>
      <c r="Y20" s="2"/>
      <c r="Z20" s="19">
        <f t="shared" si="3"/>
        <v>1.1836842105263157</v>
      </c>
    </row>
    <row r="21" spans="1:26" s="24" customFormat="1" hidden="1" outlineLevel="1" x14ac:dyDescent="0.25">
      <c r="A21" s="44"/>
      <c r="B21" s="11" t="str">
        <f>CONCATENATE("          ", "4241", " - ", "SALES RETURN TAXABLE-LOGO GIFT")</f>
        <v xml:space="preserve">          4241 - SALES RETURN TAXABLE-LOGO GIFT</v>
      </c>
      <c r="C21" s="11"/>
      <c r="D21" s="2">
        <f>-150.05</f>
        <v>-150.05000000000001</v>
      </c>
      <c r="E21" s="2"/>
      <c r="F21" s="19"/>
      <c r="G21" s="2"/>
      <c r="H21" s="2">
        <f>-311.5</f>
        <v>-311.5</v>
      </c>
      <c r="I21" s="2"/>
      <c r="J21" s="19"/>
      <c r="K21" s="2"/>
      <c r="L21" s="2">
        <f t="shared" si="0"/>
        <v>161.44999999999999</v>
      </c>
      <c r="M21" s="2"/>
      <c r="N21" s="19">
        <f t="shared" si="1"/>
        <v>-0.51829855537720704</v>
      </c>
      <c r="O21" s="11"/>
      <c r="P21" s="2">
        <f>-613.75</f>
        <v>-613.75</v>
      </c>
      <c r="Q21" s="2"/>
      <c r="R21" s="19"/>
      <c r="S21" s="2"/>
      <c r="T21" s="2">
        <f>-726.1</f>
        <v>-726.1</v>
      </c>
      <c r="U21" s="2"/>
      <c r="V21" s="19"/>
      <c r="W21" s="2"/>
      <c r="X21" s="2">
        <f t="shared" si="2"/>
        <v>112.35000000000002</v>
      </c>
      <c r="Y21" s="2"/>
      <c r="Z21" s="19">
        <f t="shared" si="3"/>
        <v>-0.15473075333976039</v>
      </c>
    </row>
    <row r="22" spans="1:26" s="24" customFormat="1" hidden="1" outlineLevel="1" x14ac:dyDescent="0.25">
      <c r="A22" s="44"/>
      <c r="B22" s="11" t="str">
        <f>CONCATENATE("          ", "4242", " - ", "SALES RETURN TAXABLE-EVERYDAY")</f>
        <v xml:space="preserve">          4242 - SALES RETURN TAXABLE-EVERYDAY</v>
      </c>
      <c r="C22" s="11"/>
      <c r="D22" s="2">
        <f t="shared" ref="D22:D24" si="4">0</f>
        <v>0</v>
      </c>
      <c r="E22" s="2"/>
      <c r="F22" s="19"/>
      <c r="G22" s="2"/>
      <c r="H22" s="2">
        <f t="shared" ref="H22:H24" si="5"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-16.2</f>
        <v>-16.2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-16.2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"4341", " - ", "SALES RETURN NON TAXABLE-LOGO")</f>
        <v xml:space="preserve">          4341 - SALES RETURN NON TAXABLE-LOGO</v>
      </c>
      <c r="C23" s="11"/>
      <c r="D23" s="2">
        <f t="shared" si="4"/>
        <v>0</v>
      </c>
      <c r="E23" s="2"/>
      <c r="F23" s="19"/>
      <c r="G23" s="2"/>
      <c r="H23" s="2">
        <f t="shared" si="5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0</f>
        <v>0</v>
      </c>
      <c r="Q23" s="2"/>
      <c r="R23" s="19"/>
      <c r="S23" s="2"/>
      <c r="T23" s="2">
        <f>-8.15</f>
        <v>-8.15</v>
      </c>
      <c r="U23" s="2"/>
      <c r="V23" s="19"/>
      <c r="W23" s="2"/>
      <c r="X23" s="2">
        <f t="shared" si="2"/>
        <v>8.15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"4346", " - ", "SALES RETURN NON TAXABLE-COIN-")</f>
        <v xml:space="preserve">          4346 - SALES RETURN NON TAXABLE-COIN-</v>
      </c>
      <c r="C24" s="11"/>
      <c r="D24" s="2">
        <f t="shared" si="4"/>
        <v>0</v>
      </c>
      <c r="E24" s="2"/>
      <c r="F24" s="19"/>
      <c r="G24" s="2"/>
      <c r="H24" s="2">
        <f t="shared" si="5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-8.15</f>
        <v>-8.15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-8.15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8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6" t="s">
        <v>6</v>
      </c>
      <c r="C28" s="26"/>
      <c r="D28" s="21">
        <f>D12-D26</f>
        <v>65618.789999999994</v>
      </c>
      <c r="E28" s="13"/>
      <c r="F28" s="20">
        <f>IF(D$12=0,0,D28/D$12)</f>
        <v>1</v>
      </c>
      <c r="G28" s="13"/>
      <c r="H28" s="21">
        <f>H12-H26</f>
        <v>68553.429999999993</v>
      </c>
      <c r="I28" s="13"/>
      <c r="J28" s="20">
        <f>IF(H$12=0,0,H28/H$12)</f>
        <v>1</v>
      </c>
      <c r="K28" s="15"/>
      <c r="L28" s="21">
        <f>+D28-H28</f>
        <v>-2934.6399999999994</v>
      </c>
      <c r="M28" s="15"/>
      <c r="N28" s="20">
        <f>IF(H28=0,0,L28/H28)</f>
        <v>-4.280806955975798E-2</v>
      </c>
      <c r="O28" s="25"/>
      <c r="P28" s="21">
        <f>P12-P26</f>
        <v>168243.71999999997</v>
      </c>
      <c r="Q28" s="13"/>
      <c r="R28" s="20">
        <f>IF(P$12=0,0,P28/P$12)</f>
        <v>1</v>
      </c>
      <c r="S28" s="13"/>
      <c r="T28" s="21">
        <f>T12-T26</f>
        <v>177498.34</v>
      </c>
      <c r="U28" s="13"/>
      <c r="V28" s="20">
        <f>IF(T$12=0,0,T28/T$12)</f>
        <v>1</v>
      </c>
      <c r="W28" s="15"/>
      <c r="X28" s="21">
        <f>+P28-T28</f>
        <v>-9254.6200000000244</v>
      </c>
      <c r="Y28" s="15"/>
      <c r="Z28" s="20">
        <f>IF(T28=0,0,X28/T28)</f>
        <v>-5.213919183694915E-2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5" t="s">
        <v>9</v>
      </c>
      <c r="C30" s="10"/>
      <c r="D30" s="22">
        <f>SUM(OSRRefD22x_0)</f>
        <v>49342.62</v>
      </c>
      <c r="E30" s="22"/>
      <c r="F30" s="34">
        <f t="shared" ref="F30:F39" si="6">IF(D$12=0,0,D30/D$12)</f>
        <v>0.75195869963466266</v>
      </c>
      <c r="G30" s="22"/>
      <c r="H30" s="22">
        <f>SUM(OSRRefH22x_0)</f>
        <v>47610.86</v>
      </c>
      <c r="I30" s="22"/>
      <c r="J30" s="34">
        <f t="shared" ref="J30:J39" si="7">IF(H$12=0,0,H30/H$12)</f>
        <v>0.69450733537329945</v>
      </c>
      <c r="K30" s="4"/>
      <c r="L30" s="22">
        <f t="shared" ref="L30:L39" si="8">+D30-H30</f>
        <v>1731.760000000002</v>
      </c>
      <c r="M30" s="4"/>
      <c r="N30" s="34">
        <f t="shared" ref="N30:N39" si="9">IF(H30=0,0,L30/H30)</f>
        <v>3.6373214010416995E-2</v>
      </c>
      <c r="O30" s="10"/>
      <c r="P30" s="22">
        <f>SUM(OSRRefP22x_0)</f>
        <v>121657.73</v>
      </c>
      <c r="Q30" s="22"/>
      <c r="R30" s="34">
        <f t="shared" ref="R30:R39" si="10">IF(P$12=0,0,P30/P$12)</f>
        <v>0.72310413725992273</v>
      </c>
      <c r="S30" s="22"/>
      <c r="T30" s="22">
        <f>SUM(OSRRefT22x_0)</f>
        <v>126780.86999999998</v>
      </c>
      <c r="U30" s="22"/>
      <c r="V30" s="34">
        <f t="shared" ref="V30:V39" si="11">IF(T$12=0,0,T30/T$12)</f>
        <v>0.71426510242292962</v>
      </c>
      <c r="W30" s="4"/>
      <c r="X30" s="22">
        <f t="shared" ref="X30:X39" si="12">+P30-T30</f>
        <v>-5123.1399999999849</v>
      </c>
      <c r="Y30" s="4"/>
      <c r="Z30" s="34">
        <f t="shared" ref="Z30:Z39" si="13">IF(T30=0,0,X30/T30)</f>
        <v>-4.0409408769635245E-2</v>
      </c>
    </row>
    <row r="31" spans="1:26" s="29" customFormat="1" outlineLevel="1" collapsed="1" x14ac:dyDescent="0.25">
      <c r="A31" s="27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7974.0300000000007</v>
      </c>
      <c r="E31" s="1"/>
      <c r="F31" s="5">
        <f t="shared" si="6"/>
        <v>0.12152052788538163</v>
      </c>
      <c r="G31" s="1"/>
      <c r="H31" s="1">
        <f>SUM(OSRRefH22_0x_0)</f>
        <v>6454.2800000000007</v>
      </c>
      <c r="I31" s="1"/>
      <c r="J31" s="5">
        <f t="shared" si="7"/>
        <v>9.4149628982824071E-2</v>
      </c>
      <c r="K31" s="1"/>
      <c r="L31" s="1">
        <f t="shared" si="8"/>
        <v>1519.75</v>
      </c>
      <c r="M31" s="1"/>
      <c r="N31" s="5">
        <f t="shared" si="9"/>
        <v>0.23546390921992846</v>
      </c>
      <c r="O31" s="14"/>
      <c r="P31" s="1">
        <f>SUM(OSRRefP22_0x_0)</f>
        <v>22280.38</v>
      </c>
      <c r="Q31" s="1"/>
      <c r="R31" s="5">
        <f t="shared" si="10"/>
        <v>0.13242919260225586</v>
      </c>
      <c r="S31" s="1"/>
      <c r="T31" s="1">
        <f>SUM(OSRRefT22_0x_0)</f>
        <v>19916.68</v>
      </c>
      <c r="U31" s="1"/>
      <c r="V31" s="5">
        <f t="shared" si="11"/>
        <v>0.11220769726635191</v>
      </c>
      <c r="W31" s="1"/>
      <c r="X31" s="1">
        <f t="shared" si="12"/>
        <v>2363.7000000000007</v>
      </c>
      <c r="Y31" s="1"/>
      <c r="Z31" s="5">
        <f t="shared" si="13"/>
        <v>0.11867941845729311</v>
      </c>
    </row>
    <row r="32" spans="1:26" s="24" customFormat="1" hidden="1" outlineLevel="2" x14ac:dyDescent="0.25">
      <c r="A32" s="28"/>
      <c r="B32" s="11" t="str">
        <f>CONCATENATE("          ", "6111", " - ", "F.I.C.A.")</f>
        <v xml:space="preserve">          6111 - F.I.C.A.</v>
      </c>
      <c r="C32" s="11"/>
      <c r="D32" s="6">
        <v>1053.6400000000001</v>
      </c>
      <c r="E32" s="2"/>
      <c r="F32" s="7">
        <f t="shared" si="6"/>
        <v>1.6056986116324307E-2</v>
      </c>
      <c r="G32" s="2"/>
      <c r="H32" s="6">
        <v>989.59</v>
      </c>
      <c r="I32" s="2"/>
      <c r="J32" s="7">
        <f t="shared" si="7"/>
        <v>1.4435309801420586E-2</v>
      </c>
      <c r="K32" s="2"/>
      <c r="L32" s="6">
        <f t="shared" si="8"/>
        <v>64.050000000000068</v>
      </c>
      <c r="M32" s="2"/>
      <c r="N32" s="7">
        <f t="shared" si="9"/>
        <v>6.4723774492466649E-2</v>
      </c>
      <c r="O32" s="11"/>
      <c r="P32" s="6">
        <v>3386.91</v>
      </c>
      <c r="Q32" s="2"/>
      <c r="R32" s="7">
        <f t="shared" si="10"/>
        <v>2.013097427945602E-2</v>
      </c>
      <c r="S32" s="2"/>
      <c r="T32" s="6">
        <v>3211.31</v>
      </c>
      <c r="U32" s="2"/>
      <c r="V32" s="7">
        <f t="shared" si="11"/>
        <v>1.8092056522894806E-2</v>
      </c>
      <c r="W32" s="2"/>
      <c r="X32" s="6">
        <f t="shared" si="12"/>
        <v>175.59999999999991</v>
      </c>
      <c r="Y32" s="2"/>
      <c r="Z32" s="7">
        <f t="shared" si="13"/>
        <v>5.4681734245525943E-2</v>
      </c>
    </row>
    <row r="33" spans="1:26" s="24" customFormat="1" hidden="1" outlineLevel="2" x14ac:dyDescent="0.25">
      <c r="A33" s="28"/>
      <c r="B33" s="11" t="str">
        <f>CONCATENATE("          ", "6112", " - ", "COMPENSATION INSURANCE")</f>
        <v xml:space="preserve">          6112 - COMPENSATION INSURANCE</v>
      </c>
      <c r="C33" s="11"/>
      <c r="D33" s="6">
        <v>238.77</v>
      </c>
      <c r="E33" s="2"/>
      <c r="F33" s="7">
        <f t="shared" si="6"/>
        <v>3.6387443291776645E-3</v>
      </c>
      <c r="G33" s="2"/>
      <c r="H33" s="6"/>
      <c r="I33" s="2"/>
      <c r="J33" s="7">
        <f t="shared" si="7"/>
        <v>0</v>
      </c>
      <c r="K33" s="2"/>
      <c r="L33" s="6">
        <f t="shared" si="8"/>
        <v>238.77</v>
      </c>
      <c r="M33" s="2"/>
      <c r="N33" s="7">
        <f t="shared" si="9"/>
        <v>0</v>
      </c>
      <c r="O33" s="11"/>
      <c r="P33" s="6">
        <v>604.75</v>
      </c>
      <c r="Q33" s="2"/>
      <c r="R33" s="7">
        <f t="shared" si="10"/>
        <v>3.5944878061421851E-3</v>
      </c>
      <c r="S33" s="2"/>
      <c r="T33" s="6">
        <v>413.7</v>
      </c>
      <c r="U33" s="2"/>
      <c r="V33" s="7">
        <f t="shared" si="11"/>
        <v>2.3307260225644928E-3</v>
      </c>
      <c r="W33" s="2"/>
      <c r="X33" s="6">
        <f t="shared" si="12"/>
        <v>191.05</v>
      </c>
      <c r="Y33" s="2"/>
      <c r="Z33" s="7">
        <f t="shared" si="13"/>
        <v>0.46180807348320041</v>
      </c>
    </row>
    <row r="34" spans="1:26" s="24" customFormat="1" hidden="1" outlineLevel="2" x14ac:dyDescent="0.25">
      <c r="A34" s="28"/>
      <c r="B34" s="11" t="str">
        <f>CONCATENATE("          ", "6113", " - ", "GROUP INSURANCE")</f>
        <v xml:space="preserve">          6113 - GROUP INSURANCE</v>
      </c>
      <c r="C34" s="11"/>
      <c r="D34" s="6">
        <v>3051.28</v>
      </c>
      <c r="E34" s="2"/>
      <c r="F34" s="7">
        <f t="shared" si="6"/>
        <v>4.65000954757014E-2</v>
      </c>
      <c r="G34" s="2"/>
      <c r="H34" s="6">
        <v>2722.97</v>
      </c>
      <c r="I34" s="2"/>
      <c r="J34" s="7">
        <f t="shared" si="7"/>
        <v>3.9720404945456415E-2</v>
      </c>
      <c r="K34" s="2"/>
      <c r="L34" s="6">
        <f t="shared" si="8"/>
        <v>328.3100000000004</v>
      </c>
      <c r="M34" s="2"/>
      <c r="N34" s="7">
        <f t="shared" si="9"/>
        <v>0.12057055347653498</v>
      </c>
      <c r="O34" s="11"/>
      <c r="P34" s="6">
        <v>8229.6</v>
      </c>
      <c r="Q34" s="2"/>
      <c r="R34" s="7">
        <f t="shared" si="10"/>
        <v>4.8914752954820555E-2</v>
      </c>
      <c r="S34" s="2"/>
      <c r="T34" s="6">
        <v>6471.77</v>
      </c>
      <c r="U34" s="2"/>
      <c r="V34" s="7">
        <f t="shared" si="11"/>
        <v>3.6461017043877712E-2</v>
      </c>
      <c r="W34" s="2"/>
      <c r="X34" s="6">
        <f t="shared" si="12"/>
        <v>1757.83</v>
      </c>
      <c r="Y34" s="2"/>
      <c r="Z34" s="7">
        <f t="shared" si="13"/>
        <v>0.27161502958232442</v>
      </c>
    </row>
    <row r="35" spans="1:26" s="24" customFormat="1" hidden="1" outlineLevel="2" x14ac:dyDescent="0.25">
      <c r="A35" s="28"/>
      <c r="B35" s="11" t="str">
        <f>CONCATENATE("          ", "6114", " - ", "STATE UNEMPLOYMENT INSURANCE")</f>
        <v xml:space="preserve">          6114 - STATE UNEMPLOYMENT INSURANCE</v>
      </c>
      <c r="C35" s="11"/>
      <c r="D35" s="6">
        <v>47.03</v>
      </c>
      <c r="E35" s="2"/>
      <c r="F35" s="7">
        <f t="shared" si="6"/>
        <v>7.1671544080590343E-4</v>
      </c>
      <c r="G35" s="2"/>
      <c r="H35" s="6">
        <v>41.39</v>
      </c>
      <c r="I35" s="2"/>
      <c r="J35" s="7">
        <f t="shared" si="7"/>
        <v>6.0376264178174611E-4</v>
      </c>
      <c r="K35" s="2"/>
      <c r="L35" s="6">
        <f t="shared" si="8"/>
        <v>5.6400000000000006</v>
      </c>
      <c r="M35" s="2"/>
      <c r="N35" s="7">
        <f t="shared" si="9"/>
        <v>0.1362647982604494</v>
      </c>
      <c r="O35" s="11"/>
      <c r="P35" s="6">
        <v>125.82</v>
      </c>
      <c r="Q35" s="2"/>
      <c r="R35" s="7">
        <f t="shared" si="10"/>
        <v>7.4784366394181026E-4</v>
      </c>
      <c r="S35" s="2"/>
      <c r="T35" s="6">
        <v>131.78</v>
      </c>
      <c r="U35" s="2"/>
      <c r="V35" s="7">
        <f t="shared" si="11"/>
        <v>7.424294784954045E-4</v>
      </c>
      <c r="W35" s="2"/>
      <c r="X35" s="6">
        <f t="shared" si="12"/>
        <v>-5.960000000000008</v>
      </c>
      <c r="Y35" s="2"/>
      <c r="Z35" s="7">
        <f t="shared" si="13"/>
        <v>-4.5226893307026922E-2</v>
      </c>
    </row>
    <row r="36" spans="1:26" s="24" customFormat="1" hidden="1" outlineLevel="2" x14ac:dyDescent="0.25">
      <c r="A36" s="28"/>
      <c r="B36" s="11" t="str">
        <f>CONCATENATE("          ", "6115", " - ", "P.E.R.S.")</f>
        <v xml:space="preserve">          6115 - P.E.R.S.</v>
      </c>
      <c r="C36" s="11"/>
      <c r="D36" s="6">
        <v>1187.75</v>
      </c>
      <c r="E36" s="2"/>
      <c r="F36" s="7">
        <f t="shared" si="6"/>
        <v>1.8100760468152493E-2</v>
      </c>
      <c r="G36" s="2"/>
      <c r="H36" s="6">
        <v>984.68</v>
      </c>
      <c r="I36" s="2"/>
      <c r="J36" s="7">
        <f t="shared" si="7"/>
        <v>1.4363686835217436E-2</v>
      </c>
      <c r="K36" s="2"/>
      <c r="L36" s="6">
        <f t="shared" si="8"/>
        <v>203.07000000000005</v>
      </c>
      <c r="M36" s="2"/>
      <c r="N36" s="7">
        <f t="shared" si="9"/>
        <v>0.2062294349433319</v>
      </c>
      <c r="O36" s="11"/>
      <c r="P36" s="6">
        <v>3367.01</v>
      </c>
      <c r="Q36" s="2"/>
      <c r="R36" s="7">
        <f t="shared" si="10"/>
        <v>2.0012693490134435E-2</v>
      </c>
      <c r="S36" s="2"/>
      <c r="T36" s="6">
        <v>3432.05</v>
      </c>
      <c r="U36" s="2"/>
      <c r="V36" s="7">
        <f t="shared" si="11"/>
        <v>1.9335673787146405E-2</v>
      </c>
      <c r="W36" s="2"/>
      <c r="X36" s="6">
        <f t="shared" si="12"/>
        <v>-65.039999999999964</v>
      </c>
      <c r="Y36" s="2"/>
      <c r="Z36" s="7">
        <f t="shared" si="13"/>
        <v>-1.8950772861700722E-2</v>
      </c>
    </row>
    <row r="37" spans="1:26" s="24" customFormat="1" hidden="1" outlineLevel="2" x14ac:dyDescent="0.25">
      <c r="A37" s="28"/>
      <c r="B37" s="11" t="str">
        <f>CONCATENATE("          ", "6118", " - ", "VACATION")</f>
        <v xml:space="preserve">          6118 - VACATION</v>
      </c>
      <c r="C37" s="11"/>
      <c r="D37" s="6">
        <v>1236.01</v>
      </c>
      <c r="E37" s="2"/>
      <c r="F37" s="7">
        <f t="shared" si="6"/>
        <v>1.8836220539878899E-2</v>
      </c>
      <c r="G37" s="2"/>
      <c r="H37" s="6">
        <v>951.42</v>
      </c>
      <c r="I37" s="2"/>
      <c r="J37" s="7">
        <f t="shared" si="7"/>
        <v>1.3878517821792433E-2</v>
      </c>
      <c r="K37" s="2"/>
      <c r="L37" s="6">
        <f t="shared" si="8"/>
        <v>284.59000000000003</v>
      </c>
      <c r="M37" s="2"/>
      <c r="N37" s="7">
        <f t="shared" si="9"/>
        <v>0.29912131340522591</v>
      </c>
      <c r="O37" s="11"/>
      <c r="P37" s="6">
        <v>3682.43</v>
      </c>
      <c r="Q37" s="2"/>
      <c r="R37" s="7">
        <f t="shared" si="10"/>
        <v>2.1887473719672867E-2</v>
      </c>
      <c r="S37" s="2"/>
      <c r="T37" s="6">
        <v>2854.26</v>
      </c>
      <c r="U37" s="2"/>
      <c r="V37" s="7">
        <f t="shared" si="11"/>
        <v>1.6080488414708556E-2</v>
      </c>
      <c r="W37" s="2"/>
      <c r="X37" s="6">
        <f t="shared" si="12"/>
        <v>828.16999999999962</v>
      </c>
      <c r="Y37" s="2"/>
      <c r="Z37" s="7">
        <f t="shared" si="13"/>
        <v>0.29015226363400654</v>
      </c>
    </row>
    <row r="38" spans="1:26" s="24" customFormat="1" hidden="1" outlineLevel="2" x14ac:dyDescent="0.25">
      <c r="A38" s="28"/>
      <c r="B38" s="11" t="str">
        <f>CONCATENATE("          ", "6119", " - ", "SICK LEAVE")</f>
        <v xml:space="preserve">          6119 - SICK LEAVE</v>
      </c>
      <c r="C38" s="11"/>
      <c r="D38" s="6">
        <v>809.89</v>
      </c>
      <c r="E38" s="2"/>
      <c r="F38" s="7">
        <f t="shared" si="6"/>
        <v>1.2342348891224602E-2</v>
      </c>
      <c r="G38" s="2"/>
      <c r="H38" s="6">
        <v>482.72</v>
      </c>
      <c r="I38" s="2"/>
      <c r="J38" s="7">
        <f t="shared" si="7"/>
        <v>7.0415149176343197E-3</v>
      </c>
      <c r="K38" s="2"/>
      <c r="L38" s="6">
        <f t="shared" si="8"/>
        <v>327.16999999999996</v>
      </c>
      <c r="M38" s="2"/>
      <c r="N38" s="7">
        <f t="shared" si="9"/>
        <v>0.67776350679482922</v>
      </c>
      <c r="O38" s="11"/>
      <c r="P38" s="6">
        <v>2148.41</v>
      </c>
      <c r="Q38" s="2"/>
      <c r="R38" s="7">
        <f t="shared" si="10"/>
        <v>1.2769629677708031E-2</v>
      </c>
      <c r="S38" s="2"/>
      <c r="T38" s="6">
        <v>2552.19</v>
      </c>
      <c r="U38" s="2"/>
      <c r="V38" s="7">
        <f t="shared" si="11"/>
        <v>1.4378669682206606E-2</v>
      </c>
      <c r="W38" s="2"/>
      <c r="X38" s="6">
        <f t="shared" si="12"/>
        <v>-403.7800000000002</v>
      </c>
      <c r="Y38" s="2"/>
      <c r="Z38" s="7">
        <f t="shared" si="13"/>
        <v>-0.15820922423487288</v>
      </c>
    </row>
    <row r="39" spans="1:26" s="24" customFormat="1" hidden="1" outlineLevel="2" x14ac:dyDescent="0.25">
      <c r="A39" s="28"/>
      <c r="B39" s="11" t="str">
        <f>CONCATENATE("          ", "6156", " - ", "EMPLOYEE MEALS")</f>
        <v xml:space="preserve">          6156 - EMPLOYEE MEALS</v>
      </c>
      <c r="C39" s="11"/>
      <c r="D39" s="6">
        <v>349.66</v>
      </c>
      <c r="E39" s="2"/>
      <c r="F39" s="7">
        <f t="shared" si="6"/>
        <v>5.3286566241163551E-3</v>
      </c>
      <c r="G39" s="2"/>
      <c r="H39" s="6">
        <v>281.51</v>
      </c>
      <c r="I39" s="2"/>
      <c r="J39" s="7">
        <f t="shared" si="7"/>
        <v>4.1064320195211244E-3</v>
      </c>
      <c r="K39" s="2"/>
      <c r="L39" s="6">
        <f t="shared" si="8"/>
        <v>68.150000000000034</v>
      </c>
      <c r="M39" s="2"/>
      <c r="N39" s="7">
        <f t="shared" si="9"/>
        <v>0.24208731483783894</v>
      </c>
      <c r="O39" s="11"/>
      <c r="P39" s="6">
        <v>735.45</v>
      </c>
      <c r="Q39" s="2"/>
      <c r="R39" s="7">
        <f t="shared" si="10"/>
        <v>4.3713370103799429E-3</v>
      </c>
      <c r="S39" s="2"/>
      <c r="T39" s="6">
        <v>849.62</v>
      </c>
      <c r="U39" s="2"/>
      <c r="V39" s="7">
        <f t="shared" si="11"/>
        <v>4.7866363144579271E-3</v>
      </c>
      <c r="W39" s="2"/>
      <c r="X39" s="6">
        <f t="shared" si="12"/>
        <v>-114.16999999999996</v>
      </c>
      <c r="Y39" s="2"/>
      <c r="Z39" s="7">
        <f t="shared" si="13"/>
        <v>-0.13437772180504221</v>
      </c>
    </row>
    <row r="40" spans="1:26" s="29" customFormat="1" outlineLevel="1" collapsed="1" x14ac:dyDescent="0.25">
      <c r="A40" s="27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18444.34</v>
      </c>
      <c r="E40" s="1"/>
      <c r="F40" s="5">
        <f t="shared" ref="F40:F44" si="14">IF(D$12=0,0,D40/D$12)</f>
        <v>0.28108320802623765</v>
      </c>
      <c r="G40" s="1"/>
      <c r="H40" s="1">
        <f>SUM(OSRRefH22_1x_0)</f>
        <v>14715.85</v>
      </c>
      <c r="I40" s="1"/>
      <c r="J40" s="5">
        <f t="shared" ref="J40:J44" si="15">IF(H$12=0,0,H40/H$12)</f>
        <v>0.21466249026489267</v>
      </c>
      <c r="K40" s="1"/>
      <c r="L40" s="1">
        <f t="shared" ref="L40:L44" si="16">+D40-H40</f>
        <v>3728.49</v>
      </c>
      <c r="M40" s="1"/>
      <c r="N40" s="5">
        <f t="shared" ref="N40:N44" si="17">IF(H40=0,0,L40/H40)</f>
        <v>0.25336558880390869</v>
      </c>
      <c r="O40" s="14"/>
      <c r="P40" s="1">
        <f>SUM(OSRRefP22_1x_0)</f>
        <v>52261.36</v>
      </c>
      <c r="Q40" s="1"/>
      <c r="R40" s="5">
        <f t="shared" ref="R40:R44" si="18">IF(P$12=0,0,P40/P$12)</f>
        <v>0.31062889004118555</v>
      </c>
      <c r="S40" s="1"/>
      <c r="T40" s="1">
        <f>SUM(OSRRefT22_1x_0)</f>
        <v>47138.87</v>
      </c>
      <c r="U40" s="1"/>
      <c r="V40" s="5">
        <f t="shared" ref="V40:V44" si="19">IF(T$12=0,0,T40/T$12)</f>
        <v>0.26557358226561445</v>
      </c>
      <c r="W40" s="1"/>
      <c r="X40" s="1">
        <f t="shared" ref="X40:X44" si="20">+P40-T40</f>
        <v>5122.489999999998</v>
      </c>
      <c r="Y40" s="1"/>
      <c r="Z40" s="5">
        <f t="shared" ref="Z40:Z44" si="21">IF(T40=0,0,X40/T40)</f>
        <v>0.10866806947217865</v>
      </c>
    </row>
    <row r="41" spans="1:26" s="24" customFormat="1" hidden="1" outlineLevel="2" x14ac:dyDescent="0.25">
      <c r="A41" s="28"/>
      <c r="B41" s="11" t="str">
        <f>CONCATENATE("          ", "6002", " - ", "STAFF SALARIES")</f>
        <v xml:space="preserve">          6002 - STAFF SALARIES</v>
      </c>
      <c r="C41" s="11"/>
      <c r="D41" s="6">
        <v>12098.2</v>
      </c>
      <c r="E41" s="2"/>
      <c r="F41" s="7">
        <f t="shared" si="14"/>
        <v>0.18437097057108187</v>
      </c>
      <c r="G41" s="2"/>
      <c r="H41" s="6">
        <v>9831.25</v>
      </c>
      <c r="I41" s="2"/>
      <c r="J41" s="7">
        <f t="shared" si="15"/>
        <v>0.14341003798059412</v>
      </c>
      <c r="K41" s="2"/>
      <c r="L41" s="6">
        <f t="shared" si="16"/>
        <v>2266.9500000000007</v>
      </c>
      <c r="M41" s="2"/>
      <c r="N41" s="7">
        <f t="shared" si="17"/>
        <v>0.23058614113159576</v>
      </c>
      <c r="O41" s="11"/>
      <c r="P41" s="6">
        <v>34914.97</v>
      </c>
      <c r="Q41" s="2"/>
      <c r="R41" s="7">
        <f t="shared" si="18"/>
        <v>0.20752614124319177</v>
      </c>
      <c r="S41" s="2"/>
      <c r="T41" s="6">
        <v>32691.100000000002</v>
      </c>
      <c r="U41" s="2"/>
      <c r="V41" s="7">
        <f t="shared" si="19"/>
        <v>0.18417693371104205</v>
      </c>
      <c r="W41" s="2"/>
      <c r="X41" s="6">
        <f t="shared" si="20"/>
        <v>2223.869999999999</v>
      </c>
      <c r="Y41" s="2"/>
      <c r="Z41" s="7">
        <f t="shared" si="21"/>
        <v>6.8026771812511627E-2</v>
      </c>
    </row>
    <row r="42" spans="1:26" s="24" customFormat="1" hidden="1" outlineLevel="2" x14ac:dyDescent="0.25">
      <c r="A42" s="28"/>
      <c r="B42" s="11" t="str">
        <f>CONCATENATE("          ", "6005", " - ", "TEMPORARY WAGES-HOURLY")</f>
        <v xml:space="preserve">          6005 - TEMPORARY WAGES-HOURLY</v>
      </c>
      <c r="C42" s="11"/>
      <c r="D42" s="6">
        <v>1690.5</v>
      </c>
      <c r="E42" s="2"/>
      <c r="F42" s="7">
        <f t="shared" si="14"/>
        <v>2.5762437862691466E-2</v>
      </c>
      <c r="G42" s="2"/>
      <c r="H42" s="6">
        <v>1318.85</v>
      </c>
      <c r="I42" s="2"/>
      <c r="J42" s="7">
        <f t="shared" si="15"/>
        <v>1.9238278814057881E-2</v>
      </c>
      <c r="K42" s="2"/>
      <c r="L42" s="6">
        <f t="shared" si="16"/>
        <v>371.65000000000009</v>
      </c>
      <c r="M42" s="2"/>
      <c r="N42" s="7">
        <f t="shared" si="17"/>
        <v>0.28179853660385951</v>
      </c>
      <c r="O42" s="11"/>
      <c r="P42" s="6">
        <v>4182.5</v>
      </c>
      <c r="Q42" s="2"/>
      <c r="R42" s="7">
        <f t="shared" si="18"/>
        <v>2.4859768911433964E-2</v>
      </c>
      <c r="S42" s="2"/>
      <c r="T42" s="6">
        <v>3207.63</v>
      </c>
      <c r="U42" s="2"/>
      <c r="V42" s="7">
        <f t="shared" si="19"/>
        <v>1.8071323934635109E-2</v>
      </c>
      <c r="W42" s="2"/>
      <c r="X42" s="6">
        <f t="shared" si="20"/>
        <v>974.86999999999989</v>
      </c>
      <c r="Y42" s="2"/>
      <c r="Z42" s="7">
        <f t="shared" si="21"/>
        <v>0.30392221047938817</v>
      </c>
    </row>
    <row r="43" spans="1:26" s="24" customFormat="1" hidden="1" outlineLevel="2" x14ac:dyDescent="0.25">
      <c r="A43" s="28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14"/>
        <v>0</v>
      </c>
      <c r="G43" s="2"/>
      <c r="H43" s="6">
        <v>1134.75</v>
      </c>
      <c r="I43" s="2"/>
      <c r="J43" s="7">
        <f t="shared" si="15"/>
        <v>1.655278226049375E-2</v>
      </c>
      <c r="K43" s="2"/>
      <c r="L43" s="6">
        <f t="shared" si="16"/>
        <v>-1134.75</v>
      </c>
      <c r="M43" s="2"/>
      <c r="N43" s="7">
        <f t="shared" si="17"/>
        <v>-1</v>
      </c>
      <c r="O43" s="11"/>
      <c r="P43" s="6"/>
      <c r="Q43" s="2"/>
      <c r="R43" s="7">
        <f t="shared" si="18"/>
        <v>0</v>
      </c>
      <c r="S43" s="2"/>
      <c r="T43" s="6">
        <v>3143.14</v>
      </c>
      <c r="U43" s="2"/>
      <c r="V43" s="7">
        <f t="shared" si="19"/>
        <v>1.77079965930949E-2</v>
      </c>
      <c r="W43" s="2"/>
      <c r="X43" s="6">
        <f t="shared" si="20"/>
        <v>-3143.14</v>
      </c>
      <c r="Y43" s="2"/>
      <c r="Z43" s="7">
        <f t="shared" si="21"/>
        <v>-1</v>
      </c>
    </row>
    <row r="44" spans="1:26" s="24" customFormat="1" hidden="1" outlineLevel="2" x14ac:dyDescent="0.25">
      <c r="A44" s="28"/>
      <c r="B44" s="11" t="str">
        <f>CONCATENATE("          ", "6007", " - ", "STUDENT HOURLY")</f>
        <v xml:space="preserve">          6007 - STUDENT HOURLY</v>
      </c>
      <c r="C44" s="11"/>
      <c r="D44" s="6">
        <v>4655.6400000000003</v>
      </c>
      <c r="E44" s="2"/>
      <c r="F44" s="7">
        <f t="shared" si="14"/>
        <v>7.0949799592464308E-2</v>
      </c>
      <c r="G44" s="2"/>
      <c r="H44" s="6">
        <v>2431</v>
      </c>
      <c r="I44" s="2"/>
      <c r="J44" s="7">
        <f t="shared" si="15"/>
        <v>3.5461391209746909E-2</v>
      </c>
      <c r="K44" s="2"/>
      <c r="L44" s="6">
        <f t="shared" si="16"/>
        <v>2224.6400000000003</v>
      </c>
      <c r="M44" s="2"/>
      <c r="N44" s="7">
        <f t="shared" si="17"/>
        <v>0.91511312217194585</v>
      </c>
      <c r="O44" s="11"/>
      <c r="P44" s="6">
        <v>13163.89</v>
      </c>
      <c r="Q44" s="2"/>
      <c r="R44" s="7">
        <f t="shared" si="18"/>
        <v>7.8242979886559816E-2</v>
      </c>
      <c r="S44" s="2"/>
      <c r="T44" s="6">
        <v>8097</v>
      </c>
      <c r="U44" s="2"/>
      <c r="V44" s="7">
        <f t="shared" si="19"/>
        <v>4.5617328026842395E-2</v>
      </c>
      <c r="W44" s="2"/>
      <c r="X44" s="6">
        <f t="shared" si="20"/>
        <v>5066.8899999999994</v>
      </c>
      <c r="Y44" s="2"/>
      <c r="Z44" s="7">
        <f t="shared" si="21"/>
        <v>0.62577374336173885</v>
      </c>
    </row>
    <row r="45" spans="1:26" s="29" customFormat="1" outlineLevel="1" collapsed="1" x14ac:dyDescent="0.25">
      <c r="A45" s="27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59" si="22">IF(D$12=0,0,D45/D$12)</f>
        <v>0</v>
      </c>
      <c r="G45" s="1"/>
      <c r="H45" s="1">
        <f>SUM(OSRRefH22_2x_0)</f>
        <v>13.5</v>
      </c>
      <c r="I45" s="1"/>
      <c r="J45" s="5">
        <f t="shared" ref="J45:J59" si="23">IF(H$12=0,0,H45/H$12)</f>
        <v>1.9692668915326339E-4</v>
      </c>
      <c r="K45" s="1"/>
      <c r="L45" s="1">
        <f t="shared" ref="L45:L59" si="24">+D45-H45</f>
        <v>-13.5</v>
      </c>
      <c r="M45" s="1"/>
      <c r="N45" s="5">
        <f t="shared" ref="N45:N59" si="25">IF(H45=0,0,L45/H45)</f>
        <v>-1</v>
      </c>
      <c r="O45" s="14"/>
      <c r="P45" s="1">
        <f>SUM(OSRRefP22_2x_0)</f>
        <v>0</v>
      </c>
      <c r="Q45" s="1"/>
      <c r="R45" s="5">
        <f t="shared" ref="R45:R59" si="26">IF(P$12=0,0,P45/P$12)</f>
        <v>0</v>
      </c>
      <c r="S45" s="1"/>
      <c r="T45" s="1">
        <f>SUM(OSRRefT22_2x_0)</f>
        <v>551.5</v>
      </c>
      <c r="U45" s="1"/>
      <c r="V45" s="5">
        <f t="shared" ref="V45:V59" si="27">IF(T$12=0,0,T45/T$12)</f>
        <v>3.1070713112021217E-3</v>
      </c>
      <c r="W45" s="1"/>
      <c r="X45" s="1">
        <f t="shared" ref="X45:X59" si="28">+P45-T45</f>
        <v>-551.5</v>
      </c>
      <c r="Y45" s="1"/>
      <c r="Z45" s="5">
        <f t="shared" ref="Z45:Z59" si="29">IF(T45=0,0,X45/T45)</f>
        <v>-1</v>
      </c>
    </row>
    <row r="46" spans="1:26" s="24" customFormat="1" hidden="1" outlineLevel="2" x14ac:dyDescent="0.25">
      <c r="A46" s="28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2"/>
        <v>0</v>
      </c>
      <c r="G46" s="2"/>
      <c r="H46" s="6">
        <v>13.5</v>
      </c>
      <c r="I46" s="2"/>
      <c r="J46" s="7">
        <f t="shared" si="23"/>
        <v>1.9692668915326339E-4</v>
      </c>
      <c r="K46" s="2"/>
      <c r="L46" s="6">
        <f t="shared" si="24"/>
        <v>-13.5</v>
      </c>
      <c r="M46" s="2"/>
      <c r="N46" s="7">
        <f t="shared" si="25"/>
        <v>-1</v>
      </c>
      <c r="O46" s="11"/>
      <c r="P46" s="6"/>
      <c r="Q46" s="2"/>
      <c r="R46" s="7">
        <f t="shared" si="26"/>
        <v>0</v>
      </c>
      <c r="S46" s="2"/>
      <c r="T46" s="6">
        <v>551.5</v>
      </c>
      <c r="U46" s="2"/>
      <c r="V46" s="7">
        <f t="shared" si="27"/>
        <v>3.1070713112021217E-3</v>
      </c>
      <c r="W46" s="2"/>
      <c r="X46" s="6">
        <f t="shared" si="28"/>
        <v>-551.5</v>
      </c>
      <c r="Y46" s="2"/>
      <c r="Z46" s="7">
        <f t="shared" si="29"/>
        <v>-1</v>
      </c>
    </row>
    <row r="47" spans="1:26" s="29" customFormat="1" outlineLevel="1" collapsed="1" x14ac:dyDescent="0.25">
      <c r="A47" s="27"/>
      <c r="B47" s="14" t="str">
        <f>CONCATENATE("     ","Discounts and Markdowns                           ")</f>
        <v xml:space="preserve">     Discounts and Markdowns                           </v>
      </c>
      <c r="C47" s="14"/>
      <c r="D47" s="1">
        <f>SUM(OSRRefD22_3x_0)</f>
        <v>140.38999999999999</v>
      </c>
      <c r="E47" s="1"/>
      <c r="F47" s="5">
        <f t="shared" si="22"/>
        <v>2.1394786462840903E-3</v>
      </c>
      <c r="G47" s="1"/>
      <c r="H47" s="1">
        <f>SUM(OSRRefH22_3x_0)</f>
        <v>142.52000000000001</v>
      </c>
      <c r="I47" s="1"/>
      <c r="J47" s="5">
        <f t="shared" si="23"/>
        <v>2.0789623509720814E-3</v>
      </c>
      <c r="K47" s="1"/>
      <c r="L47" s="1">
        <f t="shared" si="24"/>
        <v>-2.1300000000000239</v>
      </c>
      <c r="M47" s="1"/>
      <c r="N47" s="5">
        <f t="shared" si="25"/>
        <v>-1.4945270839180633E-2</v>
      </c>
      <c r="O47" s="14"/>
      <c r="P47" s="1">
        <f>SUM(OSRRefP22_3x_0)</f>
        <v>300.56</v>
      </c>
      <c r="Q47" s="1"/>
      <c r="R47" s="5">
        <f t="shared" si="26"/>
        <v>1.786455981833973E-3</v>
      </c>
      <c r="S47" s="1"/>
      <c r="T47" s="1">
        <f>SUM(OSRRefT22_3x_0)</f>
        <v>445.09</v>
      </c>
      <c r="U47" s="1"/>
      <c r="V47" s="5">
        <f t="shared" si="27"/>
        <v>2.5075727468775199E-3</v>
      </c>
      <c r="W47" s="1"/>
      <c r="X47" s="1">
        <f t="shared" si="28"/>
        <v>-144.52999999999997</v>
      </c>
      <c r="Y47" s="1"/>
      <c r="Z47" s="5">
        <f t="shared" si="29"/>
        <v>-0.32472084297557791</v>
      </c>
    </row>
    <row r="48" spans="1:26" s="24" customFormat="1" hidden="1" outlineLevel="2" x14ac:dyDescent="0.25">
      <c r="A48" s="28"/>
      <c r="B48" s="11" t="str">
        <f>CONCATENATE("          ", "6382", " - ", "DISCOUNTS/MARK DOWNS")</f>
        <v xml:space="preserve">          6382 - DISCOUNTS/MARK DOWNS</v>
      </c>
      <c r="C48" s="11"/>
      <c r="D48" s="6">
        <v>140.38999999999999</v>
      </c>
      <c r="E48" s="2"/>
      <c r="F48" s="7">
        <f t="shared" si="22"/>
        <v>2.1394786462840903E-3</v>
      </c>
      <c r="G48" s="2"/>
      <c r="H48" s="6">
        <v>142.52000000000001</v>
      </c>
      <c r="I48" s="2"/>
      <c r="J48" s="7">
        <f t="shared" si="23"/>
        <v>2.0789623509720814E-3</v>
      </c>
      <c r="K48" s="2"/>
      <c r="L48" s="6">
        <f t="shared" si="24"/>
        <v>-2.1300000000000239</v>
      </c>
      <c r="M48" s="2"/>
      <c r="N48" s="7">
        <f t="shared" si="25"/>
        <v>-1.4945270839180633E-2</v>
      </c>
      <c r="O48" s="11"/>
      <c r="P48" s="6">
        <v>300.56</v>
      </c>
      <c r="Q48" s="2"/>
      <c r="R48" s="7">
        <f t="shared" si="26"/>
        <v>1.786455981833973E-3</v>
      </c>
      <c r="S48" s="2"/>
      <c r="T48" s="6">
        <v>445.09</v>
      </c>
      <c r="U48" s="2"/>
      <c r="V48" s="7">
        <f t="shared" si="27"/>
        <v>2.5075727468775199E-3</v>
      </c>
      <c r="W48" s="2"/>
      <c r="X48" s="6">
        <f t="shared" si="28"/>
        <v>-144.52999999999997</v>
      </c>
      <c r="Y48" s="2"/>
      <c r="Z48" s="7">
        <f t="shared" si="29"/>
        <v>-0.32472084297557791</v>
      </c>
    </row>
    <row r="49" spans="1:26" s="29" customFormat="1" outlineLevel="1" collapsed="1" x14ac:dyDescent="0.25">
      <c r="A49" s="27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SUM(OSRRefD22_4x_0)</f>
        <v>1205.6400000000001</v>
      </c>
      <c r="E49" s="1"/>
      <c r="F49" s="5">
        <f t="shared" si="22"/>
        <v>1.8373395791053144E-2</v>
      </c>
      <c r="G49" s="1"/>
      <c r="H49" s="1">
        <f>SUM(OSRRefH22_4x_0)</f>
        <v>3142.91</v>
      </c>
      <c r="I49" s="1"/>
      <c r="J49" s="5">
        <f t="shared" si="23"/>
        <v>4.5846137822717264E-2</v>
      </c>
      <c r="K49" s="1"/>
      <c r="L49" s="1">
        <f t="shared" si="24"/>
        <v>-1937.2699999999998</v>
      </c>
      <c r="M49" s="1"/>
      <c r="N49" s="5">
        <f t="shared" si="25"/>
        <v>-0.61639372428736416</v>
      </c>
      <c r="O49" s="14"/>
      <c r="P49" s="1">
        <f>SUM(OSRRefP22_4x_0)</f>
        <v>3616.92</v>
      </c>
      <c r="Q49" s="1"/>
      <c r="R49" s="5">
        <f t="shared" si="26"/>
        <v>2.1498098116232812E-2</v>
      </c>
      <c r="S49" s="1"/>
      <c r="T49" s="1">
        <f>SUM(OSRRefT22_4x_0)</f>
        <v>9430.01</v>
      </c>
      <c r="U49" s="1"/>
      <c r="V49" s="5">
        <f t="shared" si="27"/>
        <v>5.3127313754032859E-2</v>
      </c>
      <c r="W49" s="1"/>
      <c r="X49" s="1">
        <f t="shared" si="28"/>
        <v>-5813.09</v>
      </c>
      <c r="Y49" s="1"/>
      <c r="Z49" s="5">
        <f t="shared" si="29"/>
        <v>-0.61644579380085496</v>
      </c>
    </row>
    <row r="50" spans="1:26" s="24" customFormat="1" hidden="1" outlineLevel="2" x14ac:dyDescent="0.25">
      <c r="A50" s="28"/>
      <c r="B50" s="11" t="str">
        <f>CONCATENATE("          ", "6351", " - ", "EQUIPMENT RENTAL")</f>
        <v xml:space="preserve">          6351 - EQUIPMENT RENTAL</v>
      </c>
      <c r="C50" s="11"/>
      <c r="D50" s="6">
        <v>1205.6400000000001</v>
      </c>
      <c r="E50" s="2"/>
      <c r="F50" s="7">
        <f t="shared" si="22"/>
        <v>1.8373395791053144E-2</v>
      </c>
      <c r="G50" s="2"/>
      <c r="H50" s="6">
        <v>3142.91</v>
      </c>
      <c r="I50" s="2"/>
      <c r="J50" s="7">
        <f t="shared" si="23"/>
        <v>4.5846137822717264E-2</v>
      </c>
      <c r="K50" s="2"/>
      <c r="L50" s="6">
        <f t="shared" si="24"/>
        <v>-1937.2699999999998</v>
      </c>
      <c r="M50" s="2"/>
      <c r="N50" s="7">
        <f t="shared" si="25"/>
        <v>-0.61639372428736416</v>
      </c>
      <c r="O50" s="11"/>
      <c r="P50" s="6">
        <v>3616.92</v>
      </c>
      <c r="Q50" s="2"/>
      <c r="R50" s="7">
        <f t="shared" si="26"/>
        <v>2.1498098116232812E-2</v>
      </c>
      <c r="S50" s="2"/>
      <c r="T50" s="6">
        <v>9430.01</v>
      </c>
      <c r="U50" s="2"/>
      <c r="V50" s="7">
        <f t="shared" si="27"/>
        <v>5.3127313754032859E-2</v>
      </c>
      <c r="W50" s="2"/>
      <c r="X50" s="6">
        <f t="shared" si="28"/>
        <v>-5813.09</v>
      </c>
      <c r="Y50" s="2"/>
      <c r="Z50" s="7">
        <f t="shared" si="29"/>
        <v>-0.61644579380085496</v>
      </c>
    </row>
    <row r="51" spans="1:26" s="29" customFormat="1" outlineLevel="1" collapsed="1" x14ac:dyDescent="0.25">
      <c r="A51" s="27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SUM(OSRRefD22_5x_0)</f>
        <v>6637.41</v>
      </c>
      <c r="E51" s="1"/>
      <c r="F51" s="5">
        <f t="shared" si="22"/>
        <v>0.10115105749435491</v>
      </c>
      <c r="G51" s="1"/>
      <c r="H51" s="1">
        <f>SUM(OSRRefH22_5x_0)</f>
        <v>2347.71</v>
      </c>
      <c r="I51" s="1"/>
      <c r="J51" s="5">
        <f t="shared" si="23"/>
        <v>3.4246426473482076E-2</v>
      </c>
      <c r="K51" s="1"/>
      <c r="L51" s="1">
        <f t="shared" si="24"/>
        <v>4289.7</v>
      </c>
      <c r="M51" s="1"/>
      <c r="N51" s="5">
        <f t="shared" si="25"/>
        <v>1.8271847885812131</v>
      </c>
      <c r="O51" s="14"/>
      <c r="P51" s="1">
        <f>SUM(OSRRefP22_5x_0)</f>
        <v>18447.43</v>
      </c>
      <c r="Q51" s="1"/>
      <c r="R51" s="5">
        <f t="shared" si="26"/>
        <v>0.10964706438968422</v>
      </c>
      <c r="S51" s="1"/>
      <c r="T51" s="1">
        <f>SUM(OSRRefT22_5x_0)</f>
        <v>20254.740000000002</v>
      </c>
      <c r="U51" s="1"/>
      <c r="V51" s="5">
        <f t="shared" si="27"/>
        <v>0.11411227845849151</v>
      </c>
      <c r="W51" s="1"/>
      <c r="X51" s="1">
        <f t="shared" si="28"/>
        <v>-1807.3100000000013</v>
      </c>
      <c r="Y51" s="1"/>
      <c r="Z51" s="5">
        <f t="shared" si="29"/>
        <v>-8.9228990349913218E-2</v>
      </c>
    </row>
    <row r="52" spans="1:26" s="24" customFormat="1" hidden="1" outlineLevel="2" x14ac:dyDescent="0.25">
      <c r="A52" s="28"/>
      <c r="B52" s="11" t="str">
        <f>CONCATENATE("          ", "6373", " - ", "MAINTENANCE CONTRACTS")</f>
        <v xml:space="preserve">          6373 - MAINTENANCE CONTRACTS</v>
      </c>
      <c r="C52" s="11"/>
      <c r="D52" s="6">
        <v>6637.41</v>
      </c>
      <c r="E52" s="2"/>
      <c r="F52" s="7">
        <f t="shared" si="22"/>
        <v>0.10115105749435491</v>
      </c>
      <c r="G52" s="2"/>
      <c r="H52" s="6">
        <v>2347.71</v>
      </c>
      <c r="I52" s="2"/>
      <c r="J52" s="7">
        <f t="shared" si="23"/>
        <v>3.4246426473482076E-2</v>
      </c>
      <c r="K52" s="2"/>
      <c r="L52" s="6">
        <f t="shared" si="24"/>
        <v>4289.7</v>
      </c>
      <c r="M52" s="2"/>
      <c r="N52" s="7">
        <f t="shared" si="25"/>
        <v>1.8271847885812131</v>
      </c>
      <c r="O52" s="11"/>
      <c r="P52" s="6">
        <v>18447.43</v>
      </c>
      <c r="Q52" s="2"/>
      <c r="R52" s="7">
        <f t="shared" si="26"/>
        <v>0.10964706438968422</v>
      </c>
      <c r="S52" s="2"/>
      <c r="T52" s="6">
        <v>20254.740000000002</v>
      </c>
      <c r="U52" s="2"/>
      <c r="V52" s="7">
        <f t="shared" si="27"/>
        <v>0.11411227845849151</v>
      </c>
      <c r="W52" s="2"/>
      <c r="X52" s="6">
        <f t="shared" si="28"/>
        <v>-1807.3100000000013</v>
      </c>
      <c r="Y52" s="2"/>
      <c r="Z52" s="7">
        <f t="shared" si="29"/>
        <v>-8.9228990349913218E-2</v>
      </c>
    </row>
    <row r="53" spans="1:26" s="29" customFormat="1" outlineLevel="1" collapsed="1" x14ac:dyDescent="0.25">
      <c r="A53" s="27"/>
      <c r="B53" s="14" t="str">
        <f>CONCATENATE("     ","Royalty &amp; Commissions                             ")</f>
        <v xml:space="preserve">     Royalty &amp; Commissions                             </v>
      </c>
      <c r="C53" s="14"/>
      <c r="D53" s="1">
        <f>SUM(OSRRefD22_6x_0)</f>
        <v>10215.44</v>
      </c>
      <c r="E53" s="1"/>
      <c r="F53" s="5">
        <f t="shared" si="22"/>
        <v>0.1556785792606051</v>
      </c>
      <c r="G53" s="1"/>
      <c r="H53" s="1">
        <f>SUM(OSRRefH22_6x_0)</f>
        <v>9974.27</v>
      </c>
      <c r="I53" s="1"/>
      <c r="J53" s="5">
        <f t="shared" si="23"/>
        <v>0.14549629391264596</v>
      </c>
      <c r="K53" s="1"/>
      <c r="L53" s="1">
        <f t="shared" si="24"/>
        <v>241.17000000000007</v>
      </c>
      <c r="M53" s="1"/>
      <c r="N53" s="5">
        <f t="shared" si="25"/>
        <v>2.417921311534579E-2</v>
      </c>
      <c r="O53" s="14"/>
      <c r="P53" s="1">
        <f>SUM(OSRRefP22_6x_0)</f>
        <v>14469.62</v>
      </c>
      <c r="Q53" s="1"/>
      <c r="R53" s="5">
        <f t="shared" si="26"/>
        <v>8.6003923355950543E-2</v>
      </c>
      <c r="S53" s="1"/>
      <c r="T53" s="1">
        <f>SUM(OSRRefT22_6x_0)</f>
        <v>14371.35</v>
      </c>
      <c r="U53" s="1"/>
      <c r="V53" s="5">
        <f t="shared" si="27"/>
        <v>8.096610931685333E-2</v>
      </c>
      <c r="W53" s="1"/>
      <c r="X53" s="1">
        <f t="shared" si="28"/>
        <v>98.270000000000437</v>
      </c>
      <c r="Y53" s="1"/>
      <c r="Z53" s="5">
        <f t="shared" si="29"/>
        <v>6.8379101476201219E-3</v>
      </c>
    </row>
    <row r="54" spans="1:26" s="24" customFormat="1" hidden="1" outlineLevel="2" x14ac:dyDescent="0.25">
      <c r="A54" s="28"/>
      <c r="B54" s="11" t="str">
        <f>CONCATENATE("          ", "6259", " - ", "ROYALTY &amp; COMMISSIONS")</f>
        <v xml:space="preserve">          6259 - ROYALTY &amp; COMMISSIONS</v>
      </c>
      <c r="C54" s="11"/>
      <c r="D54" s="6">
        <v>10215.44</v>
      </c>
      <c r="E54" s="2"/>
      <c r="F54" s="7">
        <f t="shared" si="22"/>
        <v>0.1556785792606051</v>
      </c>
      <c r="G54" s="2"/>
      <c r="H54" s="6">
        <v>9974.27</v>
      </c>
      <c r="I54" s="2"/>
      <c r="J54" s="7">
        <f t="shared" si="23"/>
        <v>0.14549629391264596</v>
      </c>
      <c r="K54" s="2"/>
      <c r="L54" s="6">
        <f t="shared" si="24"/>
        <v>241.17000000000007</v>
      </c>
      <c r="M54" s="2"/>
      <c r="N54" s="7">
        <f t="shared" si="25"/>
        <v>2.417921311534579E-2</v>
      </c>
      <c r="O54" s="11"/>
      <c r="P54" s="6">
        <v>14469.62</v>
      </c>
      <c r="Q54" s="2"/>
      <c r="R54" s="7">
        <f t="shared" si="26"/>
        <v>8.6003923355950543E-2</v>
      </c>
      <c r="S54" s="2"/>
      <c r="T54" s="6">
        <v>14371.35</v>
      </c>
      <c r="U54" s="2"/>
      <c r="V54" s="7">
        <f t="shared" si="27"/>
        <v>8.096610931685333E-2</v>
      </c>
      <c r="W54" s="2"/>
      <c r="X54" s="6">
        <f t="shared" si="28"/>
        <v>98.270000000000437</v>
      </c>
      <c r="Y54" s="2"/>
      <c r="Z54" s="7">
        <f t="shared" si="29"/>
        <v>6.8379101476201219E-3</v>
      </c>
    </row>
    <row r="55" spans="1:26" s="29" customFormat="1" outlineLevel="1" collapsed="1" x14ac:dyDescent="0.25">
      <c r="A55" s="27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SUM(OSRRefD22_7x_0)</f>
        <v>4377.66</v>
      </c>
      <c r="E55" s="1"/>
      <c r="F55" s="5">
        <f t="shared" si="22"/>
        <v>6.6713513004430597E-2</v>
      </c>
      <c r="G55" s="1"/>
      <c r="H55" s="1">
        <f>SUM(OSRRefH22_7x_0)</f>
        <v>10644.820000000002</v>
      </c>
      <c r="I55" s="1"/>
      <c r="J55" s="5">
        <f t="shared" si="23"/>
        <v>0.15527771549869937</v>
      </c>
      <c r="K55" s="1"/>
      <c r="L55" s="1">
        <f t="shared" si="24"/>
        <v>-6267.1600000000017</v>
      </c>
      <c r="M55" s="1"/>
      <c r="N55" s="5">
        <f t="shared" si="25"/>
        <v>-0.5887520878699688</v>
      </c>
      <c r="O55" s="14"/>
      <c r="P55" s="1">
        <f>SUM(OSRRefP22_7x_0)</f>
        <v>9688</v>
      </c>
      <c r="Q55" s="1"/>
      <c r="R55" s="5">
        <f t="shared" si="26"/>
        <v>5.7583129997363355E-2</v>
      </c>
      <c r="S55" s="1"/>
      <c r="T55" s="1">
        <f>SUM(OSRRefT22_7x_0)</f>
        <v>14284.18</v>
      </c>
      <c r="U55" s="1"/>
      <c r="V55" s="5">
        <f t="shared" si="27"/>
        <v>8.0475006132451718E-2</v>
      </c>
      <c r="W55" s="1"/>
      <c r="X55" s="1">
        <f t="shared" si="28"/>
        <v>-4596.18</v>
      </c>
      <c r="Y55" s="1"/>
      <c r="Z55" s="5">
        <f t="shared" si="29"/>
        <v>-0.32176715779274695</v>
      </c>
    </row>
    <row r="56" spans="1:26" s="24" customFormat="1" hidden="1" outlineLevel="2" x14ac:dyDescent="0.25">
      <c r="A56" s="28"/>
      <c r="B56" s="11" t="str">
        <f>CONCATENATE("          ", "6234", " - ", "EXPENDABLE SUPPLIES &amp; EQUIPMEN")</f>
        <v xml:space="preserve">          6234 - EXPENDABLE SUPPLIES &amp; EQUIPMEN</v>
      </c>
      <c r="C56" s="11"/>
      <c r="D56" s="6"/>
      <c r="E56" s="2"/>
      <c r="F56" s="7">
        <f t="shared" si="22"/>
        <v>0</v>
      </c>
      <c r="G56" s="2"/>
      <c r="H56" s="6"/>
      <c r="I56" s="2"/>
      <c r="J56" s="7">
        <f t="shared" si="23"/>
        <v>0</v>
      </c>
      <c r="K56" s="2"/>
      <c r="L56" s="6">
        <f t="shared" si="24"/>
        <v>0</v>
      </c>
      <c r="M56" s="2"/>
      <c r="N56" s="7">
        <f t="shared" si="25"/>
        <v>0</v>
      </c>
      <c r="O56" s="11"/>
      <c r="P56" s="6">
        <v>1017.27</v>
      </c>
      <c r="Q56" s="2"/>
      <c r="R56" s="7">
        <f t="shared" si="26"/>
        <v>6.0464069624708737E-3</v>
      </c>
      <c r="S56" s="2"/>
      <c r="T56" s="6">
        <v>856.68</v>
      </c>
      <c r="U56" s="2"/>
      <c r="V56" s="7">
        <f t="shared" si="27"/>
        <v>4.8264113343257182E-3</v>
      </c>
      <c r="W56" s="2"/>
      <c r="X56" s="6">
        <f t="shared" si="28"/>
        <v>160.59000000000003</v>
      </c>
      <c r="Y56" s="2"/>
      <c r="Z56" s="7">
        <f t="shared" si="29"/>
        <v>0.18745622636223566</v>
      </c>
    </row>
    <row r="57" spans="1:26" s="24" customFormat="1" hidden="1" outlineLevel="2" x14ac:dyDescent="0.25">
      <c r="A57" s="28"/>
      <c r="B57" s="11" t="str">
        <f>CONCATENATE("          ", "6243", " - ", "PAPER SUPPLIES")</f>
        <v xml:space="preserve">          6243 - PAPER SUPPLIES</v>
      </c>
      <c r="C57" s="11"/>
      <c r="D57" s="6">
        <v>318.66000000000003</v>
      </c>
      <c r="E57" s="2"/>
      <c r="F57" s="7">
        <f t="shared" si="22"/>
        <v>4.8562309667703422E-3</v>
      </c>
      <c r="G57" s="2"/>
      <c r="H57" s="6">
        <v>6071.85</v>
      </c>
      <c r="I57" s="2"/>
      <c r="J57" s="7">
        <f t="shared" si="23"/>
        <v>8.8571060558166104E-2</v>
      </c>
      <c r="K57" s="2"/>
      <c r="L57" s="6">
        <f t="shared" si="24"/>
        <v>-5753.1900000000005</v>
      </c>
      <c r="M57" s="2"/>
      <c r="N57" s="7">
        <f t="shared" si="25"/>
        <v>-0.94751846636527581</v>
      </c>
      <c r="O57" s="11"/>
      <c r="P57" s="6">
        <v>2976.95</v>
      </c>
      <c r="Q57" s="2"/>
      <c r="R57" s="7">
        <f t="shared" si="26"/>
        <v>1.769427114426619E-2</v>
      </c>
      <c r="S57" s="2"/>
      <c r="T57" s="6">
        <v>8354.14</v>
      </c>
      <c r="U57" s="2"/>
      <c r="V57" s="7">
        <f t="shared" si="27"/>
        <v>4.7066017631488835E-2</v>
      </c>
      <c r="W57" s="2"/>
      <c r="X57" s="6">
        <f t="shared" si="28"/>
        <v>-5377.19</v>
      </c>
      <c r="Y57" s="2"/>
      <c r="Z57" s="7">
        <f t="shared" si="29"/>
        <v>-0.643655720397312</v>
      </c>
    </row>
    <row r="58" spans="1:26" s="24" customFormat="1" hidden="1" outlineLevel="2" x14ac:dyDescent="0.25">
      <c r="A58" s="28"/>
      <c r="B58" s="11" t="str">
        <f>CONCATENATE("          ", "6245", " - ", "PRINTING")</f>
        <v xml:space="preserve">          6245 - PRINTING</v>
      </c>
      <c r="C58" s="11"/>
      <c r="D58" s="6">
        <v>254.9</v>
      </c>
      <c r="E58" s="2"/>
      <c r="F58" s="7">
        <f t="shared" si="22"/>
        <v>3.8845580663709285E-3</v>
      </c>
      <c r="G58" s="2"/>
      <c r="H58" s="6">
        <v>3810.55</v>
      </c>
      <c r="I58" s="2"/>
      <c r="J58" s="7">
        <f t="shared" si="23"/>
        <v>5.5585110766886506E-2</v>
      </c>
      <c r="K58" s="2"/>
      <c r="L58" s="6">
        <f t="shared" si="24"/>
        <v>-3555.65</v>
      </c>
      <c r="M58" s="2"/>
      <c r="N58" s="7">
        <f t="shared" si="25"/>
        <v>-0.9331067693640025</v>
      </c>
      <c r="O58" s="11"/>
      <c r="P58" s="6">
        <v>242.2</v>
      </c>
      <c r="Q58" s="2"/>
      <c r="R58" s="7">
        <f t="shared" si="26"/>
        <v>1.4395782499340838E-3</v>
      </c>
      <c r="S58" s="2"/>
      <c r="T58" s="6">
        <v>3821.24</v>
      </c>
      <c r="U58" s="2"/>
      <c r="V58" s="7">
        <f t="shared" si="27"/>
        <v>2.1528314011274696E-2</v>
      </c>
      <c r="W58" s="2"/>
      <c r="X58" s="6">
        <f t="shared" si="28"/>
        <v>-3579.04</v>
      </c>
      <c r="Y58" s="2"/>
      <c r="Z58" s="7">
        <f t="shared" si="29"/>
        <v>-0.93661743308454848</v>
      </c>
    </row>
    <row r="59" spans="1:26" s="24" customFormat="1" hidden="1" outlineLevel="2" x14ac:dyDescent="0.25">
      <c r="A59" s="28"/>
      <c r="B59" s="11" t="str">
        <f>CONCATENATE("          ", "6247", " - ", "STORE SUPPLIES")</f>
        <v xml:space="preserve">          6247 - STORE SUPPLIES</v>
      </c>
      <c r="C59" s="11"/>
      <c r="D59" s="6">
        <v>3804.1</v>
      </c>
      <c r="E59" s="2"/>
      <c r="F59" s="7">
        <f t="shared" si="22"/>
        <v>5.7972723971289324E-2</v>
      </c>
      <c r="G59" s="2"/>
      <c r="H59" s="6">
        <v>762.42</v>
      </c>
      <c r="I59" s="2"/>
      <c r="J59" s="7">
        <f t="shared" si="23"/>
        <v>1.1121544173646745E-2</v>
      </c>
      <c r="K59" s="2"/>
      <c r="L59" s="6">
        <f t="shared" si="24"/>
        <v>3041.68</v>
      </c>
      <c r="M59" s="2"/>
      <c r="N59" s="7">
        <f t="shared" si="25"/>
        <v>3.9895070958264474</v>
      </c>
      <c r="O59" s="11"/>
      <c r="P59" s="6">
        <v>5451.58</v>
      </c>
      <c r="Q59" s="2"/>
      <c r="R59" s="7">
        <f t="shared" si="26"/>
        <v>3.2402873640692213E-2</v>
      </c>
      <c r="S59" s="2"/>
      <c r="T59" s="6">
        <v>1252.1199999999999</v>
      </c>
      <c r="U59" s="2"/>
      <c r="V59" s="7">
        <f t="shared" si="27"/>
        <v>7.0542631553624667E-3</v>
      </c>
      <c r="W59" s="2"/>
      <c r="X59" s="6">
        <f t="shared" si="28"/>
        <v>4199.46</v>
      </c>
      <c r="Y59" s="2"/>
      <c r="Z59" s="7">
        <f t="shared" si="29"/>
        <v>3.3538798198255759</v>
      </c>
    </row>
    <row r="60" spans="1:26" s="29" customFormat="1" outlineLevel="1" collapsed="1" x14ac:dyDescent="0.25">
      <c r="A60" s="27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SUM(OSRRefD22_8x_0)</f>
        <v>250</v>
      </c>
      <c r="E60" s="1"/>
      <c r="F60" s="5">
        <f t="shared" ref="F60:F63" si="30">IF(D$12=0,0,D60/D$12)</f>
        <v>3.8098843334355911E-3</v>
      </c>
      <c r="G60" s="1"/>
      <c r="H60" s="1">
        <f>SUM(OSRRefH22_8x_0)</f>
        <v>175</v>
      </c>
      <c r="I60" s="1"/>
      <c r="J60" s="5">
        <f t="shared" ref="J60:J63" si="31">IF(H$12=0,0,H60/H$12)</f>
        <v>2.5527533779126734E-3</v>
      </c>
      <c r="K60" s="1"/>
      <c r="L60" s="1">
        <f t="shared" ref="L60:L63" si="32">+D60-H60</f>
        <v>75</v>
      </c>
      <c r="M60" s="1"/>
      <c r="N60" s="5">
        <f t="shared" ref="N60:N63" si="33">IF(H60=0,0,L60/H60)</f>
        <v>0.42857142857142855</v>
      </c>
      <c r="O60" s="14"/>
      <c r="P60" s="1">
        <f>SUM(OSRRefP22_8x_0)</f>
        <v>495.75</v>
      </c>
      <c r="Q60" s="1"/>
      <c r="R60" s="5">
        <f t="shared" ref="R60:R63" si="34">IF(P$12=0,0,P60/P$12)</f>
        <v>2.9466181560892737E-3</v>
      </c>
      <c r="S60" s="1"/>
      <c r="T60" s="1">
        <f>SUM(OSRRefT22_8x_0)</f>
        <v>388.45</v>
      </c>
      <c r="U60" s="1"/>
      <c r="V60" s="5">
        <f t="shared" ref="V60:V63" si="35">IF(T$12=0,0,T60/T$12)</f>
        <v>2.1884711710543321E-3</v>
      </c>
      <c r="W60" s="1"/>
      <c r="X60" s="1">
        <f t="shared" ref="X60:X63" si="36">+P60-T60</f>
        <v>107.30000000000001</v>
      </c>
      <c r="Y60" s="1"/>
      <c r="Z60" s="5">
        <f t="shared" ref="Z60:Z63" si="37">IF(T60=0,0,X60/T60)</f>
        <v>0.2762260265156391</v>
      </c>
    </row>
    <row r="61" spans="1:26" s="24" customFormat="1" hidden="1" outlineLevel="2" x14ac:dyDescent="0.25">
      <c r="A61" s="28"/>
      <c r="B61" s="11" t="str">
        <f>CONCATENATE("          ", "6309", " - ", "TELEPHONE")</f>
        <v xml:space="preserve">          6309 - TELEPHONE</v>
      </c>
      <c r="C61" s="11"/>
      <c r="D61" s="6">
        <v>250</v>
      </c>
      <c r="E61" s="2"/>
      <c r="F61" s="7">
        <f t="shared" si="30"/>
        <v>3.8098843334355911E-3</v>
      </c>
      <c r="G61" s="2"/>
      <c r="H61" s="6">
        <v>175</v>
      </c>
      <c r="I61" s="2"/>
      <c r="J61" s="7">
        <f t="shared" si="31"/>
        <v>2.5527533779126734E-3</v>
      </c>
      <c r="K61" s="2"/>
      <c r="L61" s="6">
        <f t="shared" si="32"/>
        <v>75</v>
      </c>
      <c r="M61" s="2"/>
      <c r="N61" s="7">
        <f t="shared" si="33"/>
        <v>0.42857142857142855</v>
      </c>
      <c r="O61" s="11"/>
      <c r="P61" s="6">
        <v>495.75</v>
      </c>
      <c r="Q61" s="2"/>
      <c r="R61" s="7">
        <f t="shared" si="34"/>
        <v>2.9466181560892737E-3</v>
      </c>
      <c r="S61" s="2"/>
      <c r="T61" s="6">
        <v>388.45</v>
      </c>
      <c r="U61" s="2"/>
      <c r="V61" s="7">
        <f t="shared" si="35"/>
        <v>2.1884711710543321E-3</v>
      </c>
      <c r="W61" s="2"/>
      <c r="X61" s="6">
        <f t="shared" si="36"/>
        <v>107.30000000000001</v>
      </c>
      <c r="Y61" s="2"/>
      <c r="Z61" s="7">
        <f t="shared" si="37"/>
        <v>0.2762260265156391</v>
      </c>
    </row>
    <row r="62" spans="1:26" s="29" customFormat="1" outlineLevel="1" collapsed="1" x14ac:dyDescent="0.25">
      <c r="A62" s="27"/>
      <c r="B62" s="14" t="str">
        <f>CONCATENATE("     ","Training                                          ")</f>
        <v xml:space="preserve">     Training                                          </v>
      </c>
      <c r="C62" s="14"/>
      <c r="D62" s="1">
        <f>SUM(OSRRefD22_9x_0)</f>
        <v>97.71</v>
      </c>
      <c r="E62" s="1"/>
      <c r="F62" s="5">
        <f t="shared" si="30"/>
        <v>1.4890551928799663E-3</v>
      </c>
      <c r="G62" s="1"/>
      <c r="H62" s="1">
        <f>SUM(OSRRefH22_9x_0)</f>
        <v>0</v>
      </c>
      <c r="I62" s="1"/>
      <c r="J62" s="5">
        <f t="shared" si="31"/>
        <v>0</v>
      </c>
      <c r="K62" s="1"/>
      <c r="L62" s="1">
        <f t="shared" si="32"/>
        <v>97.71</v>
      </c>
      <c r="M62" s="1"/>
      <c r="N62" s="5">
        <f t="shared" si="33"/>
        <v>0</v>
      </c>
      <c r="O62" s="14"/>
      <c r="P62" s="1">
        <f>SUM(OSRRefP22_9x_0)</f>
        <v>97.71</v>
      </c>
      <c r="Q62" s="1"/>
      <c r="R62" s="5">
        <f t="shared" si="34"/>
        <v>5.8076461932724747E-4</v>
      </c>
      <c r="S62" s="1"/>
      <c r="T62" s="1">
        <f>SUM(OSRRefT22_9x_0)</f>
        <v>0</v>
      </c>
      <c r="U62" s="1"/>
      <c r="V62" s="5">
        <f t="shared" si="35"/>
        <v>0</v>
      </c>
      <c r="W62" s="1"/>
      <c r="X62" s="1">
        <f t="shared" si="36"/>
        <v>97.71</v>
      </c>
      <c r="Y62" s="1"/>
      <c r="Z62" s="5">
        <f t="shared" si="37"/>
        <v>0</v>
      </c>
    </row>
    <row r="63" spans="1:26" s="24" customFormat="1" hidden="1" outlineLevel="2" x14ac:dyDescent="0.25">
      <c r="A63" s="28"/>
      <c r="B63" s="11" t="str">
        <f>CONCATENATE("          ", "6376", " - ", "TRAINING")</f>
        <v xml:space="preserve">          6376 - TRAINING</v>
      </c>
      <c r="C63" s="11"/>
      <c r="D63" s="6">
        <v>97.71</v>
      </c>
      <c r="E63" s="2"/>
      <c r="F63" s="7">
        <f t="shared" si="30"/>
        <v>1.4890551928799663E-3</v>
      </c>
      <c r="G63" s="2"/>
      <c r="H63" s="6"/>
      <c r="I63" s="2"/>
      <c r="J63" s="7">
        <f t="shared" si="31"/>
        <v>0</v>
      </c>
      <c r="K63" s="2"/>
      <c r="L63" s="6">
        <f t="shared" si="32"/>
        <v>97.71</v>
      </c>
      <c r="M63" s="2"/>
      <c r="N63" s="7">
        <f t="shared" si="33"/>
        <v>0</v>
      </c>
      <c r="O63" s="11"/>
      <c r="P63" s="6">
        <v>97.71</v>
      </c>
      <c r="Q63" s="2"/>
      <c r="R63" s="7">
        <f t="shared" si="34"/>
        <v>5.8076461932724747E-4</v>
      </c>
      <c r="S63" s="2"/>
      <c r="T63" s="6"/>
      <c r="U63" s="2"/>
      <c r="V63" s="7">
        <f t="shared" si="35"/>
        <v>0</v>
      </c>
      <c r="W63" s="2"/>
      <c r="X63" s="6">
        <f t="shared" si="36"/>
        <v>97.71</v>
      </c>
      <c r="Y63" s="2"/>
      <c r="Z63" s="7">
        <f t="shared" si="37"/>
        <v>0</v>
      </c>
    </row>
    <row r="64" spans="1:26" s="53" customFormat="1" x14ac:dyDescent="0.25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collapsed="1" x14ac:dyDescent="0.25">
      <c r="A65" s="10"/>
      <c r="B65" s="25" t="s">
        <v>0</v>
      </c>
      <c r="C65" s="10"/>
      <c r="D65" s="4">
        <f>SUM(OSRRefD25x_0)</f>
        <v>13269</v>
      </c>
      <c r="E65" s="4"/>
      <c r="F65" s="12">
        <f t="shared" ref="F65:F66" si="38">IF(D$12=0,0,D65/D$12)</f>
        <v>0.20221342088142744</v>
      </c>
      <c r="G65" s="4"/>
      <c r="H65" s="4">
        <f>SUM(OSRRefH25x_0)</f>
        <v>12083</v>
      </c>
      <c r="I65" s="4"/>
      <c r="J65" s="12">
        <f t="shared" ref="J65:J66" si="39">IF(H$12=0,0,H65/H$12)</f>
        <v>0.17625668037325048</v>
      </c>
      <c r="K65" s="4"/>
      <c r="L65" s="4">
        <f t="shared" ref="L65:L66" si="40">+D65-H65</f>
        <v>1186</v>
      </c>
      <c r="M65" s="4"/>
      <c r="N65" s="12">
        <f t="shared" ref="N65:N66" si="41">IF(H65=0,0,L65/H65)</f>
        <v>9.8154431846395759E-2</v>
      </c>
      <c r="O65" s="10"/>
      <c r="P65" s="4">
        <f>SUM(OSRRefP25x_0)</f>
        <v>39807</v>
      </c>
      <c r="Q65" s="4"/>
      <c r="R65" s="12">
        <f t="shared" ref="R65:R66" si="42">IF(P$12=0,0,P65/P$12)</f>
        <v>0.23660318495097474</v>
      </c>
      <c r="S65" s="4"/>
      <c r="T65" s="4">
        <f>SUM(OSRRefT25x_0)</f>
        <v>36249</v>
      </c>
      <c r="U65" s="4"/>
      <c r="V65" s="12">
        <f t="shared" ref="V65:V66" si="43">IF(T$12=0,0,T65/T$12)</f>
        <v>0.20422162821353709</v>
      </c>
      <c r="W65" s="4"/>
      <c r="X65" s="4">
        <f t="shared" ref="X65:X66" si="44">+P65-T65</f>
        <v>3558</v>
      </c>
      <c r="Y65" s="4"/>
      <c r="Z65" s="12">
        <f t="shared" ref="Z65:Z66" si="45">IF(T65=0,0,X65/T65)</f>
        <v>9.8154431846395759E-2</v>
      </c>
    </row>
    <row r="66" spans="1:26" s="24" customFormat="1" hidden="1" outlineLevel="1" x14ac:dyDescent="0.25">
      <c r="A66" s="44"/>
      <c r="B66" s="11" t="str">
        <f>CONCATENATE("          ", "9150", " - ", "MISC. INCOME")</f>
        <v xml:space="preserve">          9150 - MISC. INCOME</v>
      </c>
      <c r="C66" s="11"/>
      <c r="D66" s="2">
        <f>--13269</f>
        <v>13269</v>
      </c>
      <c r="E66" s="2"/>
      <c r="F66" s="19">
        <f t="shared" si="38"/>
        <v>0.20221342088142744</v>
      </c>
      <c r="G66" s="2"/>
      <c r="H66" s="2">
        <f>--12083</f>
        <v>12083</v>
      </c>
      <c r="I66" s="2"/>
      <c r="J66" s="19">
        <f t="shared" si="39"/>
        <v>0.17625668037325048</v>
      </c>
      <c r="K66" s="2"/>
      <c r="L66" s="2">
        <f t="shared" si="40"/>
        <v>1186</v>
      </c>
      <c r="M66" s="2"/>
      <c r="N66" s="19">
        <f t="shared" si="41"/>
        <v>9.8154431846395759E-2</v>
      </c>
      <c r="O66" s="11"/>
      <c r="P66" s="2">
        <f>--39807</f>
        <v>39807</v>
      </c>
      <c r="Q66" s="2"/>
      <c r="R66" s="19">
        <f t="shared" si="42"/>
        <v>0.23660318495097474</v>
      </c>
      <c r="S66" s="2"/>
      <c r="T66" s="2">
        <f>--36249</f>
        <v>36249</v>
      </c>
      <c r="U66" s="2"/>
      <c r="V66" s="19">
        <f t="shared" si="43"/>
        <v>0.20422162821353709</v>
      </c>
      <c r="W66" s="2"/>
      <c r="X66" s="2">
        <f t="shared" si="44"/>
        <v>3558</v>
      </c>
      <c r="Y66" s="2"/>
      <c r="Z66" s="19">
        <f t="shared" si="45"/>
        <v>9.8154431846395759E-2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6" t="s">
        <v>3</v>
      </c>
      <c r="C68" s="26"/>
      <c r="D68" s="21">
        <f>+D28-D30+D65</f>
        <v>29545.169999999991</v>
      </c>
      <c r="E68" s="13"/>
      <c r="F68" s="20">
        <f>IF(D$12=0,0,D68/D$12)</f>
        <v>0.45025472124676474</v>
      </c>
      <c r="G68" s="13"/>
      <c r="H68" s="21">
        <f>+H28-H30+H65</f>
        <v>33025.569999999992</v>
      </c>
      <c r="I68" s="13"/>
      <c r="J68" s="20">
        <f>IF(H$12=0,0,H68/H$12)</f>
        <v>0.48174934499995109</v>
      </c>
      <c r="K68" s="15"/>
      <c r="L68" s="21">
        <f>+D68-H68</f>
        <v>-3480.4000000000015</v>
      </c>
      <c r="M68" s="15"/>
      <c r="N68" s="20">
        <f>IF(H68=0,0,L68/H68)</f>
        <v>-0.10538500925192214</v>
      </c>
      <c r="O68" s="25"/>
      <c r="P68" s="21">
        <f>+P28-P30+P65</f>
        <v>86392.989999999976</v>
      </c>
      <c r="Q68" s="13"/>
      <c r="R68" s="20">
        <f>IF(P$12=0,0,P68/P$12)</f>
        <v>0.51349904769105192</v>
      </c>
      <c r="S68" s="13"/>
      <c r="T68" s="21">
        <f>+T28-T30+T65</f>
        <v>86966.470000000016</v>
      </c>
      <c r="U68" s="13"/>
      <c r="V68" s="20">
        <f>IF(T$12=0,0,T68/T$12)</f>
        <v>0.4899565257906075</v>
      </c>
      <c r="W68" s="15"/>
      <c r="X68" s="21">
        <f>+P68-T68</f>
        <v>-573.48000000003958</v>
      </c>
      <c r="Y68" s="15"/>
      <c r="Z68" s="20">
        <f>IF(T68=0,0,X68/T68)</f>
        <v>-6.5942655830464256E-3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>
        <v>5276.14</v>
      </c>
      <c r="E70" s="4"/>
      <c r="F70" s="12">
        <f>IF(D$12=0,0,D70/D$12)</f>
        <v>8.0405932508051448E-2</v>
      </c>
      <c r="G70" s="4"/>
      <c r="H70" s="4">
        <v>4647.45</v>
      </c>
      <c r="I70" s="4"/>
      <c r="J70" s="12">
        <f>IF(H$12=0,0,H70/H$12)</f>
        <v>6.7793106778172879E-2</v>
      </c>
      <c r="K70" s="4"/>
      <c r="L70" s="4">
        <f>+D70-H70</f>
        <v>628.69000000000051</v>
      </c>
      <c r="M70" s="4"/>
      <c r="N70" s="12">
        <f>IF(H70=0,0,L70/H70)</f>
        <v>0.13527633433388214</v>
      </c>
      <c r="O70" s="10"/>
      <c r="P70" s="4">
        <v>18071.599999999999</v>
      </c>
      <c r="Q70" s="4"/>
      <c r="R70" s="12">
        <f>IF(P$12=0,0,P70/P$12)</f>
        <v>0.10741322172381829</v>
      </c>
      <c r="S70" s="4"/>
      <c r="T70" s="4">
        <v>15770.21</v>
      </c>
      <c r="U70" s="4"/>
      <c r="V70" s="12">
        <f>IF(T$12=0,0,T70/T$12)</f>
        <v>8.8847084429071271E-2</v>
      </c>
      <c r="W70" s="4"/>
      <c r="X70" s="4">
        <f>+P70-T70</f>
        <v>2301.3899999999994</v>
      </c>
      <c r="Y70" s="4"/>
      <c r="Z70" s="12">
        <f>IF(T70=0,0,X70/T70)</f>
        <v>0.14593274281065374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6" t="s">
        <v>4</v>
      </c>
      <c r="C72" s="26"/>
      <c r="D72" s="35">
        <f>+D68-D70</f>
        <v>24269.029999999992</v>
      </c>
      <c r="E72" s="13"/>
      <c r="F72" s="30">
        <f>IF(D$12=0,0,D72/D$12)</f>
        <v>0.3698487887387133</v>
      </c>
      <c r="G72" s="13"/>
      <c r="H72" s="35">
        <f>+H68-H70</f>
        <v>28378.119999999992</v>
      </c>
      <c r="I72" s="13"/>
      <c r="J72" s="30">
        <f>IF(H$12=0,0,H72/H$12)</f>
        <v>0.41395623822177818</v>
      </c>
      <c r="K72" s="15"/>
      <c r="L72" s="35">
        <f>D72-H72</f>
        <v>-4109.09</v>
      </c>
      <c r="M72" s="15"/>
      <c r="N72" s="30">
        <f>IF(H72=0,0,L72/H72)</f>
        <v>-0.14479782311160858</v>
      </c>
      <c r="O72" s="25"/>
      <c r="P72" s="35">
        <f>+P68-P70</f>
        <v>68321.389999999985</v>
      </c>
      <c r="Q72" s="13"/>
      <c r="R72" s="30">
        <f>IF(P$12=0,0,P72/P$12)</f>
        <v>0.40608582596723369</v>
      </c>
      <c r="S72" s="13"/>
      <c r="T72" s="35">
        <f>+T68-T70</f>
        <v>71196.260000000009</v>
      </c>
      <c r="U72" s="13"/>
      <c r="V72" s="30">
        <f>IF(T$12=0,0,T72/T$12)</f>
        <v>0.4011094413615362</v>
      </c>
      <c r="W72" s="15"/>
      <c r="X72" s="35">
        <f>P72-T72</f>
        <v>-2874.8700000000244</v>
      </c>
      <c r="Y72" s="15"/>
      <c r="Z72" s="30">
        <f>IF(T72=0,0,X72/T72)</f>
        <v>-4.0379508698912332E-2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5</v>
      </c>
      <c r="C75" s="26"/>
      <c r="D75" s="36">
        <f>SUM(D72:D74)</f>
        <v>24269.029999999992</v>
      </c>
      <c r="E75" s="13"/>
      <c r="F75" s="31">
        <f>IF(D$12=0,0,D75/D$12)</f>
        <v>0.3698487887387133</v>
      </c>
      <c r="G75" s="13"/>
      <c r="H75" s="36">
        <f>SUM(H72:H74)</f>
        <v>28378.119999999992</v>
      </c>
      <c r="I75" s="13"/>
      <c r="J75" s="31">
        <f>IF(H$12=0,0,H75/H$12)</f>
        <v>0.41395623822177818</v>
      </c>
      <c r="K75" s="15"/>
      <c r="L75" s="36">
        <f>+D75-H75</f>
        <v>-4109.09</v>
      </c>
      <c r="M75" s="15"/>
      <c r="N75" s="31">
        <f>IF(H75=0,0,L75/H75)</f>
        <v>-0.14479782311160858</v>
      </c>
      <c r="O75" s="25"/>
      <c r="P75" s="36">
        <f>SUM(P72:P74)</f>
        <v>68321.389999999985</v>
      </c>
      <c r="Q75" s="13"/>
      <c r="R75" s="31">
        <f>IF(P$12=0,0,P75/P$12)</f>
        <v>0.40608582596723369</v>
      </c>
      <c r="S75" s="13"/>
      <c r="T75" s="36">
        <f>SUM(T72:T74)</f>
        <v>71196.260000000009</v>
      </c>
      <c r="U75" s="13"/>
      <c r="V75" s="31">
        <f>IF(T$12=0,0,T75/T$12)</f>
        <v>0.4011094413615362</v>
      </c>
      <c r="W75" s="15"/>
      <c r="X75" s="36">
        <f>+P75-T75</f>
        <v>-2874.8700000000244</v>
      </c>
      <c r="Y75" s="15"/>
      <c r="Z75" s="31">
        <f>IF(T75=0,0,X75/T75)</f>
        <v>-4.0379508698912332E-2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5">
        <v>43756.463064502314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6" t="s">
        <v>313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7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","320", " - ", "Customer Service (old)")</f>
        <v>Department 320 - Customer Service (old)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69.8</v>
      </c>
      <c r="E12" s="4"/>
      <c r="F12" s="12"/>
      <c r="G12" s="4"/>
      <c r="H12" s="4">
        <f>SUM(OSRRefH13x_0)</f>
        <v>156.85999999999999</v>
      </c>
      <c r="I12" s="4"/>
      <c r="J12" s="12"/>
      <c r="K12" s="4"/>
      <c r="L12" s="4">
        <f t="shared" ref="L12:L16" si="0">+D12-H12</f>
        <v>-87.059999999999988</v>
      </c>
      <c r="M12" s="4"/>
      <c r="N12" s="12">
        <f t="shared" ref="N12:N16" si="1">IF(H12=0,0,L12/H12)</f>
        <v>-0.55501721280122396</v>
      </c>
      <c r="O12" s="10"/>
      <c r="P12" s="4">
        <f>SUM(OSRRefP13x_0)</f>
        <v>3720.52</v>
      </c>
      <c r="Q12" s="4"/>
      <c r="R12" s="12"/>
      <c r="S12" s="4"/>
      <c r="T12" s="4">
        <f>SUM(OSRRefT13x_0)</f>
        <v>4098.93</v>
      </c>
      <c r="U12" s="4"/>
      <c r="V12" s="12"/>
      <c r="W12" s="4"/>
      <c r="X12" s="4">
        <f t="shared" ref="X12:X16" si="2">+P12-T12</f>
        <v>-378.41000000000031</v>
      </c>
      <c r="Y12" s="4"/>
      <c r="Z12" s="12">
        <f t="shared" ref="Z12:Z16" si="3">IF(T12=0,0,X12/T12)</f>
        <v>-9.2319215014650235E-2</v>
      </c>
    </row>
    <row r="13" spans="1:26" s="24" customFormat="1" hidden="1" outlineLevel="1" x14ac:dyDescent="0.25">
      <c r="A13" s="44"/>
      <c r="B13" s="11" t="str">
        <f>CONCATENATE("          ", "4092", " - ", "TAXABLE SALES-GRAD MERCH")</f>
        <v xml:space="preserve">          4092 - TAXABLE SALES-GRAD MERCH</v>
      </c>
      <c r="C13" s="11"/>
      <c r="D13" s="2">
        <f>--49.9</f>
        <v>49.9</v>
      </c>
      <c r="E13" s="2"/>
      <c r="F13" s="19"/>
      <c r="G13" s="2"/>
      <c r="H13" s="2">
        <f>--49.9</f>
        <v>49.9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--3912.58</f>
        <v>3912.58</v>
      </c>
      <c r="Q13" s="2"/>
      <c r="R13" s="19"/>
      <c r="S13" s="2"/>
      <c r="T13" s="2">
        <f>--4066.3</f>
        <v>4066.3</v>
      </c>
      <c r="U13" s="2"/>
      <c r="V13" s="19"/>
      <c r="W13" s="2"/>
      <c r="X13" s="2">
        <f t="shared" si="2"/>
        <v>-153.72000000000025</v>
      </c>
      <c r="Y13" s="2"/>
      <c r="Z13" s="19">
        <f t="shared" si="3"/>
        <v>-3.780340850404551E-2</v>
      </c>
    </row>
    <row r="14" spans="1:26" s="24" customFormat="1" hidden="1" outlineLevel="1" x14ac:dyDescent="0.25">
      <c r="A14" s="44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>--19.9</f>
        <v>19.899999999999999</v>
      </c>
      <c r="E14" s="2"/>
      <c r="F14" s="19"/>
      <c r="G14" s="2"/>
      <c r="H14" s="2">
        <f>--106.96</f>
        <v>106.96</v>
      </c>
      <c r="I14" s="2"/>
      <c r="J14" s="19"/>
      <c r="K14" s="2"/>
      <c r="L14" s="2">
        <f t="shared" si="0"/>
        <v>-87.06</v>
      </c>
      <c r="M14" s="2"/>
      <c r="N14" s="19">
        <f t="shared" si="1"/>
        <v>-0.81394913986537032</v>
      </c>
      <c r="O14" s="11"/>
      <c r="P14" s="2">
        <f>--177.09</f>
        <v>177.09</v>
      </c>
      <c r="Q14" s="2"/>
      <c r="R14" s="19"/>
      <c r="S14" s="2"/>
      <c r="T14" s="2">
        <f>--609.88</f>
        <v>609.88</v>
      </c>
      <c r="U14" s="2"/>
      <c r="V14" s="19"/>
      <c r="W14" s="2"/>
      <c r="X14" s="2">
        <f t="shared" si="2"/>
        <v>-432.78999999999996</v>
      </c>
      <c r="Y14" s="2"/>
      <c r="Z14" s="19">
        <f t="shared" si="3"/>
        <v>-0.7096314028989309</v>
      </c>
    </row>
    <row r="15" spans="1:26" s="24" customFormat="1" hidden="1" outlineLevel="1" x14ac:dyDescent="0.25">
      <c r="A15" s="44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 t="shared" ref="D15:D16" si="4">0</f>
        <v>0</v>
      </c>
      <c r="E15" s="2"/>
      <c r="F15" s="19"/>
      <c r="G15" s="2"/>
      <c r="H15" s="2">
        <f t="shared" ref="H15:H16" si="5"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-369.15</f>
        <v>-369.15</v>
      </c>
      <c r="Q15" s="2"/>
      <c r="R15" s="19"/>
      <c r="S15" s="2"/>
      <c r="T15" s="2">
        <f>-478.25</f>
        <v>-478.25</v>
      </c>
      <c r="U15" s="2"/>
      <c r="V15" s="19"/>
      <c r="W15" s="2"/>
      <c r="X15" s="2">
        <f t="shared" si="2"/>
        <v>109.10000000000002</v>
      </c>
      <c r="Y15" s="2"/>
      <c r="Z15" s="19">
        <f t="shared" si="3"/>
        <v>-0.22812336644014641</v>
      </c>
    </row>
    <row r="16" spans="1:26" s="24" customFormat="1" hidden="1" outlineLevel="1" x14ac:dyDescent="0.25">
      <c r="A16" s="44"/>
      <c r="B16" s="11" t="str">
        <f>CONCATENATE("          ", "4295", " - ", "SALES RETURN TAXABLE-CUSTOMER")</f>
        <v xml:space="preserve">          4295 - SALES RETURN TAXABLE-CUSTOMER</v>
      </c>
      <c r="C16" s="11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-99</f>
        <v>-99</v>
      </c>
      <c r="U16" s="2"/>
      <c r="V16" s="19"/>
      <c r="W16" s="2"/>
      <c r="X16" s="2">
        <f t="shared" si="2"/>
        <v>99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26.160000000000046</v>
      </c>
      <c r="E18" s="4"/>
      <c r="F18" s="12">
        <f t="shared" ref="F18:F23" si="6">IF(D$12=0,0,D18/D$12)</f>
        <v>0.37478510028653361</v>
      </c>
      <c r="G18" s="4"/>
      <c r="H18" s="4">
        <f>SUM(OSRRefH16x_0)</f>
        <v>25.210000000000022</v>
      </c>
      <c r="I18" s="4"/>
      <c r="J18" s="12">
        <f t="shared" ref="J18:J23" si="7">IF(H$12=0,0,H18/H$12)</f>
        <v>0.16071656253984459</v>
      </c>
      <c r="K18" s="4"/>
      <c r="L18" s="4">
        <f t="shared" ref="L18:L23" si="8">+D18-H18</f>
        <v>0.95000000000002416</v>
      </c>
      <c r="M18" s="4"/>
      <c r="N18" s="12">
        <f t="shared" ref="N18:N23" si="9">IF(H18=0,0,L18/H18)</f>
        <v>3.7683458944864072E-2</v>
      </c>
      <c r="O18" s="10"/>
      <c r="P18" s="4">
        <f>SUM(OSRRefP16x_0)</f>
        <v>1891.58</v>
      </c>
      <c r="Q18" s="4"/>
      <c r="R18" s="12">
        <f t="shared" ref="R18:R23" si="10">IF(P$12=0,0,P18/P$12)</f>
        <v>0.50841817810413592</v>
      </c>
      <c r="S18" s="4"/>
      <c r="T18" s="4">
        <f>SUM(OSRRefT16x_0)</f>
        <v>1473.86</v>
      </c>
      <c r="U18" s="4"/>
      <c r="V18" s="12">
        <f t="shared" ref="V18:V23" si="11">IF(T$12=0,0,T18/T$12)</f>
        <v>0.35957188827328102</v>
      </c>
      <c r="W18" s="4"/>
      <c r="X18" s="4">
        <f t="shared" ref="X18:X23" si="12">+P18-T18</f>
        <v>417.72</v>
      </c>
      <c r="Y18" s="4"/>
      <c r="Z18" s="12">
        <f t="shared" ref="Z18:Z23" si="13">IF(T18=0,0,X18/T18)</f>
        <v>0.28341904929911937</v>
      </c>
    </row>
    <row r="19" spans="1:26" s="24" customFormat="1" hidden="1" outlineLevel="1" x14ac:dyDescent="0.25">
      <c r="A19" s="44"/>
      <c r="B19" s="11" t="str">
        <f>CONCATENATE("          ", "5092", " - ", "PURCHASES @ COST-GRAD MERCH")</f>
        <v xml:space="preserve">          5092 - PURCHASES @ COST-GRAD MERCH</v>
      </c>
      <c r="C19" s="11"/>
      <c r="D19" s="2">
        <v>-615.04999999999995</v>
      </c>
      <c r="E19" s="2"/>
      <c r="F19" s="19">
        <f t="shared" si="6"/>
        <v>-8.8116045845272204</v>
      </c>
      <c r="G19" s="2"/>
      <c r="H19" s="2">
        <v>-525.4</v>
      </c>
      <c r="I19" s="2"/>
      <c r="J19" s="19">
        <f t="shared" si="7"/>
        <v>-3.3494836159632797</v>
      </c>
      <c r="K19" s="2"/>
      <c r="L19" s="2">
        <f t="shared" si="8"/>
        <v>-89.649999999999977</v>
      </c>
      <c r="M19" s="2"/>
      <c r="N19" s="19">
        <f t="shared" si="9"/>
        <v>0.17063189950513891</v>
      </c>
      <c r="O19" s="11"/>
      <c r="P19" s="2">
        <v>12.95</v>
      </c>
      <c r="Q19" s="2"/>
      <c r="R19" s="19">
        <f t="shared" si="10"/>
        <v>3.4806962467612054E-3</v>
      </c>
      <c r="S19" s="2"/>
      <c r="T19" s="2">
        <v>-3270.44</v>
      </c>
      <c r="U19" s="2"/>
      <c r="V19" s="19">
        <f t="shared" si="11"/>
        <v>-0.79787651899398127</v>
      </c>
      <c r="W19" s="2"/>
      <c r="X19" s="2">
        <f t="shared" si="12"/>
        <v>3283.39</v>
      </c>
      <c r="Y19" s="2"/>
      <c r="Z19" s="19">
        <f t="shared" si="13"/>
        <v>-1.0039597118430548</v>
      </c>
    </row>
    <row r="20" spans="1:26" s="24" customFormat="1" hidden="1" outlineLevel="1" x14ac:dyDescent="0.25">
      <c r="A20" s="44"/>
      <c r="B20" s="11" t="str">
        <f>CONCATENATE("          ", "5095", " - ", "PURCHASES @ COST-CUSTOMER SERV")</f>
        <v xml:space="preserve">          5095 - PURCHASES @ COST-CUSTOMER SERV</v>
      </c>
      <c r="C20" s="11"/>
      <c r="D20" s="2"/>
      <c r="E20" s="2"/>
      <c r="F20" s="19">
        <f t="shared" si="6"/>
        <v>0</v>
      </c>
      <c r="G20" s="2"/>
      <c r="H20" s="2"/>
      <c r="I20" s="2"/>
      <c r="J20" s="19">
        <f t="shared" si="7"/>
        <v>0</v>
      </c>
      <c r="K20" s="2"/>
      <c r="L20" s="2">
        <f t="shared" si="8"/>
        <v>0</v>
      </c>
      <c r="M20" s="2"/>
      <c r="N20" s="19">
        <f t="shared" si="9"/>
        <v>0</v>
      </c>
      <c r="O20" s="11"/>
      <c r="P20" s="2">
        <v>11.85</v>
      </c>
      <c r="Q20" s="2"/>
      <c r="R20" s="19">
        <f t="shared" si="10"/>
        <v>3.185038650511219E-3</v>
      </c>
      <c r="S20" s="2"/>
      <c r="T20" s="2"/>
      <c r="U20" s="2"/>
      <c r="V20" s="19">
        <f t="shared" si="11"/>
        <v>0</v>
      </c>
      <c r="W20" s="2"/>
      <c r="X20" s="2">
        <f t="shared" si="12"/>
        <v>11.85</v>
      </c>
      <c r="Y20" s="2"/>
      <c r="Z20" s="19">
        <f t="shared" si="13"/>
        <v>0</v>
      </c>
    </row>
    <row r="21" spans="1:26" s="24" customFormat="1" hidden="1" outlineLevel="1" x14ac:dyDescent="0.25">
      <c r="A21" s="44"/>
      <c r="B21" s="11" t="str">
        <f>CONCATENATE("          ", "5200", " - ", "PURCHASES OFFSET")</f>
        <v xml:space="preserve">          5200 - PURCHASES OFFSET</v>
      </c>
      <c r="C21" s="11"/>
      <c r="D21" s="2">
        <v>604</v>
      </c>
      <c r="E21" s="2"/>
      <c r="F21" s="19">
        <f t="shared" si="6"/>
        <v>8.6532951289398277</v>
      </c>
      <c r="G21" s="2"/>
      <c r="H21" s="2">
        <v>520</v>
      </c>
      <c r="I21" s="2"/>
      <c r="J21" s="19">
        <f t="shared" si="7"/>
        <v>3.315058013515237</v>
      </c>
      <c r="K21" s="2"/>
      <c r="L21" s="2">
        <f t="shared" si="8"/>
        <v>84</v>
      </c>
      <c r="M21" s="2"/>
      <c r="N21" s="19">
        <f t="shared" si="9"/>
        <v>0.16153846153846155</v>
      </c>
      <c r="O21" s="11"/>
      <c r="P21" s="2">
        <v>-96</v>
      </c>
      <c r="Q21" s="2"/>
      <c r="R21" s="19">
        <f t="shared" si="10"/>
        <v>-2.5802844763635192E-2</v>
      </c>
      <c r="S21" s="2"/>
      <c r="T21" s="2">
        <v>3157</v>
      </c>
      <c r="U21" s="2"/>
      <c r="V21" s="19">
        <f t="shared" si="11"/>
        <v>0.77020100367656918</v>
      </c>
      <c r="W21" s="2"/>
      <c r="X21" s="2">
        <f t="shared" si="12"/>
        <v>-3253</v>
      </c>
      <c r="Y21" s="2"/>
      <c r="Z21" s="19">
        <f t="shared" si="13"/>
        <v>-1.0304086157744694</v>
      </c>
    </row>
    <row r="22" spans="1:26" s="24" customFormat="1" hidden="1" outlineLevel="1" x14ac:dyDescent="0.25">
      <c r="A22" s="44"/>
      <c r="B22" s="11" t="str">
        <f>CONCATENATE("          ", "5300", " - ", "COG$ OFFSET")</f>
        <v xml:space="preserve">          5300 - COG$ OFFSET</v>
      </c>
      <c r="C22" s="11"/>
      <c r="D22" s="2">
        <v>26</v>
      </c>
      <c r="E22" s="2"/>
      <c r="F22" s="19">
        <f t="shared" si="6"/>
        <v>0.3724928366762178</v>
      </c>
      <c r="G22" s="2"/>
      <c r="H22" s="2">
        <v>25</v>
      </c>
      <c r="I22" s="2"/>
      <c r="J22" s="19">
        <f t="shared" si="7"/>
        <v>0.15937778911130945</v>
      </c>
      <c r="K22" s="2"/>
      <c r="L22" s="2">
        <f t="shared" si="8"/>
        <v>1</v>
      </c>
      <c r="M22" s="2"/>
      <c r="N22" s="19">
        <f t="shared" si="9"/>
        <v>0.04</v>
      </c>
      <c r="O22" s="11"/>
      <c r="P22" s="2">
        <v>1892</v>
      </c>
      <c r="Q22" s="2"/>
      <c r="R22" s="19">
        <f t="shared" si="10"/>
        <v>0.50853106554997685</v>
      </c>
      <c r="S22" s="2"/>
      <c r="T22" s="2">
        <v>1473</v>
      </c>
      <c r="U22" s="2"/>
      <c r="V22" s="19">
        <f t="shared" si="11"/>
        <v>0.35936207742020476</v>
      </c>
      <c r="W22" s="2"/>
      <c r="X22" s="2">
        <f t="shared" si="12"/>
        <v>419</v>
      </c>
      <c r="Y22" s="2"/>
      <c r="Z22" s="19">
        <f t="shared" si="13"/>
        <v>0.28445349626612354</v>
      </c>
    </row>
    <row r="23" spans="1:26" s="24" customFormat="1" hidden="1" outlineLevel="1" x14ac:dyDescent="0.25">
      <c r="A23" s="44"/>
      <c r="B23" s="11" t="str">
        <f>CONCATENATE("          ", "5592", " - ", "FREIGHT-IN-GRAD MERCH")</f>
        <v xml:space="preserve">          5592 - FREIGHT-IN-GRAD MERCH</v>
      </c>
      <c r="C23" s="11"/>
      <c r="D23" s="2">
        <v>11.21</v>
      </c>
      <c r="E23" s="2"/>
      <c r="F23" s="19">
        <f t="shared" si="6"/>
        <v>0.16060171919770774</v>
      </c>
      <c r="G23" s="2"/>
      <c r="H23" s="2">
        <v>5.61</v>
      </c>
      <c r="I23" s="2"/>
      <c r="J23" s="19">
        <f t="shared" si="7"/>
        <v>3.5764375876577846E-2</v>
      </c>
      <c r="K23" s="2"/>
      <c r="L23" s="2">
        <f t="shared" si="8"/>
        <v>5.6000000000000005</v>
      </c>
      <c r="M23" s="2"/>
      <c r="N23" s="19">
        <f t="shared" si="9"/>
        <v>0.99821746880570417</v>
      </c>
      <c r="O23" s="11"/>
      <c r="P23" s="2">
        <v>70.78</v>
      </c>
      <c r="Q23" s="2"/>
      <c r="R23" s="19">
        <f t="shared" si="10"/>
        <v>1.9024222420521864E-2</v>
      </c>
      <c r="S23" s="2"/>
      <c r="T23" s="2">
        <v>114.3</v>
      </c>
      <c r="U23" s="2"/>
      <c r="V23" s="19">
        <f t="shared" si="11"/>
        <v>2.7885326170488393E-2</v>
      </c>
      <c r="W23" s="2"/>
      <c r="X23" s="2">
        <f t="shared" si="12"/>
        <v>-43.519999999999996</v>
      </c>
      <c r="Y23" s="2"/>
      <c r="Z23" s="19">
        <f t="shared" si="13"/>
        <v>-0.3807524059492563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6" t="s">
        <v>6</v>
      </c>
      <c r="C25" s="26"/>
      <c r="D25" s="21">
        <f>D12-D18</f>
        <v>43.639999999999951</v>
      </c>
      <c r="E25" s="13"/>
      <c r="F25" s="20">
        <f>IF(D$12=0,0,D25/D$12)</f>
        <v>0.62521489971346633</v>
      </c>
      <c r="G25" s="13"/>
      <c r="H25" s="21">
        <f>H12-H18</f>
        <v>131.64999999999998</v>
      </c>
      <c r="I25" s="13"/>
      <c r="J25" s="20">
        <f>IF(H$12=0,0,H25/H$12)</f>
        <v>0.83928343746015543</v>
      </c>
      <c r="K25" s="15"/>
      <c r="L25" s="21">
        <f>+D25-H25</f>
        <v>-88.010000000000019</v>
      </c>
      <c r="M25" s="15"/>
      <c r="N25" s="20">
        <f>IF(H25=0,0,L25/H25)</f>
        <v>-0.66851500189897484</v>
      </c>
      <c r="O25" s="25"/>
      <c r="P25" s="21">
        <f>P12-P18</f>
        <v>1828.94</v>
      </c>
      <c r="Q25" s="13"/>
      <c r="R25" s="20">
        <f>IF(P$12=0,0,P25/P$12)</f>
        <v>0.49158182189586402</v>
      </c>
      <c r="S25" s="13"/>
      <c r="T25" s="21">
        <f>T12-T18</f>
        <v>2625.0700000000006</v>
      </c>
      <c r="U25" s="13"/>
      <c r="V25" s="20">
        <f>IF(T$12=0,0,T25/T$12)</f>
        <v>0.64042811172671898</v>
      </c>
      <c r="W25" s="15"/>
      <c r="X25" s="21">
        <f>+P25-T25</f>
        <v>-796.13000000000056</v>
      </c>
      <c r="Y25" s="15"/>
      <c r="Z25" s="20">
        <f>IF(T25=0,0,X25/T25)</f>
        <v>-0.30327953159344334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5" t="s">
        <v>9</v>
      </c>
      <c r="C27" s="10"/>
      <c r="D27" s="22">
        <f>SUM(OSRRefD22x_0)</f>
        <v>9160.18</v>
      </c>
      <c r="E27" s="22"/>
      <c r="F27" s="34">
        <f t="shared" ref="F27:F35" si="14">IF(D$12=0,0,D27/D$12)</f>
        <v>131.23467048710603</v>
      </c>
      <c r="G27" s="22"/>
      <c r="H27" s="22">
        <f>SUM(OSRRefH22x_0)</f>
        <v>8784.09</v>
      </c>
      <c r="I27" s="22"/>
      <c r="J27" s="34">
        <f t="shared" ref="J27:J35" si="15">IF(H$12=0,0,H27/H$12)</f>
        <v>55.999553742190493</v>
      </c>
      <c r="K27" s="4"/>
      <c r="L27" s="22">
        <f t="shared" ref="L27:L35" si="16">+D27-H27</f>
        <v>376.09000000000015</v>
      </c>
      <c r="M27" s="4"/>
      <c r="N27" s="34">
        <f t="shared" ref="N27:N35" si="17">IF(H27=0,0,L27/H27)</f>
        <v>4.2814907406458741E-2</v>
      </c>
      <c r="O27" s="10"/>
      <c r="P27" s="22">
        <f>SUM(OSRRefP22x_0)</f>
        <v>-1342.7300000000007</v>
      </c>
      <c r="Q27" s="22"/>
      <c r="R27" s="34">
        <f t="shared" ref="R27:R35" si="18">IF(P$12=0,0,P27/P$12)</f>
        <v>-0.3608984765570406</v>
      </c>
      <c r="S27" s="22"/>
      <c r="T27" s="22">
        <f>SUM(OSRRefT22x_0)</f>
        <v>1299.9000000000019</v>
      </c>
      <c r="U27" s="22"/>
      <c r="V27" s="34">
        <f t="shared" ref="V27:V35" si="19">IF(T$12=0,0,T27/T$12)</f>
        <v>0.31713154408589606</v>
      </c>
      <c r="W27" s="4"/>
      <c r="X27" s="22">
        <f t="shared" ref="X27:X35" si="20">+P27-T27</f>
        <v>-2642.6300000000028</v>
      </c>
      <c r="Y27" s="4"/>
      <c r="Z27" s="34">
        <f t="shared" ref="Z27:Z35" si="21">IF(T27=0,0,X27/T27)</f>
        <v>-2.0329486883606425</v>
      </c>
    </row>
    <row r="28" spans="1:26" s="29" customFormat="1" outlineLevel="1" collapsed="1" x14ac:dyDescent="0.25">
      <c r="A28" s="27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0</v>
      </c>
      <c r="E28" s="1"/>
      <c r="F28" s="5">
        <f t="shared" si="14"/>
        <v>0</v>
      </c>
      <c r="G28" s="1"/>
      <c r="H28" s="1">
        <f>SUM(OSRRefH22_0x_0)</f>
        <v>0</v>
      </c>
      <c r="I28" s="1"/>
      <c r="J28" s="5">
        <f t="shared" si="15"/>
        <v>0</v>
      </c>
      <c r="K28" s="1"/>
      <c r="L28" s="1">
        <f t="shared" si="16"/>
        <v>0</v>
      </c>
      <c r="M28" s="1"/>
      <c r="N28" s="5">
        <f t="shared" si="17"/>
        <v>0</v>
      </c>
      <c r="O28" s="14"/>
      <c r="P28" s="1">
        <f>SUM(OSRRefP22_0x_0)</f>
        <v>835.72</v>
      </c>
      <c r="Q28" s="1"/>
      <c r="R28" s="5">
        <f t="shared" si="18"/>
        <v>0.22462451485276252</v>
      </c>
      <c r="S28" s="1"/>
      <c r="T28" s="1">
        <f>SUM(OSRRefT22_0x_0)</f>
        <v>7.64</v>
      </c>
      <c r="U28" s="1"/>
      <c r="V28" s="5">
        <f t="shared" si="19"/>
        <v>1.863901066863791E-3</v>
      </c>
      <c r="W28" s="1"/>
      <c r="X28" s="1">
        <f t="shared" si="20"/>
        <v>828.08</v>
      </c>
      <c r="Y28" s="1"/>
      <c r="Z28" s="5">
        <f t="shared" si="21"/>
        <v>108.38743455497384</v>
      </c>
    </row>
    <row r="29" spans="1:26" s="24" customFormat="1" hidden="1" outlineLevel="2" x14ac:dyDescent="0.25">
      <c r="A29" s="28"/>
      <c r="B29" s="11" t="str">
        <f>CONCATENATE("          ", "6111", " - ", "F.I.C.A.")</f>
        <v xml:space="preserve">          6111 - F.I.C.A.</v>
      </c>
      <c r="C29" s="11"/>
      <c r="D29" s="6"/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>
        <v>155.66</v>
      </c>
      <c r="Q29" s="2"/>
      <c r="R29" s="7">
        <f t="shared" si="18"/>
        <v>4.1838237665702646E-2</v>
      </c>
      <c r="S29" s="2"/>
      <c r="T29" s="6">
        <v>7.64</v>
      </c>
      <c r="U29" s="2"/>
      <c r="V29" s="7">
        <f t="shared" si="19"/>
        <v>1.863901066863791E-3</v>
      </c>
      <c r="W29" s="2"/>
      <c r="X29" s="6">
        <f t="shared" si="20"/>
        <v>148.02000000000001</v>
      </c>
      <c r="Y29" s="2"/>
      <c r="Z29" s="7">
        <f t="shared" si="21"/>
        <v>19.374345549738223</v>
      </c>
    </row>
    <row r="30" spans="1:26" s="24" customFormat="1" hidden="1" outlineLevel="2" x14ac:dyDescent="0.25">
      <c r="A30" s="28"/>
      <c r="B30" s="11" t="str">
        <f>CONCATENATE("          ", "6112", " - ", "COMPENSATION INSURANCE")</f>
        <v xml:space="preserve">          6112 - COMPENSATION INSURANCE</v>
      </c>
      <c r="C30" s="11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>
        <v>36.479999999999997</v>
      </c>
      <c r="Q30" s="2"/>
      <c r="R30" s="7">
        <f t="shared" si="18"/>
        <v>9.8050810101813716E-3</v>
      </c>
      <c r="S30" s="2"/>
      <c r="T30" s="6"/>
      <c r="U30" s="2"/>
      <c r="V30" s="7">
        <f t="shared" si="19"/>
        <v>0</v>
      </c>
      <c r="W30" s="2"/>
      <c r="X30" s="6">
        <f t="shared" si="20"/>
        <v>36.479999999999997</v>
      </c>
      <c r="Y30" s="2"/>
      <c r="Z30" s="7">
        <f t="shared" si="21"/>
        <v>0</v>
      </c>
    </row>
    <row r="31" spans="1:26" s="24" customFormat="1" hidden="1" outlineLevel="2" x14ac:dyDescent="0.25">
      <c r="A31" s="28"/>
      <c r="B31" s="11" t="str">
        <f>CONCATENATE("          ", "6113", " - ", "GROUP INSURANCE")</f>
        <v xml:space="preserve">          6113 - GROUP INSURANCE</v>
      </c>
      <c r="C31" s="11"/>
      <c r="D31" s="6"/>
      <c r="E31" s="2"/>
      <c r="F31" s="7">
        <f t="shared" si="14"/>
        <v>0</v>
      </c>
      <c r="G31" s="2"/>
      <c r="H31" s="6"/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1"/>
      <c r="P31" s="6">
        <v>305.26</v>
      </c>
      <c r="Q31" s="2"/>
      <c r="R31" s="7">
        <f t="shared" si="18"/>
        <v>8.2047670755700811E-2</v>
      </c>
      <c r="S31" s="2"/>
      <c r="T31" s="6"/>
      <c r="U31" s="2"/>
      <c r="V31" s="7">
        <f t="shared" si="19"/>
        <v>0</v>
      </c>
      <c r="W31" s="2"/>
      <c r="X31" s="6">
        <f t="shared" si="20"/>
        <v>305.26</v>
      </c>
      <c r="Y31" s="2"/>
      <c r="Z31" s="7">
        <f t="shared" si="21"/>
        <v>0</v>
      </c>
    </row>
    <row r="32" spans="1:26" s="24" customFormat="1" hidden="1" outlineLevel="2" x14ac:dyDescent="0.25">
      <c r="A32" s="28"/>
      <c r="B32" s="11" t="str">
        <f>CONCATENATE("          ", "6114", " - ", "STATE UNEMPLOYMENT INSURANCE")</f>
        <v xml:space="preserve">          6114 - STATE UNEMPLOYMENT INSURANCE</v>
      </c>
      <c r="C32" s="11"/>
      <c r="D32" s="6"/>
      <c r="E32" s="2"/>
      <c r="F32" s="7">
        <f t="shared" si="14"/>
        <v>0</v>
      </c>
      <c r="G32" s="2"/>
      <c r="H32" s="6"/>
      <c r="I32" s="2"/>
      <c r="J32" s="7">
        <f t="shared" si="15"/>
        <v>0</v>
      </c>
      <c r="K32" s="2"/>
      <c r="L32" s="6">
        <f t="shared" si="16"/>
        <v>0</v>
      </c>
      <c r="M32" s="2"/>
      <c r="N32" s="7">
        <f t="shared" si="17"/>
        <v>0</v>
      </c>
      <c r="O32" s="11"/>
      <c r="P32" s="6">
        <v>5</v>
      </c>
      <c r="Q32" s="2"/>
      <c r="R32" s="7">
        <f t="shared" si="18"/>
        <v>1.3438981647726663E-3</v>
      </c>
      <c r="S32" s="2"/>
      <c r="T32" s="6"/>
      <c r="U32" s="2"/>
      <c r="V32" s="7">
        <f t="shared" si="19"/>
        <v>0</v>
      </c>
      <c r="W32" s="2"/>
      <c r="X32" s="6">
        <f t="shared" si="20"/>
        <v>5</v>
      </c>
      <c r="Y32" s="2"/>
      <c r="Z32" s="7">
        <f t="shared" si="21"/>
        <v>0</v>
      </c>
    </row>
    <row r="33" spans="1:26" s="24" customFormat="1" hidden="1" outlineLevel="2" x14ac:dyDescent="0.25">
      <c r="A33" s="28"/>
      <c r="B33" s="11" t="str">
        <f>CONCATENATE("          ", "6115", " - ", "P.E.R.S.")</f>
        <v xml:space="preserve">          6115 - P.E.R.S.</v>
      </c>
      <c r="C33" s="11"/>
      <c r="D33" s="6"/>
      <c r="E33" s="2"/>
      <c r="F33" s="7">
        <f t="shared" si="14"/>
        <v>0</v>
      </c>
      <c r="G33" s="2"/>
      <c r="H33" s="6"/>
      <c r="I33" s="2"/>
      <c r="J33" s="7">
        <f t="shared" si="15"/>
        <v>0</v>
      </c>
      <c r="K33" s="2"/>
      <c r="L33" s="6">
        <f t="shared" si="16"/>
        <v>0</v>
      </c>
      <c r="M33" s="2"/>
      <c r="N33" s="7">
        <f t="shared" si="17"/>
        <v>0</v>
      </c>
      <c r="O33" s="11"/>
      <c r="P33" s="6">
        <v>134.12</v>
      </c>
      <c r="Q33" s="2"/>
      <c r="R33" s="7">
        <f t="shared" si="18"/>
        <v>3.6048724371861997E-2</v>
      </c>
      <c r="S33" s="2"/>
      <c r="T33" s="6"/>
      <c r="U33" s="2"/>
      <c r="V33" s="7">
        <f t="shared" si="19"/>
        <v>0</v>
      </c>
      <c r="W33" s="2"/>
      <c r="X33" s="6">
        <f t="shared" si="20"/>
        <v>134.12</v>
      </c>
      <c r="Y33" s="2"/>
      <c r="Z33" s="7">
        <f t="shared" si="21"/>
        <v>0</v>
      </c>
    </row>
    <row r="34" spans="1:26" s="24" customFormat="1" hidden="1" outlineLevel="2" x14ac:dyDescent="0.25">
      <c r="A34" s="28"/>
      <c r="B34" s="11" t="str">
        <f>CONCATENATE("          ", "6118", " - ", "VACATION")</f>
        <v xml:space="preserve">          6118 - VACATION</v>
      </c>
      <c r="C34" s="11"/>
      <c r="D34" s="6"/>
      <c r="E34" s="2"/>
      <c r="F34" s="7">
        <f t="shared" si="14"/>
        <v>0</v>
      </c>
      <c r="G34" s="2"/>
      <c r="H34" s="6"/>
      <c r="I34" s="2"/>
      <c r="J34" s="7">
        <f t="shared" si="15"/>
        <v>0</v>
      </c>
      <c r="K34" s="2"/>
      <c r="L34" s="6">
        <f t="shared" si="16"/>
        <v>0</v>
      </c>
      <c r="M34" s="2"/>
      <c r="N34" s="7">
        <f t="shared" si="17"/>
        <v>0</v>
      </c>
      <c r="O34" s="11"/>
      <c r="P34" s="6">
        <v>110.64</v>
      </c>
      <c r="Q34" s="2"/>
      <c r="R34" s="7">
        <f t="shared" si="18"/>
        <v>2.9737778590089557E-2</v>
      </c>
      <c r="S34" s="2"/>
      <c r="T34" s="6"/>
      <c r="U34" s="2"/>
      <c r="V34" s="7">
        <f t="shared" si="19"/>
        <v>0</v>
      </c>
      <c r="W34" s="2"/>
      <c r="X34" s="6">
        <f t="shared" si="20"/>
        <v>110.64</v>
      </c>
      <c r="Y34" s="2"/>
      <c r="Z34" s="7">
        <f t="shared" si="21"/>
        <v>0</v>
      </c>
    </row>
    <row r="35" spans="1:26" s="24" customFormat="1" hidden="1" outlineLevel="2" x14ac:dyDescent="0.25">
      <c r="A35" s="28"/>
      <c r="B35" s="11" t="str">
        <f>CONCATENATE("          ", "6119", " - ", "SICK LEAVE")</f>
        <v xml:space="preserve">          6119 - SICK LEAVE</v>
      </c>
      <c r="C35" s="11"/>
      <c r="D35" s="6"/>
      <c r="E35" s="2"/>
      <c r="F35" s="7">
        <f t="shared" si="14"/>
        <v>0</v>
      </c>
      <c r="G35" s="2"/>
      <c r="H35" s="6"/>
      <c r="I35" s="2"/>
      <c r="J35" s="7">
        <f t="shared" si="15"/>
        <v>0</v>
      </c>
      <c r="K35" s="2"/>
      <c r="L35" s="6">
        <f t="shared" si="16"/>
        <v>0</v>
      </c>
      <c r="M35" s="2"/>
      <c r="N35" s="7">
        <f t="shared" si="17"/>
        <v>0</v>
      </c>
      <c r="O35" s="11"/>
      <c r="P35" s="6">
        <v>88.56</v>
      </c>
      <c r="Q35" s="2"/>
      <c r="R35" s="7">
        <f t="shared" si="18"/>
        <v>2.3803124294453464E-2</v>
      </c>
      <c r="S35" s="2"/>
      <c r="T35" s="6"/>
      <c r="U35" s="2"/>
      <c r="V35" s="7">
        <f t="shared" si="19"/>
        <v>0</v>
      </c>
      <c r="W35" s="2"/>
      <c r="X35" s="6">
        <f t="shared" si="20"/>
        <v>88.56</v>
      </c>
      <c r="Y35" s="2"/>
      <c r="Z35" s="7">
        <f t="shared" si="21"/>
        <v>0</v>
      </c>
    </row>
    <row r="36" spans="1:26" s="29" customFormat="1" outlineLevel="1" collapsed="1" x14ac:dyDescent="0.25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-240</v>
      </c>
      <c r="E36" s="1"/>
      <c r="F36" s="5">
        <f t="shared" ref="F36:F39" si="22">IF(D$12=0,0,D36/D$12)</f>
        <v>-3.4383954154727796</v>
      </c>
      <c r="G36" s="1"/>
      <c r="H36" s="1">
        <f>SUM(OSRRefH22_1x_0)</f>
        <v>0</v>
      </c>
      <c r="I36" s="1"/>
      <c r="J36" s="5">
        <f t="shared" ref="J36:J39" si="23">IF(H$12=0,0,H36/H$12)</f>
        <v>0</v>
      </c>
      <c r="K36" s="1"/>
      <c r="L36" s="1">
        <f t="shared" ref="L36:L39" si="24">+D36-H36</f>
        <v>-240</v>
      </c>
      <c r="M36" s="1"/>
      <c r="N36" s="5">
        <f t="shared" ref="N36:N39" si="25">IF(H36=0,0,L36/H36)</f>
        <v>0</v>
      </c>
      <c r="O36" s="14"/>
      <c r="P36" s="1">
        <f>SUM(OSRRefP22_1x_0)</f>
        <v>1986.7399999999998</v>
      </c>
      <c r="Q36" s="1"/>
      <c r="R36" s="5">
        <f t="shared" ref="R36:R39" si="26">IF(P$12=0,0,P36/P$12)</f>
        <v>0.53399524797608933</v>
      </c>
      <c r="S36" s="1"/>
      <c r="T36" s="1">
        <f>SUM(OSRRefT22_1x_0)</f>
        <v>99.88</v>
      </c>
      <c r="U36" s="1"/>
      <c r="V36" s="5">
        <f t="shared" ref="V36:V39" si="27">IF(T$12=0,0,T36/T$12)</f>
        <v>2.4367334889837101E-2</v>
      </c>
      <c r="W36" s="1"/>
      <c r="X36" s="1">
        <f t="shared" ref="X36:X39" si="28">+P36-T36</f>
        <v>1886.8599999999997</v>
      </c>
      <c r="Y36" s="1"/>
      <c r="Z36" s="5">
        <f t="shared" ref="Z36:Z39" si="29">IF(T36=0,0,X36/T36)</f>
        <v>18.891269523428111</v>
      </c>
    </row>
    <row r="37" spans="1:26" s="24" customFormat="1" hidden="1" outlineLevel="2" x14ac:dyDescent="0.25">
      <c r="A37" s="28"/>
      <c r="B37" s="11" t="str">
        <f>CONCATENATE("          ", "6002", " - ", "STAFF SALARIES")</f>
        <v xml:space="preserve">          6002 - STAFF SALARIES</v>
      </c>
      <c r="C37" s="11"/>
      <c r="D37" s="6">
        <v>-240</v>
      </c>
      <c r="E37" s="2"/>
      <c r="F37" s="7">
        <f t="shared" si="22"/>
        <v>-3.4383954154727796</v>
      </c>
      <c r="G37" s="2"/>
      <c r="H37" s="6"/>
      <c r="I37" s="2"/>
      <c r="J37" s="7">
        <f t="shared" si="23"/>
        <v>0</v>
      </c>
      <c r="K37" s="2"/>
      <c r="L37" s="6">
        <f t="shared" si="24"/>
        <v>-240</v>
      </c>
      <c r="M37" s="2"/>
      <c r="N37" s="7">
        <f t="shared" si="25"/>
        <v>0</v>
      </c>
      <c r="O37" s="11"/>
      <c r="P37" s="6">
        <v>1872</v>
      </c>
      <c r="Q37" s="2"/>
      <c r="R37" s="7">
        <f t="shared" si="26"/>
        <v>0.50315547289088625</v>
      </c>
      <c r="S37" s="2"/>
      <c r="T37" s="6"/>
      <c r="U37" s="2"/>
      <c r="V37" s="7">
        <f t="shared" si="27"/>
        <v>0</v>
      </c>
      <c r="W37" s="2"/>
      <c r="X37" s="6">
        <f t="shared" si="28"/>
        <v>1872</v>
      </c>
      <c r="Y37" s="2"/>
      <c r="Z37" s="7">
        <f t="shared" si="29"/>
        <v>0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>
        <v>57.37</v>
      </c>
      <c r="Q38" s="2"/>
      <c r="R38" s="7">
        <f t="shared" si="26"/>
        <v>1.5419887542601571E-2</v>
      </c>
      <c r="S38" s="2"/>
      <c r="T38" s="6"/>
      <c r="U38" s="2"/>
      <c r="V38" s="7">
        <f t="shared" si="27"/>
        <v>0</v>
      </c>
      <c r="W38" s="2"/>
      <c r="X38" s="6">
        <f t="shared" si="28"/>
        <v>57.37</v>
      </c>
      <c r="Y38" s="2"/>
      <c r="Z38" s="7">
        <f t="shared" si="29"/>
        <v>0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2"/>
        <v>0</v>
      </c>
      <c r="G39" s="2"/>
      <c r="H39" s="6"/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>
        <v>57.37</v>
      </c>
      <c r="Q39" s="2"/>
      <c r="R39" s="7">
        <f t="shared" si="26"/>
        <v>1.5419887542601571E-2</v>
      </c>
      <c r="S39" s="2"/>
      <c r="T39" s="6">
        <v>99.88</v>
      </c>
      <c r="U39" s="2"/>
      <c r="V39" s="7">
        <f t="shared" si="27"/>
        <v>2.4367334889837101E-2</v>
      </c>
      <c r="W39" s="2"/>
      <c r="X39" s="6">
        <f t="shared" si="28"/>
        <v>-42.51</v>
      </c>
      <c r="Y39" s="2"/>
      <c r="Z39" s="7">
        <f t="shared" si="29"/>
        <v>-0.42561073287945533</v>
      </c>
    </row>
    <row r="40" spans="1:26" s="29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-857.46</v>
      </c>
      <c r="E40" s="1"/>
      <c r="F40" s="5">
        <f t="shared" ref="F40:F46" si="30">IF(D$12=0,0,D40/D$12)</f>
        <v>-12.284527220630373</v>
      </c>
      <c r="G40" s="1"/>
      <c r="H40" s="1">
        <f>SUM(OSRRefH22_2x_0)</f>
        <v>0</v>
      </c>
      <c r="I40" s="1"/>
      <c r="J40" s="5">
        <f t="shared" ref="J40:J46" si="31">IF(H$12=0,0,H40/H$12)</f>
        <v>0</v>
      </c>
      <c r="K40" s="1"/>
      <c r="L40" s="1">
        <f t="shared" ref="L40:L46" si="32">+D40-H40</f>
        <v>-857.46</v>
      </c>
      <c r="M40" s="1"/>
      <c r="N40" s="5">
        <f t="shared" ref="N40:N46" si="33">IF(H40=0,0,L40/H40)</f>
        <v>0</v>
      </c>
      <c r="O40" s="14"/>
      <c r="P40" s="1">
        <f>SUM(OSRRefP22_2x_0)</f>
        <v>-857.46</v>
      </c>
      <c r="Q40" s="1"/>
      <c r="R40" s="5">
        <f t="shared" ref="R40:R46" si="34">IF(P$12=0,0,P40/P$12)</f>
        <v>-0.23046778407319407</v>
      </c>
      <c r="S40" s="1"/>
      <c r="T40" s="1">
        <f>SUM(OSRRefT22_2x_0)</f>
        <v>0</v>
      </c>
      <c r="U40" s="1"/>
      <c r="V40" s="5">
        <f t="shared" ref="V40:V46" si="35">IF(T$12=0,0,T40/T$12)</f>
        <v>0</v>
      </c>
      <c r="W40" s="1"/>
      <c r="X40" s="1">
        <f t="shared" ref="X40:X46" si="36">+P40-T40</f>
        <v>-857.46</v>
      </c>
      <c r="Y40" s="1"/>
      <c r="Z40" s="5">
        <f t="shared" ref="Z40:Z46" si="37">IF(T40=0,0,X40/T40)</f>
        <v>0</v>
      </c>
    </row>
    <row r="41" spans="1:26" s="24" customFormat="1" hidden="1" outlineLevel="2" x14ac:dyDescent="0.25">
      <c r="A41" s="28"/>
      <c r="B41" s="11" t="str">
        <f>CONCATENATE("          ", "6362", " - ", "ADVERTISING EXPENSE")</f>
        <v xml:space="preserve">          6362 - ADVERTISING EXPENSE</v>
      </c>
      <c r="C41" s="11"/>
      <c r="D41" s="6">
        <v>-857.46</v>
      </c>
      <c r="E41" s="2"/>
      <c r="F41" s="7">
        <f t="shared" si="30"/>
        <v>-12.284527220630373</v>
      </c>
      <c r="G41" s="2"/>
      <c r="H41" s="6"/>
      <c r="I41" s="2"/>
      <c r="J41" s="7">
        <f t="shared" si="31"/>
        <v>0</v>
      </c>
      <c r="K41" s="2"/>
      <c r="L41" s="6">
        <f t="shared" si="32"/>
        <v>-857.46</v>
      </c>
      <c r="M41" s="2"/>
      <c r="N41" s="7">
        <f t="shared" si="33"/>
        <v>0</v>
      </c>
      <c r="O41" s="11"/>
      <c r="P41" s="6">
        <v>-857.46</v>
      </c>
      <c r="Q41" s="2"/>
      <c r="R41" s="7">
        <f t="shared" si="34"/>
        <v>-0.23046778407319407</v>
      </c>
      <c r="S41" s="2"/>
      <c r="T41" s="6"/>
      <c r="U41" s="2"/>
      <c r="V41" s="7">
        <f t="shared" si="35"/>
        <v>0</v>
      </c>
      <c r="W41" s="2"/>
      <c r="X41" s="6">
        <f t="shared" si="36"/>
        <v>-857.46</v>
      </c>
      <c r="Y41" s="2"/>
      <c r="Z41" s="7">
        <f t="shared" si="37"/>
        <v>0</v>
      </c>
    </row>
    <row r="42" spans="1:26" s="29" customFormat="1" outlineLevel="1" collapsed="1" x14ac:dyDescent="0.25">
      <c r="A42" s="27"/>
      <c r="B42" s="14" t="str">
        <f>CONCATENATE("     ","Discounts and Markdowns                           ")</f>
        <v xml:space="preserve">     Discounts and Markdowns                           </v>
      </c>
      <c r="C42" s="14"/>
      <c r="D42" s="1">
        <f>SUM(OSRRefD22_3x_0)</f>
        <v>0</v>
      </c>
      <c r="E42" s="1"/>
      <c r="F42" s="5">
        <f t="shared" si="30"/>
        <v>0</v>
      </c>
      <c r="G42" s="1"/>
      <c r="H42" s="1">
        <f>SUM(OSRRefH22_3x_0)</f>
        <v>10</v>
      </c>
      <c r="I42" s="1"/>
      <c r="J42" s="5">
        <f t="shared" si="31"/>
        <v>6.3751115644523779E-2</v>
      </c>
      <c r="K42" s="1"/>
      <c r="L42" s="1">
        <f t="shared" si="32"/>
        <v>-10</v>
      </c>
      <c r="M42" s="1"/>
      <c r="N42" s="5">
        <f t="shared" si="33"/>
        <v>-1</v>
      </c>
      <c r="O42" s="14"/>
      <c r="P42" s="1">
        <f>SUM(OSRRefP22_3x_0)</f>
        <v>5.25</v>
      </c>
      <c r="Q42" s="1"/>
      <c r="R42" s="5">
        <f t="shared" si="34"/>
        <v>1.4110930730112995E-3</v>
      </c>
      <c r="S42" s="1"/>
      <c r="T42" s="1">
        <f>SUM(OSRRefT22_3x_0)</f>
        <v>49.49</v>
      </c>
      <c r="U42" s="1"/>
      <c r="V42" s="5">
        <f t="shared" si="35"/>
        <v>1.2073882696215841E-2</v>
      </c>
      <c r="W42" s="1"/>
      <c r="X42" s="1">
        <f t="shared" si="36"/>
        <v>-44.24</v>
      </c>
      <c r="Y42" s="1"/>
      <c r="Z42" s="5">
        <f t="shared" si="37"/>
        <v>-0.89391796322489392</v>
      </c>
    </row>
    <row r="43" spans="1:26" s="24" customFormat="1" hidden="1" outlineLevel="2" x14ac:dyDescent="0.25">
      <c r="A43" s="28"/>
      <c r="B43" s="11" t="str">
        <f>CONCATENATE("          ", "6382", " - ", "DISCOUNTS/MARK DOWNS")</f>
        <v xml:space="preserve">          6382 - DISCOUNTS/MARK DOWNS</v>
      </c>
      <c r="C43" s="11"/>
      <c r="D43" s="6"/>
      <c r="E43" s="2"/>
      <c r="F43" s="7">
        <f t="shared" si="30"/>
        <v>0</v>
      </c>
      <c r="G43" s="2"/>
      <c r="H43" s="6">
        <v>10</v>
      </c>
      <c r="I43" s="2"/>
      <c r="J43" s="7">
        <f t="shared" si="31"/>
        <v>6.3751115644523779E-2</v>
      </c>
      <c r="K43" s="2"/>
      <c r="L43" s="6">
        <f t="shared" si="32"/>
        <v>-10</v>
      </c>
      <c r="M43" s="2"/>
      <c r="N43" s="7">
        <f t="shared" si="33"/>
        <v>-1</v>
      </c>
      <c r="O43" s="11"/>
      <c r="P43" s="6">
        <v>5.25</v>
      </c>
      <c r="Q43" s="2"/>
      <c r="R43" s="7">
        <f t="shared" si="34"/>
        <v>1.4110930730112995E-3</v>
      </c>
      <c r="S43" s="2"/>
      <c r="T43" s="6">
        <v>49.49</v>
      </c>
      <c r="U43" s="2"/>
      <c r="V43" s="7">
        <f t="shared" si="35"/>
        <v>1.2073882696215841E-2</v>
      </c>
      <c r="W43" s="2"/>
      <c r="X43" s="6">
        <f t="shared" si="36"/>
        <v>-44.24</v>
      </c>
      <c r="Y43" s="2"/>
      <c r="Z43" s="7">
        <f t="shared" si="37"/>
        <v>-0.89391796322489392</v>
      </c>
    </row>
    <row r="44" spans="1:26" s="29" customFormat="1" outlineLevel="1" collapsed="1" x14ac:dyDescent="0.25">
      <c r="A44" s="27"/>
      <c r="B44" s="14" t="str">
        <f>CONCATENATE("     ","Freight out/Postage                               ")</f>
        <v xml:space="preserve">     Freight out/Postage                               </v>
      </c>
      <c r="C44" s="14"/>
      <c r="D44" s="1">
        <f>SUM(OSRRefD22_4x_0)</f>
        <v>7286.9499999999989</v>
      </c>
      <c r="E44" s="1"/>
      <c r="F44" s="5">
        <f t="shared" si="30"/>
        <v>104.39756446991403</v>
      </c>
      <c r="G44" s="1"/>
      <c r="H44" s="1">
        <f>SUM(OSRRefH22_4x_0)</f>
        <v>5830.5499999999993</v>
      </c>
      <c r="I44" s="1"/>
      <c r="J44" s="5">
        <f t="shared" si="31"/>
        <v>37.170406732117812</v>
      </c>
      <c r="K44" s="1"/>
      <c r="L44" s="1">
        <f t="shared" si="32"/>
        <v>1456.3999999999996</v>
      </c>
      <c r="M44" s="1"/>
      <c r="N44" s="5">
        <f t="shared" si="33"/>
        <v>0.24978775587208751</v>
      </c>
      <c r="O44" s="14"/>
      <c r="P44" s="1">
        <f>SUM(OSRRefP22_4x_0)</f>
        <v>-8513.2200000000012</v>
      </c>
      <c r="Q44" s="1"/>
      <c r="R44" s="5">
        <f t="shared" si="34"/>
        <v>-2.2881801468611918</v>
      </c>
      <c r="S44" s="1"/>
      <c r="T44" s="1">
        <f>SUM(OSRRefT22_4x_0)</f>
        <v>-4006.4299999999985</v>
      </c>
      <c r="U44" s="1"/>
      <c r="V44" s="5">
        <f t="shared" si="35"/>
        <v>-0.97743313498888695</v>
      </c>
      <c r="W44" s="1"/>
      <c r="X44" s="1">
        <f t="shared" si="36"/>
        <v>-4506.7900000000027</v>
      </c>
      <c r="Y44" s="1"/>
      <c r="Z44" s="5">
        <f t="shared" si="37"/>
        <v>1.1248892405458237</v>
      </c>
    </row>
    <row r="45" spans="1:26" s="24" customFormat="1" hidden="1" outlineLevel="2" x14ac:dyDescent="0.25">
      <c r="A45" s="28"/>
      <c r="B45" s="11" t="str">
        <f>CONCATENATE("          ", "6305", " - ", "FREIGHT OUT")</f>
        <v xml:space="preserve">          6305 - FREIGHT OUT</v>
      </c>
      <c r="C45" s="11"/>
      <c r="D45" s="6">
        <v>8515.89</v>
      </c>
      <c r="E45" s="2"/>
      <c r="F45" s="7">
        <f t="shared" si="30"/>
        <v>122.00415472779369</v>
      </c>
      <c r="G45" s="2"/>
      <c r="H45" s="6">
        <v>10108.39</v>
      </c>
      <c r="I45" s="2"/>
      <c r="J45" s="7">
        <f t="shared" si="31"/>
        <v>64.442113986994769</v>
      </c>
      <c r="K45" s="2"/>
      <c r="L45" s="6">
        <f t="shared" si="32"/>
        <v>-1592.5</v>
      </c>
      <c r="M45" s="2"/>
      <c r="N45" s="7">
        <f t="shared" si="33"/>
        <v>-0.15754239794863475</v>
      </c>
      <c r="O45" s="11"/>
      <c r="P45" s="6">
        <v>12129.32</v>
      </c>
      <c r="Q45" s="2"/>
      <c r="R45" s="7">
        <f t="shared" si="34"/>
        <v>3.2601141775880791</v>
      </c>
      <c r="S45" s="2"/>
      <c r="T45" s="6">
        <v>14436.38</v>
      </c>
      <c r="U45" s="2"/>
      <c r="V45" s="7">
        <f t="shared" si="35"/>
        <v>3.5219874455040703</v>
      </c>
      <c r="W45" s="2"/>
      <c r="X45" s="6">
        <f t="shared" si="36"/>
        <v>-2307.0599999999995</v>
      </c>
      <c r="Y45" s="2"/>
      <c r="Z45" s="7">
        <f t="shared" si="37"/>
        <v>-0.1598087609220594</v>
      </c>
    </row>
    <row r="46" spans="1:26" s="24" customFormat="1" hidden="1" outlineLevel="2" x14ac:dyDescent="0.25">
      <c r="A46" s="28"/>
      <c r="B46" s="11" t="str">
        <f>CONCATENATE("          ", "6307", " - ", "POSTAGE")</f>
        <v xml:space="preserve">          6307 - POSTAGE</v>
      </c>
      <c r="C46" s="11"/>
      <c r="D46" s="6">
        <v>-1228.94</v>
      </c>
      <c r="E46" s="2"/>
      <c r="F46" s="7">
        <f t="shared" si="30"/>
        <v>-17.606590257879656</v>
      </c>
      <c r="G46" s="2"/>
      <c r="H46" s="6">
        <v>-4277.84</v>
      </c>
      <c r="I46" s="2"/>
      <c r="J46" s="7">
        <f t="shared" si="31"/>
        <v>-27.271707254876965</v>
      </c>
      <c r="K46" s="2"/>
      <c r="L46" s="6">
        <f t="shared" si="32"/>
        <v>3048.9</v>
      </c>
      <c r="M46" s="2"/>
      <c r="N46" s="7">
        <f t="shared" si="33"/>
        <v>-0.71271950330073119</v>
      </c>
      <c r="O46" s="11"/>
      <c r="P46" s="6">
        <v>-20642.54</v>
      </c>
      <c r="Q46" s="2"/>
      <c r="R46" s="7">
        <f t="shared" si="34"/>
        <v>-5.5482943244492704</v>
      </c>
      <c r="S46" s="2"/>
      <c r="T46" s="6">
        <v>-18442.809999999998</v>
      </c>
      <c r="U46" s="2"/>
      <c r="V46" s="7">
        <f t="shared" si="35"/>
        <v>-4.4994205804929575</v>
      </c>
      <c r="W46" s="2"/>
      <c r="X46" s="6">
        <f t="shared" si="36"/>
        <v>-2199.7300000000032</v>
      </c>
      <c r="Y46" s="2"/>
      <c r="Z46" s="7">
        <f t="shared" si="37"/>
        <v>0.11927303919522043</v>
      </c>
    </row>
    <row r="47" spans="1:26" s="29" customFormat="1" outlineLevel="1" collapsed="1" x14ac:dyDescent="0.25">
      <c r="A47" s="27"/>
      <c r="B47" s="14" t="str">
        <f>CONCATENATE("     ","General                                           ")</f>
        <v xml:space="preserve">     General                                           </v>
      </c>
      <c r="C47" s="14"/>
      <c r="D47" s="1">
        <f>SUM(OSRRefD22_5x_0)</f>
        <v>80.17</v>
      </c>
      <c r="E47" s="1"/>
      <c r="F47" s="5">
        <f t="shared" ref="F47:F53" si="38">IF(D$12=0,0,D47/D$12)</f>
        <v>1.148567335243553</v>
      </c>
      <c r="G47" s="1"/>
      <c r="H47" s="1">
        <f>SUM(OSRRefH22_5x_0)</f>
        <v>83.47</v>
      </c>
      <c r="I47" s="1"/>
      <c r="J47" s="5">
        <f t="shared" ref="J47:J53" si="39">IF(H$12=0,0,H47/H$12)</f>
        <v>0.53213056228484001</v>
      </c>
      <c r="K47" s="1"/>
      <c r="L47" s="1">
        <f t="shared" ref="L47:L53" si="40">+D47-H47</f>
        <v>-3.2999999999999972</v>
      </c>
      <c r="M47" s="1"/>
      <c r="N47" s="5">
        <f t="shared" ref="N47:N53" si="41">IF(H47=0,0,L47/H47)</f>
        <v>-3.9535162333772578E-2</v>
      </c>
      <c r="O47" s="14"/>
      <c r="P47" s="1">
        <f>SUM(OSRRefP22_5x_0)</f>
        <v>80.17</v>
      </c>
      <c r="Q47" s="1"/>
      <c r="R47" s="5">
        <f t="shared" ref="R47:R53" si="42">IF(P$12=0,0,P47/P$12)</f>
        <v>2.1548063173964929E-2</v>
      </c>
      <c r="S47" s="1"/>
      <c r="T47" s="1">
        <f>SUM(OSRRefT22_5x_0)</f>
        <v>83.47</v>
      </c>
      <c r="U47" s="1"/>
      <c r="V47" s="5">
        <f t="shared" ref="V47:V53" si="43">IF(T$12=0,0,T47/T$12)</f>
        <v>2.0363851053811603E-2</v>
      </c>
      <c r="W47" s="1"/>
      <c r="X47" s="1">
        <f t="shared" ref="X47:X53" si="44">+P47-T47</f>
        <v>-3.2999999999999972</v>
      </c>
      <c r="Y47" s="1"/>
      <c r="Z47" s="5">
        <f t="shared" ref="Z47:Z53" si="45">IF(T47=0,0,X47/T47)</f>
        <v>-3.9535162333772578E-2</v>
      </c>
    </row>
    <row r="48" spans="1:26" s="24" customFormat="1" hidden="1" outlineLevel="2" x14ac:dyDescent="0.25">
      <c r="A48" s="28"/>
      <c r="B48" s="11" t="str">
        <f>CONCATENATE("          ", "6279", " - ", "GENERAL EXPENSE")</f>
        <v xml:space="preserve">          6279 - GENERAL EXPENSE</v>
      </c>
      <c r="C48" s="11"/>
      <c r="D48" s="6">
        <v>80.17</v>
      </c>
      <c r="E48" s="2"/>
      <c r="F48" s="7">
        <f t="shared" si="38"/>
        <v>1.148567335243553</v>
      </c>
      <c r="G48" s="2"/>
      <c r="H48" s="6">
        <v>83.47</v>
      </c>
      <c r="I48" s="2"/>
      <c r="J48" s="7">
        <f t="shared" si="39"/>
        <v>0.53213056228484001</v>
      </c>
      <c r="K48" s="2"/>
      <c r="L48" s="6">
        <f t="shared" si="40"/>
        <v>-3.2999999999999972</v>
      </c>
      <c r="M48" s="2"/>
      <c r="N48" s="7">
        <f t="shared" si="41"/>
        <v>-3.9535162333772578E-2</v>
      </c>
      <c r="O48" s="11"/>
      <c r="P48" s="6">
        <v>80.17</v>
      </c>
      <c r="Q48" s="2"/>
      <c r="R48" s="7">
        <f t="shared" si="42"/>
        <v>2.1548063173964929E-2</v>
      </c>
      <c r="S48" s="2"/>
      <c r="T48" s="6">
        <v>83.47</v>
      </c>
      <c r="U48" s="2"/>
      <c r="V48" s="7">
        <f t="shared" si="43"/>
        <v>2.0363851053811603E-2</v>
      </c>
      <c r="W48" s="2"/>
      <c r="X48" s="6">
        <f t="shared" si="44"/>
        <v>-3.2999999999999972</v>
      </c>
      <c r="Y48" s="2"/>
      <c r="Z48" s="7">
        <f t="shared" si="45"/>
        <v>-3.9535162333772578E-2</v>
      </c>
    </row>
    <row r="49" spans="1:26" s="29" customFormat="1" outlineLevel="1" collapsed="1" x14ac:dyDescent="0.25">
      <c r="A49" s="27"/>
      <c r="B49" s="14" t="str">
        <f>CONCATENATE("     ","Inventory Adjustment                              ")</f>
        <v xml:space="preserve">     Inventory Adjustment                              </v>
      </c>
      <c r="C49" s="14"/>
      <c r="D49" s="1">
        <f>SUM(OSRRefD22_6x_0)</f>
        <v>100</v>
      </c>
      <c r="E49" s="1"/>
      <c r="F49" s="5">
        <f t="shared" si="38"/>
        <v>1.4326647564469914</v>
      </c>
      <c r="G49" s="1"/>
      <c r="H49" s="1">
        <f>SUM(OSRRefH22_6x_0)</f>
        <v>100</v>
      </c>
      <c r="I49" s="1"/>
      <c r="J49" s="5">
        <f t="shared" si="39"/>
        <v>0.63751115644523781</v>
      </c>
      <c r="K49" s="1"/>
      <c r="L49" s="1">
        <f t="shared" si="40"/>
        <v>0</v>
      </c>
      <c r="M49" s="1"/>
      <c r="N49" s="5">
        <f t="shared" si="41"/>
        <v>0</v>
      </c>
      <c r="O49" s="14"/>
      <c r="P49" s="1">
        <f>SUM(OSRRefP22_6x_0)</f>
        <v>200</v>
      </c>
      <c r="Q49" s="1"/>
      <c r="R49" s="5">
        <f t="shared" si="42"/>
        <v>5.3755926590906646E-2</v>
      </c>
      <c r="S49" s="1"/>
      <c r="T49" s="1">
        <f>SUM(OSRRefT22_6x_0)</f>
        <v>300</v>
      </c>
      <c r="U49" s="1"/>
      <c r="V49" s="5">
        <f t="shared" si="43"/>
        <v>7.3189832468473479E-2</v>
      </c>
      <c r="W49" s="1"/>
      <c r="X49" s="1">
        <f t="shared" si="44"/>
        <v>-100</v>
      </c>
      <c r="Y49" s="1"/>
      <c r="Z49" s="5">
        <f t="shared" si="45"/>
        <v>-0.33333333333333331</v>
      </c>
    </row>
    <row r="50" spans="1:26" s="24" customFormat="1" hidden="1" outlineLevel="2" x14ac:dyDescent="0.25">
      <c r="A50" s="28"/>
      <c r="B50" s="11" t="str">
        <f>CONCATENATE("          ", "6408", " - ", "INVENTORY ADJUSTMENT")</f>
        <v xml:space="preserve">          6408 - INVENTORY ADJUSTMENT</v>
      </c>
      <c r="C50" s="11"/>
      <c r="D50" s="6">
        <v>100</v>
      </c>
      <c r="E50" s="2"/>
      <c r="F50" s="7">
        <f t="shared" si="38"/>
        <v>1.4326647564469914</v>
      </c>
      <c r="G50" s="2"/>
      <c r="H50" s="6">
        <v>100</v>
      </c>
      <c r="I50" s="2"/>
      <c r="J50" s="7">
        <f t="shared" si="39"/>
        <v>0.63751115644523781</v>
      </c>
      <c r="K50" s="2"/>
      <c r="L50" s="6">
        <f t="shared" si="40"/>
        <v>0</v>
      </c>
      <c r="M50" s="2"/>
      <c r="N50" s="7">
        <f t="shared" si="41"/>
        <v>0</v>
      </c>
      <c r="O50" s="11"/>
      <c r="P50" s="6">
        <v>200</v>
      </c>
      <c r="Q50" s="2"/>
      <c r="R50" s="7">
        <f t="shared" si="42"/>
        <v>5.3755926590906646E-2</v>
      </c>
      <c r="S50" s="2"/>
      <c r="T50" s="6">
        <v>300</v>
      </c>
      <c r="U50" s="2"/>
      <c r="V50" s="7">
        <f t="shared" si="43"/>
        <v>7.3189832468473479E-2</v>
      </c>
      <c r="W50" s="2"/>
      <c r="X50" s="6">
        <f t="shared" si="44"/>
        <v>-100</v>
      </c>
      <c r="Y50" s="2"/>
      <c r="Z50" s="7">
        <f t="shared" si="45"/>
        <v>-0.33333333333333331</v>
      </c>
    </row>
    <row r="51" spans="1:26" s="29" customFormat="1" outlineLevel="1" collapsed="1" x14ac:dyDescent="0.25">
      <c r="A51" s="27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SUM(OSRRefD22_7x_0)</f>
        <v>2790.52</v>
      </c>
      <c r="E51" s="1"/>
      <c r="F51" s="5">
        <f t="shared" si="38"/>
        <v>39.978796561604582</v>
      </c>
      <c r="G51" s="1"/>
      <c r="H51" s="1">
        <f>SUM(OSRRefH22_7x_0)</f>
        <v>2710.07</v>
      </c>
      <c r="I51" s="1"/>
      <c r="J51" s="5">
        <f t="shared" si="39"/>
        <v>17.276998597475458</v>
      </c>
      <c r="K51" s="1"/>
      <c r="L51" s="1">
        <f t="shared" si="40"/>
        <v>80.449999999999818</v>
      </c>
      <c r="M51" s="1"/>
      <c r="N51" s="5">
        <f t="shared" si="41"/>
        <v>2.9685580077267307E-2</v>
      </c>
      <c r="O51" s="14"/>
      <c r="P51" s="1">
        <f>SUM(OSRRefP22_7x_0)</f>
        <v>4773.7700000000004</v>
      </c>
      <c r="Q51" s="1"/>
      <c r="R51" s="5">
        <f t="shared" si="42"/>
        <v>1.2830921484093623</v>
      </c>
      <c r="S51" s="1"/>
      <c r="T51" s="1">
        <f>SUM(OSRRefT22_7x_0)</f>
        <v>4223.8500000000004</v>
      </c>
      <c r="U51" s="1"/>
      <c r="V51" s="5">
        <f t="shared" si="43"/>
        <v>1.0304762462398724</v>
      </c>
      <c r="W51" s="1"/>
      <c r="X51" s="1">
        <f t="shared" si="44"/>
        <v>549.92000000000007</v>
      </c>
      <c r="Y51" s="1"/>
      <c r="Z51" s="5">
        <f t="shared" si="45"/>
        <v>0.1301940173064858</v>
      </c>
    </row>
    <row r="52" spans="1:26" s="24" customFormat="1" hidden="1" outlineLevel="2" x14ac:dyDescent="0.25">
      <c r="A52" s="28"/>
      <c r="B52" s="11" t="str">
        <f>CONCATENATE("          ", "6241", " - ", "OFFICE EXPENSE")</f>
        <v xml:space="preserve">          6241 - OFFICE EXPENSE</v>
      </c>
      <c r="C52" s="11"/>
      <c r="D52" s="6">
        <v>87.41</v>
      </c>
      <c r="E52" s="2"/>
      <c r="F52" s="7">
        <f t="shared" si="38"/>
        <v>1.2522922636103151</v>
      </c>
      <c r="G52" s="2"/>
      <c r="H52" s="6"/>
      <c r="I52" s="2"/>
      <c r="J52" s="7">
        <f t="shared" si="39"/>
        <v>0</v>
      </c>
      <c r="K52" s="2"/>
      <c r="L52" s="6">
        <f t="shared" si="40"/>
        <v>87.41</v>
      </c>
      <c r="M52" s="2"/>
      <c r="N52" s="7">
        <f t="shared" si="41"/>
        <v>0</v>
      </c>
      <c r="O52" s="11"/>
      <c r="P52" s="6">
        <v>115.02</v>
      </c>
      <c r="Q52" s="2"/>
      <c r="R52" s="7">
        <f t="shared" si="42"/>
        <v>3.0915033382430412E-2</v>
      </c>
      <c r="S52" s="2"/>
      <c r="T52" s="6">
        <v>1.59</v>
      </c>
      <c r="U52" s="2"/>
      <c r="V52" s="7">
        <f t="shared" si="43"/>
        <v>3.8790611208290945E-4</v>
      </c>
      <c r="W52" s="2"/>
      <c r="X52" s="6">
        <f t="shared" si="44"/>
        <v>113.42999999999999</v>
      </c>
      <c r="Y52" s="2"/>
      <c r="Z52" s="7">
        <f t="shared" si="45"/>
        <v>71.339622641509422</v>
      </c>
    </row>
    <row r="53" spans="1:26" s="24" customFormat="1" hidden="1" outlineLevel="2" x14ac:dyDescent="0.25">
      <c r="A53" s="28"/>
      <c r="B53" s="11" t="str">
        <f>CONCATENATE("          ", "6247", " - ", "STORE SUPPLIES")</f>
        <v xml:space="preserve">          6247 - STORE SUPPLIES</v>
      </c>
      <c r="C53" s="11"/>
      <c r="D53" s="6">
        <v>2703.11</v>
      </c>
      <c r="E53" s="2"/>
      <c r="F53" s="7">
        <f t="shared" si="38"/>
        <v>38.726504297994275</v>
      </c>
      <c r="G53" s="2"/>
      <c r="H53" s="6">
        <v>2710.07</v>
      </c>
      <c r="I53" s="2"/>
      <c r="J53" s="7">
        <f t="shared" si="39"/>
        <v>17.276998597475458</v>
      </c>
      <c r="K53" s="2"/>
      <c r="L53" s="6">
        <f t="shared" si="40"/>
        <v>-6.9600000000000364</v>
      </c>
      <c r="M53" s="2"/>
      <c r="N53" s="7">
        <f t="shared" si="41"/>
        <v>-2.5681993454043754E-3</v>
      </c>
      <c r="O53" s="11"/>
      <c r="P53" s="6">
        <v>4658.75</v>
      </c>
      <c r="Q53" s="2"/>
      <c r="R53" s="7">
        <f t="shared" si="42"/>
        <v>1.2521771150269316</v>
      </c>
      <c r="S53" s="2"/>
      <c r="T53" s="6">
        <v>4222.26</v>
      </c>
      <c r="U53" s="2"/>
      <c r="V53" s="7">
        <f t="shared" si="43"/>
        <v>1.0300883401277894</v>
      </c>
      <c r="W53" s="2"/>
      <c r="X53" s="6">
        <f t="shared" si="44"/>
        <v>436.48999999999978</v>
      </c>
      <c r="Y53" s="2"/>
      <c r="Z53" s="7">
        <f t="shared" si="45"/>
        <v>0.10337828556270806</v>
      </c>
    </row>
    <row r="54" spans="1:26" s="29" customFormat="1" outlineLevel="1" collapsed="1" x14ac:dyDescent="0.25">
      <c r="A54" s="27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SUM(OSRRefD22_8x_0)</f>
        <v>0</v>
      </c>
      <c r="E54" s="1"/>
      <c r="F54" s="5">
        <f t="shared" ref="F54:F55" si="46">IF(D$12=0,0,D54/D$12)</f>
        <v>0</v>
      </c>
      <c r="G54" s="1"/>
      <c r="H54" s="1">
        <f>SUM(OSRRefH22_8x_0)</f>
        <v>50</v>
      </c>
      <c r="I54" s="1"/>
      <c r="J54" s="5">
        <f t="shared" ref="J54:J55" si="47">IF(H$12=0,0,H54/H$12)</f>
        <v>0.31875557822261891</v>
      </c>
      <c r="K54" s="1"/>
      <c r="L54" s="1">
        <f t="shared" ref="L54:L55" si="48">+D54-H54</f>
        <v>-50</v>
      </c>
      <c r="M54" s="1"/>
      <c r="N54" s="5">
        <f t="shared" ref="N54:N55" si="49">IF(H54=0,0,L54/H54)</f>
        <v>-1</v>
      </c>
      <c r="O54" s="14"/>
      <c r="P54" s="1">
        <f>SUM(OSRRefP22_8x_0)</f>
        <v>146.30000000000001</v>
      </c>
      <c r="Q54" s="1"/>
      <c r="R54" s="5">
        <f t="shared" ref="R54:R55" si="50">IF(P$12=0,0,P54/P$12)</f>
        <v>3.9322460301248217E-2</v>
      </c>
      <c r="S54" s="1"/>
      <c r="T54" s="1">
        <f>SUM(OSRRefT22_8x_0)</f>
        <v>542</v>
      </c>
      <c r="U54" s="1"/>
      <c r="V54" s="5">
        <f t="shared" ref="V54:V55" si="51">IF(T$12=0,0,T54/T$12)</f>
        <v>0.13222963065970875</v>
      </c>
      <c r="W54" s="1"/>
      <c r="X54" s="1">
        <f t="shared" ref="X54:X55" si="52">+P54-T54</f>
        <v>-395.7</v>
      </c>
      <c r="Y54" s="1"/>
      <c r="Z54" s="5">
        <f t="shared" ref="Z54:Z55" si="53">IF(T54=0,0,X54/T54)</f>
        <v>-0.73007380073800732</v>
      </c>
    </row>
    <row r="55" spans="1:26" s="24" customFormat="1" hidden="1" outlineLevel="2" x14ac:dyDescent="0.25">
      <c r="A55" s="28"/>
      <c r="B55" s="11" t="str">
        <f>CONCATENATE("          ", "6309", " - ", "TELEPHONE")</f>
        <v xml:space="preserve">          6309 - TELEPHONE</v>
      </c>
      <c r="C55" s="11"/>
      <c r="D55" s="6"/>
      <c r="E55" s="2"/>
      <c r="F55" s="7">
        <f t="shared" si="46"/>
        <v>0</v>
      </c>
      <c r="G55" s="2"/>
      <c r="H55" s="6">
        <v>50</v>
      </c>
      <c r="I55" s="2"/>
      <c r="J55" s="7">
        <f t="shared" si="47"/>
        <v>0.31875557822261891</v>
      </c>
      <c r="K55" s="2"/>
      <c r="L55" s="6">
        <f t="shared" si="48"/>
        <v>-50</v>
      </c>
      <c r="M55" s="2"/>
      <c r="N55" s="7">
        <f t="shared" si="49"/>
        <v>-1</v>
      </c>
      <c r="O55" s="11"/>
      <c r="P55" s="6">
        <v>146.30000000000001</v>
      </c>
      <c r="Q55" s="2"/>
      <c r="R55" s="7">
        <f t="shared" si="50"/>
        <v>3.9322460301248217E-2</v>
      </c>
      <c r="S55" s="2"/>
      <c r="T55" s="6">
        <v>542</v>
      </c>
      <c r="U55" s="2"/>
      <c r="V55" s="7">
        <f t="shared" si="51"/>
        <v>0.13222963065970875</v>
      </c>
      <c r="W55" s="2"/>
      <c r="X55" s="6">
        <f t="shared" si="52"/>
        <v>-395.7</v>
      </c>
      <c r="Y55" s="2"/>
      <c r="Z55" s="7">
        <f t="shared" si="53"/>
        <v>-0.73007380073800732</v>
      </c>
    </row>
    <row r="56" spans="1:26" s="53" customFormat="1" x14ac:dyDescent="0.25">
      <c r="A56" s="37"/>
      <c r="B56" s="37"/>
      <c r="C56" s="37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collapsed="1" x14ac:dyDescent="0.25">
      <c r="A57" s="10"/>
      <c r="B57" s="25" t="s">
        <v>0</v>
      </c>
      <c r="C57" s="10"/>
      <c r="D57" s="4">
        <f>SUM(OSRRefD25x_0)</f>
        <v>30</v>
      </c>
      <c r="E57" s="4"/>
      <c r="F57" s="12">
        <f t="shared" ref="F57:F61" si="54">IF(D$12=0,0,D57/D$12)</f>
        <v>0.42979942693409745</v>
      </c>
      <c r="G57" s="4"/>
      <c r="H57" s="4">
        <f>SUM(OSRRefH25x_0)</f>
        <v>160</v>
      </c>
      <c r="I57" s="4"/>
      <c r="J57" s="12">
        <f t="shared" ref="J57:J61" si="55">IF(H$12=0,0,H57/H$12)</f>
        <v>1.0200178503123805</v>
      </c>
      <c r="K57" s="4"/>
      <c r="L57" s="4">
        <f t="shared" ref="L57:L61" si="56">+D57-H57</f>
        <v>-130</v>
      </c>
      <c r="M57" s="4"/>
      <c r="N57" s="12">
        <f t="shared" ref="N57:N61" si="57">IF(H57=0,0,L57/H57)</f>
        <v>-0.8125</v>
      </c>
      <c r="O57" s="10"/>
      <c r="P57" s="4">
        <f>SUM(OSRRefP25x_0)</f>
        <v>23321.85</v>
      </c>
      <c r="Q57" s="4"/>
      <c r="R57" s="12">
        <f t="shared" ref="R57:R61" si="58">IF(P$12=0,0,P57/P$12)</f>
        <v>6.2684382828206804</v>
      </c>
      <c r="S57" s="4"/>
      <c r="T57" s="4">
        <f>SUM(OSRRefT25x_0)</f>
        <v>685</v>
      </c>
      <c r="U57" s="4"/>
      <c r="V57" s="12">
        <f t="shared" ref="V57:V61" si="59">IF(T$12=0,0,T57/T$12)</f>
        <v>0.16711678413634776</v>
      </c>
      <c r="W57" s="4"/>
      <c r="X57" s="4">
        <f t="shared" ref="X57:X61" si="60">+P57-T57</f>
        <v>22636.85</v>
      </c>
      <c r="Y57" s="4"/>
      <c r="Z57" s="12">
        <f t="shared" ref="Z57:Z61" si="61">IF(T57=0,0,X57/T57)</f>
        <v>33.046496350364961</v>
      </c>
    </row>
    <row r="58" spans="1:26" s="24" customFormat="1" hidden="1" outlineLevel="1" x14ac:dyDescent="0.25">
      <c r="A58" s="44"/>
      <c r="B58" s="11" t="str">
        <f>CONCATENATE("          ", "4098", " - ", "TAXABLE SALES-GRAD RENTALS")</f>
        <v xml:space="preserve">          4098 - TAXABLE SALES-GRAD RENTALS</v>
      </c>
      <c r="C58" s="11"/>
      <c r="D58" s="2">
        <f t="shared" ref="D58:D59" si="62">0</f>
        <v>0</v>
      </c>
      <c r="E58" s="2"/>
      <c r="F58" s="19">
        <f t="shared" si="54"/>
        <v>0</v>
      </c>
      <c r="G58" s="2"/>
      <c r="H58" s="2">
        <f>0</f>
        <v>0</v>
      </c>
      <c r="I58" s="2"/>
      <c r="J58" s="19">
        <f t="shared" si="55"/>
        <v>0</v>
      </c>
      <c r="K58" s="2"/>
      <c r="L58" s="2">
        <f t="shared" si="56"/>
        <v>0</v>
      </c>
      <c r="M58" s="2"/>
      <c r="N58" s="19">
        <f t="shared" si="57"/>
        <v>0</v>
      </c>
      <c r="O58" s="11"/>
      <c r="P58" s="2">
        <f>--1626.85</f>
        <v>1626.85</v>
      </c>
      <c r="Q58" s="2"/>
      <c r="R58" s="19">
        <f t="shared" si="58"/>
        <v>0.4372641458720824</v>
      </c>
      <c r="S58" s="2"/>
      <c r="T58" s="2">
        <f>0</f>
        <v>0</v>
      </c>
      <c r="U58" s="2"/>
      <c r="V58" s="19">
        <f t="shared" si="59"/>
        <v>0</v>
      </c>
      <c r="W58" s="2"/>
      <c r="X58" s="2">
        <f t="shared" si="60"/>
        <v>1626.85</v>
      </c>
      <c r="Y58" s="2"/>
      <c r="Z58" s="19">
        <f t="shared" si="61"/>
        <v>0</v>
      </c>
    </row>
    <row r="59" spans="1:26" s="24" customFormat="1" hidden="1" outlineLevel="1" x14ac:dyDescent="0.25">
      <c r="A59" s="44"/>
      <c r="B59" s="11" t="str">
        <f>CONCATENATE("          ", "4197", " - ", "NON-TAXABLE SALES-RETURNED CHE")</f>
        <v xml:space="preserve">          4197 - NON-TAXABLE SALES-RETURNED CHE</v>
      </c>
      <c r="C59" s="11"/>
      <c r="D59" s="2">
        <f t="shared" si="62"/>
        <v>0</v>
      </c>
      <c r="E59" s="2"/>
      <c r="F59" s="19">
        <f t="shared" si="54"/>
        <v>0</v>
      </c>
      <c r="G59" s="2"/>
      <c r="H59" s="2">
        <f>--130</f>
        <v>130</v>
      </c>
      <c r="I59" s="2"/>
      <c r="J59" s="19">
        <f t="shared" si="55"/>
        <v>0.82876450337880925</v>
      </c>
      <c r="K59" s="2"/>
      <c r="L59" s="2">
        <f t="shared" si="56"/>
        <v>-130</v>
      </c>
      <c r="M59" s="2"/>
      <c r="N59" s="19">
        <f t="shared" si="57"/>
        <v>-1</v>
      </c>
      <c r="O59" s="11"/>
      <c r="P59" s="2">
        <f>--30</f>
        <v>30</v>
      </c>
      <c r="Q59" s="2"/>
      <c r="R59" s="19">
        <f t="shared" si="58"/>
        <v>8.0633889886359972E-3</v>
      </c>
      <c r="S59" s="2"/>
      <c r="T59" s="2">
        <f>--250</f>
        <v>250</v>
      </c>
      <c r="U59" s="2"/>
      <c r="V59" s="19">
        <f t="shared" si="59"/>
        <v>6.0991527057061228E-2</v>
      </c>
      <c r="W59" s="2"/>
      <c r="X59" s="2">
        <f t="shared" si="60"/>
        <v>-220</v>
      </c>
      <c r="Y59" s="2"/>
      <c r="Z59" s="19">
        <f t="shared" si="61"/>
        <v>-0.88</v>
      </c>
    </row>
    <row r="60" spans="1:26" s="24" customFormat="1" hidden="1" outlineLevel="1" x14ac:dyDescent="0.25">
      <c r="A60" s="44"/>
      <c r="B60" s="11" t="str">
        <f>CONCATENATE("          ", "4198", " - ", "NON-TAXABLE SALES-GRAD RENTALS")</f>
        <v xml:space="preserve">          4198 - NON-TAXABLE SALES-GRAD RENTALS</v>
      </c>
      <c r="C60" s="11"/>
      <c r="D60" s="2">
        <f>--30</f>
        <v>30</v>
      </c>
      <c r="E60" s="2"/>
      <c r="F60" s="19">
        <f t="shared" si="54"/>
        <v>0.42979942693409745</v>
      </c>
      <c r="G60" s="2"/>
      <c r="H60" s="2">
        <f>--30</f>
        <v>30</v>
      </c>
      <c r="I60" s="2"/>
      <c r="J60" s="19">
        <f t="shared" si="55"/>
        <v>0.19125334693357135</v>
      </c>
      <c r="K60" s="2"/>
      <c r="L60" s="2">
        <f t="shared" si="56"/>
        <v>0</v>
      </c>
      <c r="M60" s="2"/>
      <c r="N60" s="19">
        <f t="shared" si="57"/>
        <v>0</v>
      </c>
      <c r="O60" s="11"/>
      <c r="P60" s="2">
        <f>--495</f>
        <v>495</v>
      </c>
      <c r="Q60" s="2"/>
      <c r="R60" s="19">
        <f t="shared" si="58"/>
        <v>0.13304591831249396</v>
      </c>
      <c r="S60" s="2"/>
      <c r="T60" s="2">
        <f>--435</f>
        <v>435</v>
      </c>
      <c r="U60" s="2"/>
      <c r="V60" s="19">
        <f t="shared" si="59"/>
        <v>0.10612525707928654</v>
      </c>
      <c r="W60" s="2"/>
      <c r="X60" s="2">
        <f t="shared" si="60"/>
        <v>60</v>
      </c>
      <c r="Y60" s="2"/>
      <c r="Z60" s="19">
        <f t="shared" si="61"/>
        <v>0.13793103448275862</v>
      </c>
    </row>
    <row r="61" spans="1:26" s="24" customFormat="1" hidden="1" outlineLevel="1" x14ac:dyDescent="0.25">
      <c r="A61" s="44"/>
      <c r="B61" s="11" t="str">
        <f>CONCATENATE("          ", "9160", " - ", "MISC. INCOME")</f>
        <v xml:space="preserve">          9160 - MISC. INCOME</v>
      </c>
      <c r="C61" s="11"/>
      <c r="D61" s="2">
        <f>0</f>
        <v>0</v>
      </c>
      <c r="E61" s="2"/>
      <c r="F61" s="19">
        <f t="shared" si="54"/>
        <v>0</v>
      </c>
      <c r="G61" s="2"/>
      <c r="H61" s="2">
        <f>0</f>
        <v>0</v>
      </c>
      <c r="I61" s="2"/>
      <c r="J61" s="19">
        <f t="shared" si="55"/>
        <v>0</v>
      </c>
      <c r="K61" s="2"/>
      <c r="L61" s="2">
        <f t="shared" si="56"/>
        <v>0</v>
      </c>
      <c r="M61" s="2"/>
      <c r="N61" s="19">
        <f t="shared" si="57"/>
        <v>0</v>
      </c>
      <c r="O61" s="11"/>
      <c r="P61" s="2">
        <f>--21170</f>
        <v>21170</v>
      </c>
      <c r="Q61" s="2"/>
      <c r="R61" s="19">
        <f t="shared" si="58"/>
        <v>5.6900648296474685</v>
      </c>
      <c r="S61" s="2"/>
      <c r="T61" s="2">
        <f>0</f>
        <v>0</v>
      </c>
      <c r="U61" s="2"/>
      <c r="V61" s="19">
        <f t="shared" si="59"/>
        <v>0</v>
      </c>
      <c r="W61" s="2"/>
      <c r="X61" s="2">
        <f t="shared" si="60"/>
        <v>21170</v>
      </c>
      <c r="Y61" s="2"/>
      <c r="Z61" s="19">
        <f t="shared" si="61"/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6" t="s">
        <v>3</v>
      </c>
      <c r="C63" s="26"/>
      <c r="D63" s="21">
        <f>+D25-D27+D57</f>
        <v>-9086.5400000000009</v>
      </c>
      <c r="E63" s="13"/>
      <c r="F63" s="20">
        <f>IF(D$12=0,0,D63/D$12)</f>
        <v>-130.17965616045848</v>
      </c>
      <c r="G63" s="13"/>
      <c r="H63" s="21">
        <f>+H25-H27+H57</f>
        <v>-8492.44</v>
      </c>
      <c r="I63" s="13"/>
      <c r="J63" s="20">
        <f>IF(H$12=0,0,H63/H$12)</f>
        <v>-54.140252454417961</v>
      </c>
      <c r="K63" s="15"/>
      <c r="L63" s="21">
        <f>+D63-H63</f>
        <v>-594.10000000000036</v>
      </c>
      <c r="M63" s="15"/>
      <c r="N63" s="20">
        <f>IF(H63=0,0,L63/H63)</f>
        <v>6.9956337636768742E-2</v>
      </c>
      <c r="O63" s="25"/>
      <c r="P63" s="21">
        <f>+P25-P27+P57</f>
        <v>26493.52</v>
      </c>
      <c r="Q63" s="13"/>
      <c r="R63" s="20">
        <f>IF(P$12=0,0,P63/P$12)</f>
        <v>7.1209185812735853</v>
      </c>
      <c r="S63" s="13"/>
      <c r="T63" s="21">
        <f>+T25-T27+T57</f>
        <v>2010.1699999999987</v>
      </c>
      <c r="U63" s="13"/>
      <c r="V63" s="20">
        <f>IF(T$12=0,0,T63/T$12)</f>
        <v>0.49041335177717077</v>
      </c>
      <c r="W63" s="15"/>
      <c r="X63" s="21">
        <f>+P63-T63</f>
        <v>24483.350000000002</v>
      </c>
      <c r="Y63" s="15"/>
      <c r="Z63" s="20">
        <f>IF(T63=0,0,X63/T63)</f>
        <v>12.179741016928926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>
        <v>-55.55</v>
      </c>
      <c r="E65" s="4"/>
      <c r="F65" s="12">
        <f>IF(D$12=0,0,D65/D$12)</f>
        <v>-0.79584527220630374</v>
      </c>
      <c r="G65" s="4"/>
      <c r="H65" s="4">
        <v>-38.29</v>
      </c>
      <c r="I65" s="4"/>
      <c r="J65" s="12">
        <f>IF(H$12=0,0,H65/H$12)</f>
        <v>-0.24410302180288157</v>
      </c>
      <c r="K65" s="4"/>
      <c r="L65" s="4">
        <f>+D65-H65</f>
        <v>-17.259999999999998</v>
      </c>
      <c r="M65" s="4"/>
      <c r="N65" s="12">
        <f>IF(H65=0,0,L65/H65)</f>
        <v>0.45077043614520756</v>
      </c>
      <c r="O65" s="10"/>
      <c r="P65" s="4">
        <v>399.63</v>
      </c>
      <c r="Q65" s="4"/>
      <c r="R65" s="12">
        <f>IF(P$12=0,0,P65/P$12)</f>
        <v>0.10741240471762012</v>
      </c>
      <c r="S65" s="4"/>
      <c r="T65" s="4">
        <v>364.18</v>
      </c>
      <c r="U65" s="4"/>
      <c r="V65" s="12">
        <f>IF(T$12=0,0,T65/T$12)</f>
        <v>8.8847577294562233E-2</v>
      </c>
      <c r="W65" s="4"/>
      <c r="X65" s="4">
        <f>+P65-T65</f>
        <v>35.449999999999989</v>
      </c>
      <c r="Y65" s="4"/>
      <c r="Z65" s="12">
        <f>IF(T65=0,0,X65/T65)</f>
        <v>9.7341973749244845E-2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6" t="s">
        <v>4</v>
      </c>
      <c r="C67" s="26"/>
      <c r="D67" s="35">
        <f>+D63-D65</f>
        <v>-9030.9900000000016</v>
      </c>
      <c r="E67" s="13"/>
      <c r="F67" s="30">
        <f>IF(D$12=0,0,D67/D$12)</f>
        <v>-129.38381088825219</v>
      </c>
      <c r="G67" s="13"/>
      <c r="H67" s="35">
        <f>+H63-H65</f>
        <v>-8454.15</v>
      </c>
      <c r="I67" s="13"/>
      <c r="J67" s="30">
        <f>IF(H$12=0,0,H67/H$12)</f>
        <v>-53.896149432615076</v>
      </c>
      <c r="K67" s="15"/>
      <c r="L67" s="35">
        <f>D67-H67</f>
        <v>-576.84000000000196</v>
      </c>
      <c r="M67" s="15"/>
      <c r="N67" s="30">
        <f>IF(H67=0,0,L67/H67)</f>
        <v>6.8231578573836757E-2</v>
      </c>
      <c r="O67" s="25"/>
      <c r="P67" s="35">
        <f>+P63-P65</f>
        <v>26093.89</v>
      </c>
      <c r="Q67" s="13"/>
      <c r="R67" s="30">
        <f>IF(P$12=0,0,P67/P$12)</f>
        <v>7.013506176555965</v>
      </c>
      <c r="S67" s="13"/>
      <c r="T67" s="35">
        <f>+T63-T65</f>
        <v>1645.9899999999986</v>
      </c>
      <c r="U67" s="13"/>
      <c r="V67" s="30">
        <f>IF(T$12=0,0,T67/T$12)</f>
        <v>0.4015657744826085</v>
      </c>
      <c r="W67" s="15"/>
      <c r="X67" s="35">
        <f>P67-T67</f>
        <v>24447.9</v>
      </c>
      <c r="Y67" s="15"/>
      <c r="Z67" s="30">
        <f>IF(T67=0,0,X67/T67)</f>
        <v>14.853006397365732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6" t="s">
        <v>5</v>
      </c>
      <c r="C70" s="26"/>
      <c r="D70" s="36">
        <f>SUM(D67:D69)</f>
        <v>-9030.9900000000016</v>
      </c>
      <c r="E70" s="13"/>
      <c r="F70" s="31">
        <f>IF(D$12=0,0,D70/D$12)</f>
        <v>-129.38381088825219</v>
      </c>
      <c r="G70" s="13"/>
      <c r="H70" s="36">
        <f>SUM(H67:H69)</f>
        <v>-8454.15</v>
      </c>
      <c r="I70" s="13"/>
      <c r="J70" s="31">
        <f>IF(H$12=0,0,H70/H$12)</f>
        <v>-53.896149432615076</v>
      </c>
      <c r="K70" s="15"/>
      <c r="L70" s="36">
        <f>+D70-H70</f>
        <v>-576.84000000000196</v>
      </c>
      <c r="M70" s="15"/>
      <c r="N70" s="31">
        <f>IF(H70=0,0,L70/H70)</f>
        <v>6.8231578573836757E-2</v>
      </c>
      <c r="O70" s="25"/>
      <c r="P70" s="36">
        <f>SUM(P67:P69)</f>
        <v>26093.89</v>
      </c>
      <c r="Q70" s="13"/>
      <c r="R70" s="31">
        <f>IF(P$12=0,0,P70/P$12)</f>
        <v>7.013506176555965</v>
      </c>
      <c r="S70" s="13"/>
      <c r="T70" s="36">
        <f>SUM(T67:T69)</f>
        <v>1645.9899999999986</v>
      </c>
      <c r="U70" s="13"/>
      <c r="V70" s="31">
        <f>IF(T$12=0,0,T70/T$12)</f>
        <v>0.4015657744826085</v>
      </c>
      <c r="W70" s="15"/>
      <c r="X70" s="36">
        <f>+P70-T70</f>
        <v>24447.9</v>
      </c>
      <c r="Y70" s="15"/>
      <c r="Z70" s="31">
        <f>IF(T70=0,0,X70/T70)</f>
        <v>14.853006397365732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5">
        <v>43756.463111655095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6" t="s">
        <v>313</v>
      </c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57"/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310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320325.60999999993</v>
      </c>
      <c r="E12" s="4"/>
      <c r="F12" s="12"/>
      <c r="G12" s="4"/>
      <c r="H12" s="4">
        <f>SUM(OSRRefH13x_0)</f>
        <v>255309.52000000008</v>
      </c>
      <c r="I12" s="4"/>
      <c r="J12" s="12"/>
      <c r="K12" s="4"/>
      <c r="L12" s="4">
        <f t="shared" ref="L12:L35" si="0">+D12-H12</f>
        <v>65016.089999999851</v>
      </c>
      <c r="M12" s="4"/>
      <c r="N12" s="12">
        <f t="shared" ref="N12:N35" si="1">IF(H12=0,0,L12/H12)</f>
        <v>0.2546559564249693</v>
      </c>
      <c r="O12" s="10"/>
      <c r="P12" s="4">
        <f>SUM(OSRRefP13x_0)</f>
        <v>1192178.0799999998</v>
      </c>
      <c r="Q12" s="4"/>
      <c r="R12" s="12"/>
      <c r="S12" s="4"/>
      <c r="T12" s="4">
        <f>SUM(OSRRefT13x_0)</f>
        <v>998300.81999999983</v>
      </c>
      <c r="U12" s="4"/>
      <c r="V12" s="12"/>
      <c r="W12" s="4"/>
      <c r="X12" s="4">
        <f t="shared" ref="X12:X35" si="2">+P12-T12</f>
        <v>193877.26</v>
      </c>
      <c r="Y12" s="4"/>
      <c r="Z12" s="12">
        <f t="shared" ref="Z12:Z35" si="3">IF(T12=0,0,X12/T12)</f>
        <v>0.19420725308028899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--79257.39</f>
        <v>79257.39</v>
      </c>
      <c r="E13" s="2"/>
      <c r="F13" s="19"/>
      <c r="G13" s="2"/>
      <c r="H13" s="2">
        <f>--58597.38</f>
        <v>58597.38</v>
      </c>
      <c r="I13" s="2"/>
      <c r="J13" s="19"/>
      <c r="K13" s="2"/>
      <c r="L13" s="2">
        <f t="shared" si="0"/>
        <v>20660.010000000002</v>
      </c>
      <c r="M13" s="2"/>
      <c r="N13" s="19">
        <f t="shared" si="1"/>
        <v>0.35257566123263534</v>
      </c>
      <c r="O13" s="11"/>
      <c r="P13" s="2">
        <f>--188677.32</f>
        <v>188677.32</v>
      </c>
      <c r="Q13" s="2"/>
      <c r="R13" s="19"/>
      <c r="S13" s="2"/>
      <c r="T13" s="2">
        <f>--137372.23</f>
        <v>137372.23000000001</v>
      </c>
      <c r="U13" s="2"/>
      <c r="V13" s="19"/>
      <c r="W13" s="2"/>
      <c r="X13" s="2">
        <f t="shared" si="2"/>
        <v>51305.09</v>
      </c>
      <c r="Y13" s="2"/>
      <c r="Z13" s="19">
        <f t="shared" si="3"/>
        <v>0.37347497379928968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--225219.71</f>
        <v>225219.71</v>
      </c>
      <c r="E14" s="2"/>
      <c r="F14" s="19"/>
      <c r="G14" s="2"/>
      <c r="H14" s="2">
        <f>--164995.16</f>
        <v>164995.16</v>
      </c>
      <c r="I14" s="2"/>
      <c r="J14" s="19"/>
      <c r="K14" s="2"/>
      <c r="L14" s="2">
        <f t="shared" si="0"/>
        <v>60224.549999999988</v>
      </c>
      <c r="M14" s="2"/>
      <c r="N14" s="19">
        <f t="shared" si="1"/>
        <v>0.36500797962800841</v>
      </c>
      <c r="O14" s="11"/>
      <c r="P14" s="2">
        <f>--1038754.49</f>
        <v>1038754.49</v>
      </c>
      <c r="Q14" s="2"/>
      <c r="R14" s="19"/>
      <c r="S14" s="2"/>
      <c r="T14" s="2">
        <f>--758190.97</f>
        <v>758190.97</v>
      </c>
      <c r="U14" s="2"/>
      <c r="V14" s="19"/>
      <c r="W14" s="2"/>
      <c r="X14" s="2">
        <f t="shared" si="2"/>
        <v>280563.52</v>
      </c>
      <c r="Y14" s="2"/>
      <c r="Z14" s="19">
        <f t="shared" si="3"/>
        <v>0.37004334145525369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--17378.42</f>
        <v>17378.419999999998</v>
      </c>
      <c r="E15" s="2"/>
      <c r="F15" s="19"/>
      <c r="G15" s="2"/>
      <c r="H15" s="2">
        <f>--12494.81</f>
        <v>12494.81</v>
      </c>
      <c r="I15" s="2"/>
      <c r="J15" s="19"/>
      <c r="K15" s="2"/>
      <c r="L15" s="2">
        <f t="shared" si="0"/>
        <v>4883.6099999999988</v>
      </c>
      <c r="M15" s="2"/>
      <c r="N15" s="19">
        <f t="shared" si="1"/>
        <v>0.39085108136898433</v>
      </c>
      <c r="O15" s="11"/>
      <c r="P15" s="2">
        <f>--40956.21</f>
        <v>40956.21</v>
      </c>
      <c r="Q15" s="2"/>
      <c r="R15" s="19"/>
      <c r="S15" s="2"/>
      <c r="T15" s="2">
        <f>--36933.07</f>
        <v>36933.07</v>
      </c>
      <c r="U15" s="2"/>
      <c r="V15" s="19"/>
      <c r="W15" s="2"/>
      <c r="X15" s="2">
        <f t="shared" si="2"/>
        <v>4023.1399999999994</v>
      </c>
      <c r="Y15" s="2"/>
      <c r="Z15" s="19">
        <f t="shared" si="3"/>
        <v>0.10893056006446254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 t="shared" ref="D16:D17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--129</f>
        <v>129</v>
      </c>
      <c r="Q16" s="2"/>
      <c r="R16" s="19"/>
      <c r="S16" s="2"/>
      <c r="T16" s="2">
        <f>--278.99</f>
        <v>278.99</v>
      </c>
      <c r="U16" s="2"/>
      <c r="V16" s="19"/>
      <c r="W16" s="2"/>
      <c r="X16" s="2">
        <f t="shared" si="2"/>
        <v>-149.99</v>
      </c>
      <c r="Y16" s="2"/>
      <c r="Z16" s="19">
        <f t="shared" si="3"/>
        <v>-0.53761783576472277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--2530.89</f>
        <v>2530.89</v>
      </c>
      <c r="I17" s="2"/>
      <c r="J17" s="19"/>
      <c r="K17" s="2"/>
      <c r="L17" s="2">
        <f t="shared" si="0"/>
        <v>-2530.89</v>
      </c>
      <c r="M17" s="2"/>
      <c r="N17" s="19">
        <f t="shared" si="1"/>
        <v>-1</v>
      </c>
      <c r="O17" s="11"/>
      <c r="P17" s="2">
        <f>--493.95</f>
        <v>493.95</v>
      </c>
      <c r="Q17" s="2"/>
      <c r="R17" s="19"/>
      <c r="S17" s="2"/>
      <c r="T17" s="2">
        <f>--7507.84</f>
        <v>7507.84</v>
      </c>
      <c r="U17" s="2"/>
      <c r="V17" s="19"/>
      <c r="W17" s="2"/>
      <c r="X17" s="2">
        <f t="shared" si="2"/>
        <v>-7013.89</v>
      </c>
      <c r="Y17" s="2"/>
      <c r="Z17" s="19">
        <f t="shared" si="3"/>
        <v>-0.93420877376182765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--10424.61</f>
        <v>10424.61</v>
      </c>
      <c r="E18" s="2"/>
      <c r="F18" s="19"/>
      <c r="G18" s="2"/>
      <c r="H18" s="2">
        <f>--10530.69</f>
        <v>10530.69</v>
      </c>
      <c r="I18" s="2"/>
      <c r="J18" s="19"/>
      <c r="K18" s="2"/>
      <c r="L18" s="2">
        <f t="shared" si="0"/>
        <v>-106.07999999999993</v>
      </c>
      <c r="M18" s="2"/>
      <c r="N18" s="19">
        <f t="shared" si="1"/>
        <v>-1.0073413992815278E-2</v>
      </c>
      <c r="O18" s="11"/>
      <c r="P18" s="2">
        <f>--19983.21</f>
        <v>19983.21</v>
      </c>
      <c r="Q18" s="2"/>
      <c r="R18" s="19"/>
      <c r="S18" s="2"/>
      <c r="T18" s="2">
        <f>--24318.09</f>
        <v>24318.09</v>
      </c>
      <c r="U18" s="2"/>
      <c r="V18" s="19"/>
      <c r="W18" s="2"/>
      <c r="X18" s="2">
        <f t="shared" si="2"/>
        <v>-4334.880000000001</v>
      </c>
      <c r="Y18" s="2"/>
      <c r="Z18" s="19">
        <f t="shared" si="3"/>
        <v>-0.17825742071026141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--16.99</f>
        <v>16.989999999999998</v>
      </c>
      <c r="E19" s="2"/>
      <c r="F19" s="19"/>
      <c r="G19" s="2"/>
      <c r="H19" s="2">
        <f>--108.98</f>
        <v>108.98</v>
      </c>
      <c r="I19" s="2"/>
      <c r="J19" s="19"/>
      <c r="K19" s="2"/>
      <c r="L19" s="2">
        <f t="shared" si="0"/>
        <v>-91.990000000000009</v>
      </c>
      <c r="M19" s="2"/>
      <c r="N19" s="19">
        <f t="shared" si="1"/>
        <v>-0.84409983483207929</v>
      </c>
      <c r="O19" s="11"/>
      <c r="P19" s="2">
        <f>--535.96</f>
        <v>535.96</v>
      </c>
      <c r="Q19" s="2"/>
      <c r="R19" s="19"/>
      <c r="S19" s="2"/>
      <c r="T19" s="2">
        <f>--797.91</f>
        <v>797.91</v>
      </c>
      <c r="U19" s="2"/>
      <c r="V19" s="19"/>
      <c r="W19" s="2"/>
      <c r="X19" s="2">
        <f t="shared" si="2"/>
        <v>-261.94999999999993</v>
      </c>
      <c r="Y19" s="2"/>
      <c r="Z19" s="19">
        <f t="shared" si="3"/>
        <v>-0.32829517113458906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--63.96</f>
        <v>63.96</v>
      </c>
      <c r="E20" s="2"/>
      <c r="F20" s="19"/>
      <c r="G20" s="2"/>
      <c r="H20" s="2">
        <f>--494.95</f>
        <v>494.95</v>
      </c>
      <c r="I20" s="2"/>
      <c r="J20" s="19"/>
      <c r="K20" s="2"/>
      <c r="L20" s="2">
        <f t="shared" si="0"/>
        <v>-430.99</v>
      </c>
      <c r="M20" s="2"/>
      <c r="N20" s="19">
        <f t="shared" si="1"/>
        <v>-0.87077482573997378</v>
      </c>
      <c r="O20" s="11"/>
      <c r="P20" s="2">
        <f>--1454.52</f>
        <v>1454.52</v>
      </c>
      <c r="Q20" s="2"/>
      <c r="R20" s="19"/>
      <c r="S20" s="2"/>
      <c r="T20" s="2">
        <f>--836.92</f>
        <v>836.92</v>
      </c>
      <c r="U20" s="2"/>
      <c r="V20" s="19"/>
      <c r="W20" s="2"/>
      <c r="X20" s="2">
        <f t="shared" si="2"/>
        <v>617.6</v>
      </c>
      <c r="Y20" s="2"/>
      <c r="Z20" s="19">
        <f t="shared" si="3"/>
        <v>0.73794388949959377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--15231</f>
        <v>15231</v>
      </c>
      <c r="E21" s="2"/>
      <c r="F21" s="19"/>
      <c r="G21" s="2"/>
      <c r="H21" s="2">
        <f>--20047.9</f>
        <v>20047.900000000001</v>
      </c>
      <c r="I21" s="2"/>
      <c r="J21" s="19"/>
      <c r="K21" s="2"/>
      <c r="L21" s="2">
        <f t="shared" si="0"/>
        <v>-4816.9000000000015</v>
      </c>
      <c r="M21" s="2"/>
      <c r="N21" s="19">
        <f t="shared" si="1"/>
        <v>-0.24026955441717093</v>
      </c>
      <c r="O21" s="11"/>
      <c r="P21" s="2">
        <f>--45802</f>
        <v>45802</v>
      </c>
      <c r="Q21" s="2"/>
      <c r="R21" s="19"/>
      <c r="S21" s="2"/>
      <c r="T21" s="2">
        <f>--63213.88</f>
        <v>63213.88</v>
      </c>
      <c r="U21" s="2"/>
      <c r="V21" s="19"/>
      <c r="W21" s="2"/>
      <c r="X21" s="2">
        <f t="shared" si="2"/>
        <v>-17411.879999999997</v>
      </c>
      <c r="Y21" s="2"/>
      <c r="Z21" s="19">
        <f t="shared" si="3"/>
        <v>-0.27544393731250161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--864.82</f>
        <v>864.82</v>
      </c>
      <c r="E22" s="2"/>
      <c r="F22" s="19"/>
      <c r="G22" s="2"/>
      <c r="H22" s="2">
        <f>--948.73</f>
        <v>948.73</v>
      </c>
      <c r="I22" s="2"/>
      <c r="J22" s="19"/>
      <c r="K22" s="2"/>
      <c r="L22" s="2">
        <f t="shared" si="0"/>
        <v>-83.909999999999968</v>
      </c>
      <c r="M22" s="2"/>
      <c r="N22" s="19">
        <f t="shared" si="1"/>
        <v>-8.8444552190823492E-2</v>
      </c>
      <c r="O22" s="11"/>
      <c r="P22" s="2">
        <f>--2021.11</f>
        <v>2021.11</v>
      </c>
      <c r="Q22" s="2"/>
      <c r="R22" s="19"/>
      <c r="S22" s="2"/>
      <c r="T22" s="2">
        <f>--1630.45</f>
        <v>1630.45</v>
      </c>
      <c r="U22" s="2"/>
      <c r="V22" s="19"/>
      <c r="W22" s="2"/>
      <c r="X22" s="2">
        <f t="shared" si="2"/>
        <v>390.65999999999985</v>
      </c>
      <c r="Y22" s="2"/>
      <c r="Z22" s="19">
        <f t="shared" si="3"/>
        <v>0.23960256370940528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--1522</f>
        <v>1522</v>
      </c>
      <c r="Q23" s="2"/>
      <c r="R23" s="19"/>
      <c r="S23" s="2"/>
      <c r="T23" s="2">
        <f>--99</f>
        <v>99</v>
      </c>
      <c r="U23" s="2"/>
      <c r="V23" s="19"/>
      <c r="W23" s="2"/>
      <c r="X23" s="2">
        <f t="shared" si="2"/>
        <v>1423</v>
      </c>
      <c r="Y23" s="2"/>
      <c r="Z23" s="19">
        <f t="shared" si="3"/>
        <v>14.373737373737374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--2555.94</f>
        <v>2555.94</v>
      </c>
      <c r="E24" s="2"/>
      <c r="F24" s="19"/>
      <c r="G24" s="2"/>
      <c r="H24" s="2">
        <f>--294.99</f>
        <v>294.99</v>
      </c>
      <c r="I24" s="2"/>
      <c r="J24" s="19"/>
      <c r="K24" s="2"/>
      <c r="L24" s="2">
        <f t="shared" si="0"/>
        <v>2260.9499999999998</v>
      </c>
      <c r="M24" s="2"/>
      <c r="N24" s="19">
        <f t="shared" si="1"/>
        <v>7.6644971015966634</v>
      </c>
      <c r="O24" s="11"/>
      <c r="P24" s="2">
        <f>--7077.94</f>
        <v>7077.94</v>
      </c>
      <c r="Q24" s="2"/>
      <c r="R24" s="19"/>
      <c r="S24" s="2"/>
      <c r="T24" s="2">
        <f>--2216.91</f>
        <v>2216.91</v>
      </c>
      <c r="U24" s="2"/>
      <c r="V24" s="19"/>
      <c r="W24" s="2"/>
      <c r="X24" s="2">
        <f t="shared" si="2"/>
        <v>4861.03</v>
      </c>
      <c r="Y24" s="2"/>
      <c r="Z24" s="19">
        <f t="shared" si="3"/>
        <v>2.1927051616890174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--485.86</f>
        <v>485.86</v>
      </c>
      <c r="E25" s="2"/>
      <c r="F25" s="19"/>
      <c r="G25" s="2"/>
      <c r="H25" s="2">
        <f>--484.89</f>
        <v>484.89</v>
      </c>
      <c r="I25" s="2"/>
      <c r="J25" s="19"/>
      <c r="K25" s="2"/>
      <c r="L25" s="2">
        <f t="shared" si="0"/>
        <v>0.97000000000002728</v>
      </c>
      <c r="M25" s="2"/>
      <c r="N25" s="19">
        <f t="shared" si="1"/>
        <v>2.0004537111510392E-3</v>
      </c>
      <c r="O25" s="11"/>
      <c r="P25" s="2">
        <f>--760.76</f>
        <v>760.76</v>
      </c>
      <c r="Q25" s="2"/>
      <c r="R25" s="19"/>
      <c r="S25" s="2"/>
      <c r="T25" s="2">
        <f>--1809.32</f>
        <v>1809.32</v>
      </c>
      <c r="U25" s="2"/>
      <c r="V25" s="19"/>
      <c r="W25" s="2"/>
      <c r="X25" s="2">
        <f t="shared" si="2"/>
        <v>-1048.56</v>
      </c>
      <c r="Y25" s="2"/>
      <c r="Z25" s="19">
        <f t="shared" si="3"/>
        <v>-0.57953264209758359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--119.98</f>
        <v>119.98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119.98</v>
      </c>
      <c r="M26" s="2"/>
      <c r="N26" s="19">
        <f t="shared" si="1"/>
        <v>0</v>
      </c>
      <c r="O26" s="11"/>
      <c r="P26" s="2">
        <f>--219.96</f>
        <v>219.96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19.980000000000018</v>
      </c>
      <c r="Y26" s="2"/>
      <c r="Z26" s="19">
        <f t="shared" si="3"/>
        <v>9.9909990999100001E-2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-1039.72</f>
        <v>-1039.72</v>
      </c>
      <c r="E27" s="2"/>
      <c r="F27" s="19"/>
      <c r="G27" s="2"/>
      <c r="H27" s="2">
        <f>-671.91</f>
        <v>-671.91</v>
      </c>
      <c r="I27" s="2"/>
      <c r="J27" s="19"/>
      <c r="K27" s="2"/>
      <c r="L27" s="2">
        <f t="shared" si="0"/>
        <v>-367.81000000000006</v>
      </c>
      <c r="M27" s="2"/>
      <c r="N27" s="19">
        <f t="shared" si="1"/>
        <v>0.5474096233126462</v>
      </c>
      <c r="O27" s="11"/>
      <c r="P27" s="2">
        <f>-3274.47</f>
        <v>-3274.47</v>
      </c>
      <c r="Q27" s="2"/>
      <c r="R27" s="19"/>
      <c r="S27" s="2"/>
      <c r="T27" s="2">
        <f>-2456.28</f>
        <v>-2456.2800000000002</v>
      </c>
      <c r="U27" s="2"/>
      <c r="V27" s="19"/>
      <c r="W27" s="2"/>
      <c r="X27" s="2">
        <f t="shared" si="2"/>
        <v>-818.1899999999996</v>
      </c>
      <c r="Y27" s="2"/>
      <c r="Z27" s="19">
        <f t="shared" si="3"/>
        <v>0.33310127509892989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-27457.13</f>
        <v>-27457.13</v>
      </c>
      <c r="E28" s="2"/>
      <c r="F28" s="19"/>
      <c r="G28" s="2"/>
      <c r="H28" s="2">
        <f>-12942.09</f>
        <v>-12942.09</v>
      </c>
      <c r="I28" s="2"/>
      <c r="J28" s="19"/>
      <c r="K28" s="2"/>
      <c r="L28" s="2">
        <f t="shared" si="0"/>
        <v>-14515.04</v>
      </c>
      <c r="M28" s="2"/>
      <c r="N28" s="19">
        <f t="shared" si="1"/>
        <v>1.121537556917005</v>
      </c>
      <c r="O28" s="11"/>
      <c r="P28" s="2">
        <f>-147646.85</f>
        <v>-147646.85</v>
      </c>
      <c r="Q28" s="2"/>
      <c r="R28" s="19"/>
      <c r="S28" s="2"/>
      <c r="T28" s="2">
        <f>-30291.44</f>
        <v>-30291.439999999999</v>
      </c>
      <c r="U28" s="2"/>
      <c r="V28" s="19"/>
      <c r="W28" s="2"/>
      <c r="X28" s="2">
        <f t="shared" si="2"/>
        <v>-117355.41</v>
      </c>
      <c r="Y28" s="2"/>
      <c r="Z28" s="19">
        <f t="shared" si="3"/>
        <v>3.8742103379700672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-553.79</f>
        <v>-553.79</v>
      </c>
      <c r="E29" s="2"/>
      <c r="F29" s="19"/>
      <c r="G29" s="2"/>
      <c r="H29" s="2">
        <f>-1708.13</f>
        <v>-1708.13</v>
      </c>
      <c r="I29" s="2"/>
      <c r="J29" s="19"/>
      <c r="K29" s="2"/>
      <c r="L29" s="2">
        <f t="shared" si="0"/>
        <v>1154.3400000000001</v>
      </c>
      <c r="M29" s="2"/>
      <c r="N29" s="19">
        <f t="shared" si="1"/>
        <v>-0.67579165520188744</v>
      </c>
      <c r="O29" s="11"/>
      <c r="P29" s="2">
        <f>-1284.48</f>
        <v>-1284.48</v>
      </c>
      <c r="Q29" s="2"/>
      <c r="R29" s="19"/>
      <c r="S29" s="2"/>
      <c r="T29" s="2">
        <f>-2588.04</f>
        <v>-2588.04</v>
      </c>
      <c r="U29" s="2"/>
      <c r="V29" s="19"/>
      <c r="W29" s="2"/>
      <c r="X29" s="2">
        <f t="shared" si="2"/>
        <v>1303.56</v>
      </c>
      <c r="Y29" s="2"/>
      <c r="Z29" s="19">
        <f t="shared" si="3"/>
        <v>-0.50368618723049097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 t="shared" ref="D30:D31" si="5">0</f>
        <v>0</v>
      </c>
      <c r="E30" s="2"/>
      <c r="F30" s="19"/>
      <c r="G30" s="2"/>
      <c r="H30" s="2">
        <f t="shared" ref="H30:H31" si="6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 t="shared" ref="T30:T31" si="7"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 t="shared" si="5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-406.99</f>
        <v>-406.99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-406.99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-962.59</f>
        <v>-962.59</v>
      </c>
      <c r="E32" s="2"/>
      <c r="F32" s="19"/>
      <c r="G32" s="2"/>
      <c r="H32" s="2">
        <f>-897.72</f>
        <v>-897.72</v>
      </c>
      <c r="I32" s="2"/>
      <c r="J32" s="19"/>
      <c r="K32" s="2"/>
      <c r="L32" s="2">
        <f t="shared" si="0"/>
        <v>-64.87</v>
      </c>
      <c r="M32" s="2"/>
      <c r="N32" s="19">
        <f t="shared" si="1"/>
        <v>7.2260838568818792E-2</v>
      </c>
      <c r="O32" s="11"/>
      <c r="P32" s="2">
        <f>-2143.74</f>
        <v>-2143.7399999999998</v>
      </c>
      <c r="Q32" s="2"/>
      <c r="R32" s="19"/>
      <c r="S32" s="2"/>
      <c r="T32" s="2">
        <f>-1768.98</f>
        <v>-1768.98</v>
      </c>
      <c r="U32" s="2"/>
      <c r="V32" s="19"/>
      <c r="W32" s="2"/>
      <c r="X32" s="2">
        <f t="shared" si="2"/>
        <v>-374.75999999999976</v>
      </c>
      <c r="Y32" s="2"/>
      <c r="Z32" s="19">
        <f t="shared" si="3"/>
        <v>0.21185089712715788</v>
      </c>
    </row>
    <row r="33" spans="1:26" s="24" customFormat="1" hidden="1" outlineLevel="1" x14ac:dyDescent="0.25">
      <c r="A33" s="44"/>
      <c r="B33" s="11" t="str">
        <f>CONCATENATE("          ", "4381", " - ", "SALES RETURN NON TAXABLE-ELECT")</f>
        <v xml:space="preserve">          4381 - SALES RETURN NON TAXABLE-ELECT</v>
      </c>
      <c r="C33" s="11"/>
      <c r="D33" s="2">
        <f>-1279.84</f>
        <v>-1279.8399999999999</v>
      </c>
      <c r="E33" s="2"/>
      <c r="F33" s="19"/>
      <c r="G33" s="2"/>
      <c r="H33" s="2">
        <f t="shared" ref="H33:H35" si="8">0</f>
        <v>0</v>
      </c>
      <c r="I33" s="2"/>
      <c r="J33" s="19"/>
      <c r="K33" s="2"/>
      <c r="L33" s="2">
        <f t="shared" si="0"/>
        <v>-1279.8399999999999</v>
      </c>
      <c r="M33" s="2"/>
      <c r="N33" s="19">
        <f t="shared" si="1"/>
        <v>0</v>
      </c>
      <c r="O33" s="11"/>
      <c r="P33" s="2">
        <f>-1279.84</f>
        <v>-1279.8399999999999</v>
      </c>
      <c r="Q33" s="2"/>
      <c r="R33" s="19"/>
      <c r="S33" s="2"/>
      <c r="T33" s="2">
        <f t="shared" ref="T33:T35" si="9">0</f>
        <v>0</v>
      </c>
      <c r="U33" s="2"/>
      <c r="V33" s="19"/>
      <c r="W33" s="2"/>
      <c r="X33" s="2">
        <f t="shared" si="2"/>
        <v>-1279.8399999999999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"4383", " - ", "SALES RETURN NON TAXABLE-COMPU")</f>
        <v xml:space="preserve">          4383 - SALES RETURN NON TAXABLE-COMPU</v>
      </c>
      <c r="C34" s="11"/>
      <c r="D34" s="2">
        <f t="shared" ref="D34:D35" si="10">0</f>
        <v>0</v>
      </c>
      <c r="E34" s="2"/>
      <c r="F34" s="19"/>
      <c r="G34" s="2"/>
      <c r="H34" s="2">
        <f t="shared" si="8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-24.99</f>
        <v>-24.99</v>
      </c>
      <c r="Q34" s="2"/>
      <c r="R34" s="19"/>
      <c r="S34" s="2"/>
      <c r="T34" s="2">
        <f t="shared" si="9"/>
        <v>0</v>
      </c>
      <c r="U34" s="2"/>
      <c r="V34" s="19"/>
      <c r="W34" s="2"/>
      <c r="X34" s="2">
        <f t="shared" si="2"/>
        <v>-24.99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"4386", " - ", "SALES RETURN NON TAXABLE-COMPU")</f>
        <v xml:space="preserve">          4386 - SALES RETURN NON TAXABLE-COMPU</v>
      </c>
      <c r="C35" s="11"/>
      <c r="D35" s="2">
        <f t="shared" si="10"/>
        <v>0</v>
      </c>
      <c r="E35" s="2"/>
      <c r="F35" s="19"/>
      <c r="G35" s="2"/>
      <c r="H35" s="2">
        <f t="shared" si="8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-19.99</f>
        <v>-19.989999999999998</v>
      </c>
      <c r="Q35" s="2"/>
      <c r="R35" s="19"/>
      <c r="S35" s="2"/>
      <c r="T35" s="2">
        <f t="shared" si="9"/>
        <v>0</v>
      </c>
      <c r="U35" s="2"/>
      <c r="V35" s="19"/>
      <c r="W35" s="2"/>
      <c r="X35" s="2">
        <f t="shared" si="2"/>
        <v>-19.989999999999998</v>
      </c>
      <c r="Y35" s="2"/>
      <c r="Z35" s="19">
        <f t="shared" si="3"/>
        <v>0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collapsed="1" x14ac:dyDescent="0.25">
      <c r="A37" s="10"/>
      <c r="B37" s="25" t="s">
        <v>8</v>
      </c>
      <c r="C37" s="10"/>
      <c r="D37" s="4">
        <f>SUM(OSRRefD16x_0)</f>
        <v>278765.08</v>
      </c>
      <c r="E37" s="4"/>
      <c r="F37" s="12">
        <f t="shared" ref="F37:F50" si="11">IF(D$12=0,0,D37/D$12)</f>
        <v>0.87025536297269546</v>
      </c>
      <c r="G37" s="4"/>
      <c r="H37" s="4">
        <f>SUM(OSRRefH16x_0)</f>
        <v>216942.49000000002</v>
      </c>
      <c r="I37" s="4"/>
      <c r="J37" s="12">
        <f t="shared" ref="J37:J50" si="12">IF(H$12=0,0,H37/H$12)</f>
        <v>0.84972346507094587</v>
      </c>
      <c r="K37" s="4"/>
      <c r="L37" s="4">
        <f t="shared" ref="L37:L50" si="13">+D37-H37</f>
        <v>61822.59</v>
      </c>
      <c r="M37" s="4"/>
      <c r="N37" s="12">
        <f t="shared" ref="N37:N50" si="14">IF(H37=0,0,L37/H37)</f>
        <v>0.28497225232364576</v>
      </c>
      <c r="O37" s="10"/>
      <c r="P37" s="4">
        <f>SUM(OSRRefP16x_0)</f>
        <v>1076160.1500000001</v>
      </c>
      <c r="Q37" s="4"/>
      <c r="R37" s="12">
        <f t="shared" ref="R37:R50" si="15">IF(P$12=0,0,P37/P$12)</f>
        <v>0.90268406042157756</v>
      </c>
      <c r="S37" s="4"/>
      <c r="T37" s="4">
        <f>SUM(OSRRefT16x_0)</f>
        <v>861054.77</v>
      </c>
      <c r="U37" s="4"/>
      <c r="V37" s="12">
        <f t="shared" ref="V37:V50" si="16">IF(T$12=0,0,T37/T$12)</f>
        <v>0.86252034732376581</v>
      </c>
      <c r="W37" s="4"/>
      <c r="X37" s="4">
        <f t="shared" ref="X37:X50" si="17">+P37-T37</f>
        <v>215105.38000000012</v>
      </c>
      <c r="Y37" s="4"/>
      <c r="Z37" s="12">
        <f t="shared" ref="Z37:Z50" si="18">IF(T37=0,0,X37/T37)</f>
        <v>0.24981614119622161</v>
      </c>
    </row>
    <row r="38" spans="1:26" s="24" customFormat="1" hidden="1" outlineLevel="1" x14ac:dyDescent="0.25">
      <c r="A38" s="44"/>
      <c r="B38" s="11" t="str">
        <f>CONCATENATE("          ", "5081", " - ", "PURCHASES @ COST-ELECTRONICS")</f>
        <v xml:space="preserve">          5081 - PURCHASES @ COST-ELECTRONICS</v>
      </c>
      <c r="C38" s="11"/>
      <c r="D38" s="2">
        <v>66227.41</v>
      </c>
      <c r="E38" s="2"/>
      <c r="F38" s="19">
        <f t="shared" si="11"/>
        <v>0.20675028137775189</v>
      </c>
      <c r="G38" s="2"/>
      <c r="H38" s="2">
        <v>43092.75</v>
      </c>
      <c r="I38" s="2"/>
      <c r="J38" s="19">
        <f t="shared" si="12"/>
        <v>0.16878630299410688</v>
      </c>
      <c r="K38" s="2"/>
      <c r="L38" s="2">
        <f t="shared" si="13"/>
        <v>23134.660000000003</v>
      </c>
      <c r="M38" s="2"/>
      <c r="N38" s="19">
        <f t="shared" si="14"/>
        <v>0.53685735999675133</v>
      </c>
      <c r="O38" s="11"/>
      <c r="P38" s="2">
        <v>149686.09000000003</v>
      </c>
      <c r="Q38" s="2"/>
      <c r="R38" s="19">
        <f t="shared" si="15"/>
        <v>0.12555682117557473</v>
      </c>
      <c r="S38" s="2"/>
      <c r="T38" s="2">
        <v>131642.06</v>
      </c>
      <c r="U38" s="2"/>
      <c r="V38" s="19">
        <f t="shared" si="16"/>
        <v>0.1318661242810559</v>
      </c>
      <c r="W38" s="2"/>
      <c r="X38" s="2">
        <f t="shared" si="17"/>
        <v>18044.030000000028</v>
      </c>
      <c r="Y38" s="2"/>
      <c r="Z38" s="19">
        <f t="shared" si="18"/>
        <v>0.13706888208829326</v>
      </c>
    </row>
    <row r="39" spans="1:26" s="24" customFormat="1" hidden="1" outlineLevel="1" x14ac:dyDescent="0.25">
      <c r="A39" s="44"/>
      <c r="B39" s="11" t="str">
        <f>CONCATENATE("          ", "5082", " - ", "PURCHASES @ COST-COMPUTER HARD")</f>
        <v xml:space="preserve">          5082 - PURCHASES @ COST-COMPUTER HARD</v>
      </c>
      <c r="C39" s="11"/>
      <c r="D39" s="2">
        <v>127420.07</v>
      </c>
      <c r="E39" s="2"/>
      <c r="F39" s="19">
        <f t="shared" si="11"/>
        <v>0.39778296215528952</v>
      </c>
      <c r="G39" s="2"/>
      <c r="H39" s="2">
        <v>175474.33</v>
      </c>
      <c r="I39" s="2"/>
      <c r="J39" s="19">
        <f t="shared" si="12"/>
        <v>0.68730037955498069</v>
      </c>
      <c r="K39" s="2"/>
      <c r="L39" s="2">
        <f t="shared" si="13"/>
        <v>-48054.25999999998</v>
      </c>
      <c r="M39" s="2"/>
      <c r="N39" s="19">
        <f t="shared" si="14"/>
        <v>-0.27385350324460556</v>
      </c>
      <c r="O39" s="11"/>
      <c r="P39" s="2">
        <v>801042.97</v>
      </c>
      <c r="Q39" s="2"/>
      <c r="R39" s="19">
        <f t="shared" si="15"/>
        <v>0.67191553295460693</v>
      </c>
      <c r="S39" s="2"/>
      <c r="T39" s="2">
        <v>580412.89</v>
      </c>
      <c r="U39" s="2"/>
      <c r="V39" s="19">
        <f t="shared" si="16"/>
        <v>0.5814007946021722</v>
      </c>
      <c r="W39" s="2"/>
      <c r="X39" s="2">
        <f t="shared" si="17"/>
        <v>220630.07999999996</v>
      </c>
      <c r="Y39" s="2"/>
      <c r="Z39" s="19">
        <f t="shared" si="18"/>
        <v>0.38012608575939788</v>
      </c>
    </row>
    <row r="40" spans="1:26" s="24" customFormat="1" hidden="1" outlineLevel="1" x14ac:dyDescent="0.25">
      <c r="A40" s="44"/>
      <c r="B40" s="11" t="str">
        <f>CONCATENATE("          ", "5083", " - ", "PURCHASES @ COST-COMPUTER EQUI")</f>
        <v xml:space="preserve">          5083 - PURCHASES @ COST-COMPUTER EQUI</v>
      </c>
      <c r="C40" s="11"/>
      <c r="D40" s="2">
        <v>10519.97</v>
      </c>
      <c r="E40" s="2"/>
      <c r="F40" s="19">
        <f t="shared" si="11"/>
        <v>3.2841489008637183E-2</v>
      </c>
      <c r="G40" s="2"/>
      <c r="H40" s="2">
        <v>16351.590000000002</v>
      </c>
      <c r="I40" s="2"/>
      <c r="J40" s="19">
        <f t="shared" si="12"/>
        <v>6.4046142893535649E-2</v>
      </c>
      <c r="K40" s="2"/>
      <c r="L40" s="2">
        <f t="shared" si="13"/>
        <v>-5831.6200000000026</v>
      </c>
      <c r="M40" s="2"/>
      <c r="N40" s="19">
        <f t="shared" si="14"/>
        <v>-0.3566393237599525</v>
      </c>
      <c r="O40" s="11"/>
      <c r="P40" s="2">
        <v>27712.41</v>
      </c>
      <c r="Q40" s="2"/>
      <c r="R40" s="19">
        <f t="shared" si="15"/>
        <v>2.3245193369098017E-2</v>
      </c>
      <c r="S40" s="2"/>
      <c r="T40" s="2">
        <v>30773.91</v>
      </c>
      <c r="U40" s="2"/>
      <c r="V40" s="19">
        <f t="shared" si="16"/>
        <v>3.0826289414447247E-2</v>
      </c>
      <c r="W40" s="2"/>
      <c r="X40" s="2">
        <f t="shared" si="17"/>
        <v>-3061.5</v>
      </c>
      <c r="Y40" s="2"/>
      <c r="Z40" s="19">
        <f t="shared" si="18"/>
        <v>-9.9483621028332123E-2</v>
      </c>
    </row>
    <row r="41" spans="1:26" s="24" customFormat="1" hidden="1" outlineLevel="1" x14ac:dyDescent="0.25">
      <c r="A41" s="44"/>
      <c r="B41" s="11" t="str">
        <f>CONCATENATE("          ", "5084", " - ", "PURCHASES @ COST-SOFTWARE LICE")</f>
        <v xml:space="preserve">          5084 - PURCHASES @ COST-SOFTWARE LICE</v>
      </c>
      <c r="C41" s="11"/>
      <c r="D41" s="2"/>
      <c r="E41" s="2"/>
      <c r="F41" s="19">
        <f t="shared" si="11"/>
        <v>0</v>
      </c>
      <c r="G41" s="2"/>
      <c r="H41" s="2"/>
      <c r="I41" s="2"/>
      <c r="J41" s="19">
        <f t="shared" si="12"/>
        <v>0</v>
      </c>
      <c r="K41" s="2"/>
      <c r="L41" s="2">
        <f t="shared" si="13"/>
        <v>0</v>
      </c>
      <c r="M41" s="2"/>
      <c r="N41" s="19">
        <f t="shared" si="14"/>
        <v>0</v>
      </c>
      <c r="O41" s="11"/>
      <c r="P41" s="2">
        <v>1522</v>
      </c>
      <c r="Q41" s="2"/>
      <c r="R41" s="19">
        <f t="shared" si="15"/>
        <v>1.2766549104811591E-3</v>
      </c>
      <c r="S41" s="2"/>
      <c r="T41" s="2">
        <v>99</v>
      </c>
      <c r="U41" s="2"/>
      <c r="V41" s="19">
        <f t="shared" si="16"/>
        <v>9.9168505140564763E-5</v>
      </c>
      <c r="W41" s="2"/>
      <c r="X41" s="2">
        <f t="shared" si="17"/>
        <v>1423</v>
      </c>
      <c r="Y41" s="2"/>
      <c r="Z41" s="19">
        <f t="shared" si="18"/>
        <v>14.373737373737374</v>
      </c>
    </row>
    <row r="42" spans="1:26" s="24" customFormat="1" hidden="1" outlineLevel="1" x14ac:dyDescent="0.25">
      <c r="A42" s="44"/>
      <c r="B42" s="11" t="str">
        <f>CONCATENATE("          ", "5085", " - ", "PURCHASES @ COST-SOFTWARE")</f>
        <v xml:space="preserve">          5085 - PURCHASES @ COST-SOFTWARE</v>
      </c>
      <c r="C42" s="11"/>
      <c r="D42" s="2">
        <v>3058</v>
      </c>
      <c r="E42" s="2"/>
      <c r="F42" s="19">
        <f t="shared" si="11"/>
        <v>9.5465361011877903E-3</v>
      </c>
      <c r="G42" s="2"/>
      <c r="H42" s="2">
        <v>2564.75</v>
      </c>
      <c r="I42" s="2"/>
      <c r="J42" s="19">
        <f t="shared" si="12"/>
        <v>1.0045649688268574E-2</v>
      </c>
      <c r="K42" s="2"/>
      <c r="L42" s="2">
        <f t="shared" si="13"/>
        <v>493.25</v>
      </c>
      <c r="M42" s="2"/>
      <c r="N42" s="19">
        <f t="shared" si="14"/>
        <v>0.19231893946778439</v>
      </c>
      <c r="O42" s="11"/>
      <c r="P42" s="2">
        <v>6426</v>
      </c>
      <c r="Q42" s="2"/>
      <c r="R42" s="19">
        <f t="shared" si="15"/>
        <v>5.3901343329513327E-3</v>
      </c>
      <c r="S42" s="2"/>
      <c r="T42" s="2">
        <v>4619.63</v>
      </c>
      <c r="U42" s="2"/>
      <c r="V42" s="19">
        <f t="shared" si="16"/>
        <v>4.6274929434596684E-3</v>
      </c>
      <c r="W42" s="2"/>
      <c r="X42" s="2">
        <f t="shared" si="17"/>
        <v>1806.37</v>
      </c>
      <c r="Y42" s="2"/>
      <c r="Z42" s="19">
        <f t="shared" si="18"/>
        <v>0.39102049298320424</v>
      </c>
    </row>
    <row r="43" spans="1:26" s="24" customFormat="1" hidden="1" outlineLevel="1" x14ac:dyDescent="0.25">
      <c r="A43" s="44"/>
      <c r="B43" s="11" t="str">
        <f>CONCATENATE("          ", "5086", " - ", "PURCHASES @ COST-COMPUTER SUPP")</f>
        <v xml:space="preserve">          5086 - PURCHASES @ COST-COMPUTER SUPP</v>
      </c>
      <c r="C43" s="11"/>
      <c r="D43" s="2">
        <v>6272.87</v>
      </c>
      <c r="E43" s="2"/>
      <c r="F43" s="19">
        <f t="shared" si="11"/>
        <v>1.9582792646519898E-2</v>
      </c>
      <c r="G43" s="2"/>
      <c r="H43" s="2">
        <v>7804.21</v>
      </c>
      <c r="I43" s="2"/>
      <c r="J43" s="19">
        <f t="shared" si="12"/>
        <v>3.0567641974337648E-2</v>
      </c>
      <c r="K43" s="2"/>
      <c r="L43" s="2">
        <f t="shared" si="13"/>
        <v>-1531.3400000000001</v>
      </c>
      <c r="M43" s="2"/>
      <c r="N43" s="19">
        <f t="shared" si="14"/>
        <v>-0.19621973268274434</v>
      </c>
      <c r="O43" s="11"/>
      <c r="P43" s="2">
        <v>12479.75</v>
      </c>
      <c r="Q43" s="2"/>
      <c r="R43" s="19">
        <f t="shared" si="15"/>
        <v>1.0468025045385838E-2</v>
      </c>
      <c r="S43" s="2"/>
      <c r="T43" s="2">
        <v>13915.72</v>
      </c>
      <c r="U43" s="2"/>
      <c r="V43" s="19">
        <f t="shared" si="16"/>
        <v>1.3939405559137977E-2</v>
      </c>
      <c r="W43" s="2"/>
      <c r="X43" s="2">
        <f t="shared" si="17"/>
        <v>-1435.9699999999993</v>
      </c>
      <c r="Y43" s="2"/>
      <c r="Z43" s="19">
        <f t="shared" si="18"/>
        <v>-0.10319049247900931</v>
      </c>
    </row>
    <row r="44" spans="1:26" s="24" customFormat="1" hidden="1" outlineLevel="1" x14ac:dyDescent="0.25">
      <c r="A44" s="44"/>
      <c r="B44" s="11" t="str">
        <f>CONCATENATE("          ", "5088", " - ", "PURCHASES @ COST-MUSIC")</f>
        <v xml:space="preserve">          5088 - PURCHASES @ COST-MUSIC</v>
      </c>
      <c r="C44" s="11"/>
      <c r="D44" s="2">
        <v>6.75</v>
      </c>
      <c r="E44" s="2"/>
      <c r="F44" s="19">
        <f t="shared" si="11"/>
        <v>2.1072308267827857E-5</v>
      </c>
      <c r="G44" s="2"/>
      <c r="H44" s="2">
        <v>-84.74</v>
      </c>
      <c r="I44" s="2"/>
      <c r="J44" s="19">
        <f t="shared" si="12"/>
        <v>-3.3191085079788628E-4</v>
      </c>
      <c r="K44" s="2"/>
      <c r="L44" s="2">
        <f t="shared" si="13"/>
        <v>91.49</v>
      </c>
      <c r="M44" s="2"/>
      <c r="N44" s="19">
        <f t="shared" si="14"/>
        <v>-1.0796554165683268</v>
      </c>
      <c r="O44" s="11"/>
      <c r="P44" s="2">
        <v>88.75</v>
      </c>
      <c r="Q44" s="2"/>
      <c r="R44" s="19">
        <f t="shared" si="15"/>
        <v>7.4443576416033426E-5</v>
      </c>
      <c r="S44" s="2"/>
      <c r="T44" s="2">
        <v>0</v>
      </c>
      <c r="U44" s="2"/>
      <c r="V44" s="19">
        <f t="shared" si="16"/>
        <v>0</v>
      </c>
      <c r="W44" s="2"/>
      <c r="X44" s="2">
        <f t="shared" si="17"/>
        <v>88.75</v>
      </c>
      <c r="Y44" s="2"/>
      <c r="Z44" s="19">
        <f t="shared" si="18"/>
        <v>0</v>
      </c>
    </row>
    <row r="45" spans="1:26" s="24" customFormat="1" hidden="1" outlineLevel="1" x14ac:dyDescent="0.25">
      <c r="A45" s="44"/>
      <c r="B45" s="11" t="str">
        <f>CONCATENATE("          ", "5200", " - ", "PURCHASES OFFSET")</f>
        <v xml:space="preserve">          5200 - PURCHASES OFFSET</v>
      </c>
      <c r="C45" s="11"/>
      <c r="D45" s="2">
        <v>-213676</v>
      </c>
      <c r="E45" s="2"/>
      <c r="F45" s="19">
        <f t="shared" si="11"/>
        <v>-0.66705874687946443</v>
      </c>
      <c r="G45" s="2"/>
      <c r="H45" s="2">
        <v>-245258.99999999997</v>
      </c>
      <c r="I45" s="2"/>
      <c r="J45" s="19">
        <f t="shared" si="12"/>
        <v>-0.96063397870945</v>
      </c>
      <c r="K45" s="2"/>
      <c r="L45" s="2">
        <f t="shared" si="13"/>
        <v>31582.999999999971</v>
      </c>
      <c r="M45" s="2"/>
      <c r="N45" s="19">
        <f t="shared" si="14"/>
        <v>-0.12877407149176981</v>
      </c>
      <c r="O45" s="11"/>
      <c r="P45" s="2">
        <v>-999198</v>
      </c>
      <c r="Q45" s="2"/>
      <c r="R45" s="19">
        <f t="shared" si="15"/>
        <v>-0.8381281427351861</v>
      </c>
      <c r="S45" s="2"/>
      <c r="T45" s="2">
        <v>-761577</v>
      </c>
      <c r="U45" s="2"/>
      <c r="V45" s="19">
        <f t="shared" si="16"/>
        <v>-0.76287325898420089</v>
      </c>
      <c r="W45" s="2"/>
      <c r="X45" s="2">
        <f t="shared" si="17"/>
        <v>-237621</v>
      </c>
      <c r="Y45" s="2"/>
      <c r="Z45" s="19">
        <f t="shared" si="18"/>
        <v>0.31201178607022007</v>
      </c>
    </row>
    <row r="46" spans="1:26" s="24" customFormat="1" hidden="1" outlineLevel="1" x14ac:dyDescent="0.25">
      <c r="A46" s="44"/>
      <c r="B46" s="11" t="str">
        <f>CONCATENATE("          ", "5300", " - ", "COG$ OFFSET")</f>
        <v xml:space="preserve">          5300 - COG$ OFFSET</v>
      </c>
      <c r="C46" s="11"/>
      <c r="D46" s="2">
        <v>278765</v>
      </c>
      <c r="E46" s="2"/>
      <c r="F46" s="19">
        <f t="shared" si="11"/>
        <v>0.87025511322681959</v>
      </c>
      <c r="G46" s="2"/>
      <c r="H46" s="2">
        <v>216943</v>
      </c>
      <c r="I46" s="2"/>
      <c r="J46" s="19">
        <f t="shared" si="12"/>
        <v>0.84972546264628102</v>
      </c>
      <c r="K46" s="2"/>
      <c r="L46" s="2">
        <f t="shared" si="13"/>
        <v>61822</v>
      </c>
      <c r="M46" s="2"/>
      <c r="N46" s="19">
        <f t="shared" si="14"/>
        <v>0.28496886278884315</v>
      </c>
      <c r="O46" s="11"/>
      <c r="P46" s="2">
        <v>1076159</v>
      </c>
      <c r="Q46" s="2"/>
      <c r="R46" s="19">
        <f t="shared" si="15"/>
        <v>0.90268309580058725</v>
      </c>
      <c r="S46" s="2"/>
      <c r="T46" s="2">
        <v>861056</v>
      </c>
      <c r="U46" s="2"/>
      <c r="V46" s="19">
        <f t="shared" si="16"/>
        <v>0.86252157941731444</v>
      </c>
      <c r="W46" s="2"/>
      <c r="X46" s="2">
        <f t="shared" si="17"/>
        <v>215103</v>
      </c>
      <c r="Y46" s="2"/>
      <c r="Z46" s="19">
        <f t="shared" si="18"/>
        <v>0.24981302029136315</v>
      </c>
    </row>
    <row r="47" spans="1:26" s="24" customFormat="1" hidden="1" outlineLevel="1" x14ac:dyDescent="0.25">
      <c r="A47" s="44"/>
      <c r="B47" s="11" t="str">
        <f>CONCATENATE("          ", "5581", " - ", "FREIGHT-IN-ELECTRONICS")</f>
        <v xml:space="preserve">          5581 - FREIGHT-IN-ELECTRONICS</v>
      </c>
      <c r="C47" s="11"/>
      <c r="D47" s="2">
        <v>92.95</v>
      </c>
      <c r="E47" s="2"/>
      <c r="F47" s="19">
        <f t="shared" si="11"/>
        <v>2.9017348940660732E-4</v>
      </c>
      <c r="G47" s="2"/>
      <c r="H47" s="2"/>
      <c r="I47" s="2"/>
      <c r="J47" s="19">
        <f t="shared" si="12"/>
        <v>0</v>
      </c>
      <c r="K47" s="2"/>
      <c r="L47" s="2">
        <f t="shared" si="13"/>
        <v>92.95</v>
      </c>
      <c r="M47" s="2"/>
      <c r="N47" s="19">
        <f t="shared" si="14"/>
        <v>0</v>
      </c>
      <c r="O47" s="11"/>
      <c r="P47" s="2">
        <v>92.95</v>
      </c>
      <c r="Q47" s="2"/>
      <c r="R47" s="19">
        <f t="shared" si="15"/>
        <v>7.7966540032341496E-5</v>
      </c>
      <c r="S47" s="2"/>
      <c r="T47" s="2"/>
      <c r="U47" s="2"/>
      <c r="V47" s="19">
        <f t="shared" si="16"/>
        <v>0</v>
      </c>
      <c r="W47" s="2"/>
      <c r="X47" s="2">
        <f t="shared" si="17"/>
        <v>92.95</v>
      </c>
      <c r="Y47" s="2"/>
      <c r="Z47" s="19">
        <f t="shared" si="18"/>
        <v>0</v>
      </c>
    </row>
    <row r="48" spans="1:26" s="24" customFormat="1" hidden="1" outlineLevel="1" x14ac:dyDescent="0.25">
      <c r="A48" s="44"/>
      <c r="B48" s="11" t="str">
        <f>CONCATENATE("          ", "5582", " - ", "FREIGHT-IN-COMPUTER HARDWARE")</f>
        <v xml:space="preserve">          5582 - FREIGHT-IN-COMPUTER HARDWARE</v>
      </c>
      <c r="C48" s="11"/>
      <c r="D48" s="2">
        <v>4.84</v>
      </c>
      <c r="E48" s="2"/>
      <c r="F48" s="19">
        <f t="shared" si="11"/>
        <v>1.5109625483894344E-5</v>
      </c>
      <c r="G48" s="2"/>
      <c r="H48" s="2"/>
      <c r="I48" s="2"/>
      <c r="J48" s="19">
        <f t="shared" si="12"/>
        <v>0</v>
      </c>
      <c r="K48" s="2"/>
      <c r="L48" s="2">
        <f t="shared" si="13"/>
        <v>4.84</v>
      </c>
      <c r="M48" s="2"/>
      <c r="N48" s="19">
        <f t="shared" si="14"/>
        <v>0</v>
      </c>
      <c r="O48" s="11"/>
      <c r="P48" s="2">
        <v>4.84</v>
      </c>
      <c r="Q48" s="2"/>
      <c r="R48" s="19">
        <f t="shared" si="15"/>
        <v>4.0597961673645272E-6</v>
      </c>
      <c r="S48" s="2"/>
      <c r="T48" s="2"/>
      <c r="U48" s="2"/>
      <c r="V48" s="19">
        <f t="shared" si="16"/>
        <v>0</v>
      </c>
      <c r="W48" s="2"/>
      <c r="X48" s="2">
        <f t="shared" si="17"/>
        <v>4.84</v>
      </c>
      <c r="Y48" s="2"/>
      <c r="Z48" s="19">
        <f t="shared" si="18"/>
        <v>0</v>
      </c>
    </row>
    <row r="49" spans="1:26" s="24" customFormat="1" hidden="1" outlineLevel="1" x14ac:dyDescent="0.25">
      <c r="A49" s="44"/>
      <c r="B49" s="11" t="str">
        <f>CONCATENATE("          ", "5583", " - ", "FREIGHT-IN-COMPUTER EQUIPMENT")</f>
        <v xml:space="preserve">          5583 - FREIGHT-IN-COMPUTER EQUIPMENT</v>
      </c>
      <c r="C49" s="11"/>
      <c r="D49" s="2">
        <v>7.86</v>
      </c>
      <c r="E49" s="2"/>
      <c r="F49" s="19">
        <f t="shared" si="11"/>
        <v>2.4537532294092883E-5</v>
      </c>
      <c r="G49" s="2"/>
      <c r="H49" s="2"/>
      <c r="I49" s="2"/>
      <c r="J49" s="19">
        <f t="shared" si="12"/>
        <v>0</v>
      </c>
      <c r="K49" s="2"/>
      <c r="L49" s="2">
        <f t="shared" si="13"/>
        <v>7.86</v>
      </c>
      <c r="M49" s="2"/>
      <c r="N49" s="19">
        <f t="shared" si="14"/>
        <v>0</v>
      </c>
      <c r="O49" s="11"/>
      <c r="P49" s="2">
        <v>41</v>
      </c>
      <c r="Q49" s="2"/>
      <c r="R49" s="19">
        <f t="shared" si="15"/>
        <v>3.4390835302054882E-5</v>
      </c>
      <c r="S49" s="2"/>
      <c r="T49" s="2">
        <v>8.27</v>
      </c>
      <c r="U49" s="2"/>
      <c r="V49" s="19">
        <f t="shared" si="16"/>
        <v>8.2840761364896018E-6</v>
      </c>
      <c r="W49" s="2"/>
      <c r="X49" s="2">
        <f t="shared" si="17"/>
        <v>32.730000000000004</v>
      </c>
      <c r="Y49" s="2"/>
      <c r="Z49" s="19">
        <f t="shared" si="18"/>
        <v>3.9576783555018147</v>
      </c>
    </row>
    <row r="50" spans="1:26" s="24" customFormat="1" hidden="1" outlineLevel="1" x14ac:dyDescent="0.25">
      <c r="A50" s="44"/>
      <c r="B50" s="11" t="str">
        <f>CONCATENATE("          ", "5586", " - ", "FREIGHT-IN-COMPUTER SUPPLIES")</f>
        <v xml:space="preserve">          5586 - FREIGHT-IN-COMPUTER SUPPLIES</v>
      </c>
      <c r="C50" s="11"/>
      <c r="D50" s="2">
        <v>65.36</v>
      </c>
      <c r="E50" s="2"/>
      <c r="F50" s="19">
        <f t="shared" si="11"/>
        <v>2.0404238050151537E-4</v>
      </c>
      <c r="G50" s="2"/>
      <c r="H50" s="2">
        <v>55.6</v>
      </c>
      <c r="I50" s="2"/>
      <c r="J50" s="19">
        <f t="shared" si="12"/>
        <v>2.1777487968329572E-4</v>
      </c>
      <c r="K50" s="2"/>
      <c r="L50" s="2">
        <f t="shared" si="13"/>
        <v>9.759999999999998</v>
      </c>
      <c r="M50" s="2"/>
      <c r="N50" s="19">
        <f t="shared" si="14"/>
        <v>0.17553956834532369</v>
      </c>
      <c r="O50" s="11"/>
      <c r="P50" s="2">
        <v>102.39</v>
      </c>
      <c r="Q50" s="2"/>
      <c r="R50" s="19">
        <f t="shared" si="15"/>
        <v>8.5884820160424364E-5</v>
      </c>
      <c r="S50" s="2"/>
      <c r="T50" s="2">
        <v>104.29</v>
      </c>
      <c r="U50" s="2"/>
      <c r="V50" s="19">
        <f t="shared" si="16"/>
        <v>1.0446750910211615E-4</v>
      </c>
      <c r="W50" s="2"/>
      <c r="X50" s="2">
        <f t="shared" si="17"/>
        <v>-1.9000000000000057</v>
      </c>
      <c r="Y50" s="2"/>
      <c r="Z50" s="19">
        <f t="shared" si="18"/>
        <v>-1.8218429379614591E-2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6" t="s">
        <v>6</v>
      </c>
      <c r="C52" s="26"/>
      <c r="D52" s="21">
        <f>D12-D37</f>
        <v>41560.529999999912</v>
      </c>
      <c r="E52" s="13"/>
      <c r="F52" s="20">
        <f>IF(D$12=0,0,D52/D$12)</f>
        <v>0.12974463702730457</v>
      </c>
      <c r="G52" s="13"/>
      <c r="H52" s="21">
        <f>H12-H37</f>
        <v>38367.030000000057</v>
      </c>
      <c r="I52" s="13"/>
      <c r="J52" s="20">
        <f>IF(H$12=0,0,H52/H$12)</f>
        <v>0.15027653492905413</v>
      </c>
      <c r="K52" s="15"/>
      <c r="L52" s="21">
        <f>+D52-H52</f>
        <v>3193.4999999998545</v>
      </c>
      <c r="M52" s="15"/>
      <c r="N52" s="20">
        <f>IF(H52=0,0,L52/H52)</f>
        <v>8.3235528004118375E-2</v>
      </c>
      <c r="O52" s="25"/>
      <c r="P52" s="21">
        <f>P12-P37</f>
        <v>116017.9299999997</v>
      </c>
      <c r="Q52" s="13"/>
      <c r="R52" s="20">
        <f>IF(P$12=0,0,P52/P$12)</f>
        <v>9.7315939578422481E-2</v>
      </c>
      <c r="S52" s="13"/>
      <c r="T52" s="21">
        <f>T12-T37</f>
        <v>137246.04999999981</v>
      </c>
      <c r="U52" s="13"/>
      <c r="V52" s="20">
        <f>IF(T$12=0,0,T52/T$12)</f>
        <v>0.13747965267623424</v>
      </c>
      <c r="W52" s="15"/>
      <c r="X52" s="21">
        <f>+P52-T52</f>
        <v>-21228.120000000112</v>
      </c>
      <c r="Y52" s="15"/>
      <c r="Z52" s="20">
        <f>IF(T52=0,0,X52/T52)</f>
        <v>-0.15467199238156684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5" t="s">
        <v>9</v>
      </c>
      <c r="C54" s="10"/>
      <c r="D54" s="22">
        <f>SUM(OSRRefD22x_0)</f>
        <v>12298.65</v>
      </c>
      <c r="E54" s="22"/>
      <c r="F54" s="34">
        <f t="shared" ref="F54:F64" si="19">IF(D$12=0,0,D54/D$12)</f>
        <v>3.8394213937499415E-2</v>
      </c>
      <c r="G54" s="22"/>
      <c r="H54" s="22">
        <f>SUM(OSRRefH22x_0)</f>
        <v>36055.630000000005</v>
      </c>
      <c r="I54" s="22"/>
      <c r="J54" s="34">
        <f t="shared" ref="J54:J64" si="20">IF(H$12=0,0,H54/H$12)</f>
        <v>0.14122321016466599</v>
      </c>
      <c r="K54" s="4"/>
      <c r="L54" s="22">
        <f t="shared" ref="L54:L64" si="21">+D54-H54</f>
        <v>-23756.980000000003</v>
      </c>
      <c r="M54" s="4"/>
      <c r="N54" s="34">
        <f t="shared" ref="N54:N64" si="22">IF(H54=0,0,L54/H54)</f>
        <v>-0.65889793078085168</v>
      </c>
      <c r="O54" s="10"/>
      <c r="P54" s="22">
        <f>SUM(OSRRefP22x_0)</f>
        <v>102193.21999999999</v>
      </c>
      <c r="Q54" s="22"/>
      <c r="R54" s="34">
        <f t="shared" ref="R54:R64" si="23">IF(P$12=0,0,P54/P$12)</f>
        <v>8.5719760926991712E-2</v>
      </c>
      <c r="S54" s="22"/>
      <c r="T54" s="22">
        <f>SUM(OSRRefT22x_0)</f>
        <v>113511.3</v>
      </c>
      <c r="U54" s="22"/>
      <c r="V54" s="34">
        <f t="shared" ref="V54:V64" si="24">IF(T$12=0,0,T54/T$12)</f>
        <v>0.11370450441982009</v>
      </c>
      <c r="W54" s="4"/>
      <c r="X54" s="22">
        <f t="shared" ref="X54:X64" si="25">+P54-T54</f>
        <v>-11318.080000000016</v>
      </c>
      <c r="Y54" s="4"/>
      <c r="Z54" s="34">
        <f t="shared" ref="Z54:Z64" si="26">IF(T54=0,0,X54/T54)</f>
        <v>-9.9708839560466805E-2</v>
      </c>
    </row>
    <row r="55" spans="1:26" s="29" customFormat="1" outlineLevel="1" collapsed="1" x14ac:dyDescent="0.25">
      <c r="A55" s="27"/>
      <c r="B55" s="14" t="str">
        <f>CONCATENATE("     ","*Benefits                                         ")</f>
        <v xml:space="preserve">     *Benefits                                         </v>
      </c>
      <c r="C55" s="14"/>
      <c r="D55" s="1">
        <f>SUM(OSRRefD22_0x_0)</f>
        <v>3779.41</v>
      </c>
      <c r="E55" s="1"/>
      <c r="F55" s="5">
        <f t="shared" si="19"/>
        <v>1.1798650754149818E-2</v>
      </c>
      <c r="G55" s="1"/>
      <c r="H55" s="1">
        <f>SUM(OSRRefH22_0x_0)</f>
        <v>2386.71</v>
      </c>
      <c r="I55" s="1"/>
      <c r="J55" s="5">
        <f t="shared" si="20"/>
        <v>9.3483000555560931E-3</v>
      </c>
      <c r="K55" s="1"/>
      <c r="L55" s="1">
        <f t="shared" si="21"/>
        <v>1392.6999999999998</v>
      </c>
      <c r="M55" s="1"/>
      <c r="N55" s="5">
        <f t="shared" si="22"/>
        <v>0.58352292486309598</v>
      </c>
      <c r="O55" s="14"/>
      <c r="P55" s="1">
        <f>SUM(OSRRefP22_0x_0)</f>
        <v>8908.9500000000007</v>
      </c>
      <c r="Q55" s="1"/>
      <c r="R55" s="5">
        <f t="shared" si="23"/>
        <v>7.472834930835167E-3</v>
      </c>
      <c r="S55" s="1"/>
      <c r="T55" s="1">
        <f>SUM(OSRRefT22_0x_0)</f>
        <v>7343.25</v>
      </c>
      <c r="U55" s="1"/>
      <c r="V55" s="5">
        <f t="shared" si="24"/>
        <v>7.3557487411459819E-3</v>
      </c>
      <c r="W55" s="1"/>
      <c r="X55" s="1">
        <f t="shared" si="25"/>
        <v>1565.7000000000007</v>
      </c>
      <c r="Y55" s="1"/>
      <c r="Z55" s="5">
        <f t="shared" si="26"/>
        <v>0.21321621897661128</v>
      </c>
    </row>
    <row r="56" spans="1:26" s="24" customFormat="1" hidden="1" outlineLevel="2" x14ac:dyDescent="0.25">
      <c r="A56" s="28"/>
      <c r="B56" s="11" t="str">
        <f>CONCATENATE("          ", "6111", " - ", "F.I.C.A.")</f>
        <v xml:space="preserve">          6111 - F.I.C.A.</v>
      </c>
      <c r="C56" s="11"/>
      <c r="D56" s="6">
        <v>699.16</v>
      </c>
      <c r="E56" s="2"/>
      <c r="F56" s="7">
        <f t="shared" si="19"/>
        <v>2.1826540812643737E-3</v>
      </c>
      <c r="G56" s="2"/>
      <c r="H56" s="6">
        <v>468.48</v>
      </c>
      <c r="I56" s="2"/>
      <c r="J56" s="7">
        <f t="shared" si="20"/>
        <v>1.8349492020509062E-3</v>
      </c>
      <c r="K56" s="2"/>
      <c r="L56" s="6">
        <f t="shared" si="21"/>
        <v>230.67999999999995</v>
      </c>
      <c r="M56" s="2"/>
      <c r="N56" s="7">
        <f t="shared" si="22"/>
        <v>0.49240095628415287</v>
      </c>
      <c r="O56" s="11"/>
      <c r="P56" s="6">
        <v>1774.7</v>
      </c>
      <c r="Q56" s="2"/>
      <c r="R56" s="7">
        <f t="shared" si="23"/>
        <v>1.4886198880623609E-3</v>
      </c>
      <c r="S56" s="2"/>
      <c r="T56" s="6">
        <v>1796.7</v>
      </c>
      <c r="U56" s="2"/>
      <c r="V56" s="7">
        <f t="shared" si="24"/>
        <v>1.7997581129904315E-3</v>
      </c>
      <c r="W56" s="2"/>
      <c r="X56" s="6">
        <f t="shared" si="25"/>
        <v>-22</v>
      </c>
      <c r="Y56" s="2"/>
      <c r="Z56" s="7">
        <f t="shared" si="26"/>
        <v>-1.2244670785328657E-2</v>
      </c>
    </row>
    <row r="57" spans="1:26" s="24" customFormat="1" hidden="1" outlineLevel="2" x14ac:dyDescent="0.25">
      <c r="A57" s="28"/>
      <c r="B57" s="11" t="str">
        <f>CONCATENATE("          ", "6112", " - ", "COMPENSATION INSURANCE")</f>
        <v xml:space="preserve">          6112 - COMPENSATION INSURANCE</v>
      </c>
      <c r="C57" s="11"/>
      <c r="D57" s="6">
        <v>205.93</v>
      </c>
      <c r="E57" s="2"/>
      <c r="F57" s="7">
        <f t="shared" si="19"/>
        <v>6.4287710245833937E-4</v>
      </c>
      <c r="G57" s="2"/>
      <c r="H57" s="6"/>
      <c r="I57" s="2"/>
      <c r="J57" s="7">
        <f t="shared" si="20"/>
        <v>0</v>
      </c>
      <c r="K57" s="2"/>
      <c r="L57" s="6">
        <f t="shared" si="21"/>
        <v>205.93</v>
      </c>
      <c r="M57" s="2"/>
      <c r="N57" s="7">
        <f t="shared" si="22"/>
        <v>0</v>
      </c>
      <c r="O57" s="11"/>
      <c r="P57" s="6">
        <v>463.57</v>
      </c>
      <c r="Q57" s="2"/>
      <c r="R57" s="7">
        <f t="shared" si="23"/>
        <v>3.888429151456971E-4</v>
      </c>
      <c r="S57" s="2"/>
      <c r="T57" s="6">
        <v>261.2</v>
      </c>
      <c r="U57" s="2"/>
      <c r="V57" s="7">
        <f t="shared" si="24"/>
        <v>2.6164458123955063E-4</v>
      </c>
      <c r="W57" s="2"/>
      <c r="X57" s="6">
        <f t="shared" si="25"/>
        <v>202.37</v>
      </c>
      <c r="Y57" s="2"/>
      <c r="Z57" s="7">
        <f t="shared" si="26"/>
        <v>0.77477029096477801</v>
      </c>
    </row>
    <row r="58" spans="1:26" s="24" customFormat="1" hidden="1" outlineLevel="2" x14ac:dyDescent="0.25">
      <c r="A58" s="28"/>
      <c r="B58" s="11" t="str">
        <f>CONCATENATE("          ", "6113", " - ", "GROUP INSURANCE")</f>
        <v xml:space="preserve">          6113 - GROUP INSURANCE</v>
      </c>
      <c r="C58" s="11"/>
      <c r="D58" s="6">
        <v>964.88</v>
      </c>
      <c r="E58" s="2"/>
      <c r="F58" s="7">
        <f t="shared" si="19"/>
        <v>3.0121850076239619E-3</v>
      </c>
      <c r="G58" s="2"/>
      <c r="H58" s="6">
        <v>1029.08</v>
      </c>
      <c r="I58" s="2"/>
      <c r="J58" s="7">
        <f t="shared" si="20"/>
        <v>4.0307153450447114E-3</v>
      </c>
      <c r="K58" s="2"/>
      <c r="L58" s="6">
        <f t="shared" si="21"/>
        <v>-64.199999999999932</v>
      </c>
      <c r="M58" s="2"/>
      <c r="N58" s="7">
        <f t="shared" si="22"/>
        <v>-6.2385820344385216E-2</v>
      </c>
      <c r="O58" s="11"/>
      <c r="P58" s="6">
        <v>2894.64</v>
      </c>
      <c r="Q58" s="2"/>
      <c r="R58" s="7">
        <f t="shared" si="23"/>
        <v>2.4280265243595152E-3</v>
      </c>
      <c r="S58" s="2"/>
      <c r="T58" s="6">
        <v>2451.42</v>
      </c>
      <c r="U58" s="2"/>
      <c r="V58" s="7">
        <f t="shared" si="24"/>
        <v>2.4555924936533664E-3</v>
      </c>
      <c r="W58" s="2"/>
      <c r="X58" s="6">
        <f t="shared" si="25"/>
        <v>443.2199999999998</v>
      </c>
      <c r="Y58" s="2"/>
      <c r="Z58" s="7">
        <f t="shared" si="26"/>
        <v>0.18080133147318689</v>
      </c>
    </row>
    <row r="59" spans="1:26" s="24" customFormat="1" hidden="1" outlineLevel="2" x14ac:dyDescent="0.25">
      <c r="A59" s="28"/>
      <c r="B59" s="11" t="str">
        <f>CONCATENATE("          ", "6114", " - ", "STATE UNEMPLOYMENT INSURANCE")</f>
        <v xml:space="preserve">          6114 - STATE UNEMPLOYMENT INSURANCE</v>
      </c>
      <c r="C59" s="11"/>
      <c r="D59" s="6">
        <v>28.18</v>
      </c>
      <c r="E59" s="2"/>
      <c r="F59" s="7">
        <f t="shared" si="19"/>
        <v>8.797298473887244E-5</v>
      </c>
      <c r="G59" s="2"/>
      <c r="H59" s="6">
        <v>28.82</v>
      </c>
      <c r="I59" s="2"/>
      <c r="J59" s="7">
        <f t="shared" si="20"/>
        <v>1.1288259051209682E-4</v>
      </c>
      <c r="K59" s="2"/>
      <c r="L59" s="6">
        <f t="shared" si="21"/>
        <v>-0.64000000000000057</v>
      </c>
      <c r="M59" s="2"/>
      <c r="N59" s="7">
        <f t="shared" si="22"/>
        <v>-2.2206800832755051E-2</v>
      </c>
      <c r="O59" s="11"/>
      <c r="P59" s="6">
        <v>63.44</v>
      </c>
      <c r="Q59" s="2"/>
      <c r="R59" s="7">
        <f t="shared" si="23"/>
        <v>5.3213526623472227E-5</v>
      </c>
      <c r="S59" s="2"/>
      <c r="T59" s="6">
        <v>85.89</v>
      </c>
      <c r="U59" s="2"/>
      <c r="V59" s="7">
        <f t="shared" si="24"/>
        <v>8.603619097498088E-5</v>
      </c>
      <c r="W59" s="2"/>
      <c r="X59" s="6">
        <f t="shared" si="25"/>
        <v>-22.450000000000003</v>
      </c>
      <c r="Y59" s="2"/>
      <c r="Z59" s="7">
        <f t="shared" si="26"/>
        <v>-0.26138083595296313</v>
      </c>
    </row>
    <row r="60" spans="1:26" s="24" customFormat="1" hidden="1" outlineLevel="2" x14ac:dyDescent="0.25">
      <c r="A60" s="28"/>
      <c r="B60" s="11" t="str">
        <f>CONCATENATE("          ", "6115", " - ", "P.E.R.S.")</f>
        <v xml:space="preserve">          6115 - P.E.R.S.</v>
      </c>
      <c r="C60" s="11"/>
      <c r="D60" s="6">
        <v>196.25</v>
      </c>
      <c r="E60" s="2"/>
      <c r="F60" s="7">
        <f t="shared" si="19"/>
        <v>6.1265785149055066E-4</v>
      </c>
      <c r="G60" s="2"/>
      <c r="H60" s="6">
        <v>174.42</v>
      </c>
      <c r="I60" s="2"/>
      <c r="J60" s="7">
        <f t="shared" si="20"/>
        <v>6.8317076464677047E-4</v>
      </c>
      <c r="K60" s="2"/>
      <c r="L60" s="6">
        <f t="shared" si="21"/>
        <v>21.830000000000013</v>
      </c>
      <c r="M60" s="2"/>
      <c r="N60" s="7">
        <f t="shared" si="22"/>
        <v>0.12515766540534351</v>
      </c>
      <c r="O60" s="11"/>
      <c r="P60" s="6">
        <v>563.04999999999995</v>
      </c>
      <c r="Q60" s="2"/>
      <c r="R60" s="7">
        <f t="shared" si="23"/>
        <v>4.7228682480053656E-4</v>
      </c>
      <c r="S60" s="2"/>
      <c r="T60" s="6">
        <v>607.92999999999995</v>
      </c>
      <c r="U60" s="2"/>
      <c r="V60" s="7">
        <f t="shared" si="24"/>
        <v>6.0896474070811651E-4</v>
      </c>
      <c r="W60" s="2"/>
      <c r="X60" s="6">
        <f t="shared" si="25"/>
        <v>-44.879999999999995</v>
      </c>
      <c r="Y60" s="2"/>
      <c r="Z60" s="7">
        <f t="shared" si="26"/>
        <v>-7.3824288980639211E-2</v>
      </c>
    </row>
    <row r="61" spans="1:26" s="24" customFormat="1" hidden="1" outlineLevel="2" x14ac:dyDescent="0.25">
      <c r="A61" s="28"/>
      <c r="B61" s="11" t="str">
        <f>CONCATENATE("          ", "6117", " - ", "RETIREMENT STAFF HOURLY")</f>
        <v xml:space="preserve">          6117 - RETIREMENT STAFF HOURLY</v>
      </c>
      <c r="C61" s="11"/>
      <c r="D61" s="6">
        <v>301.07</v>
      </c>
      <c r="E61" s="2"/>
      <c r="F61" s="7">
        <f t="shared" si="19"/>
        <v>9.3988738521406413E-4</v>
      </c>
      <c r="G61" s="2"/>
      <c r="H61" s="6">
        <v>271.43</v>
      </c>
      <c r="I61" s="2"/>
      <c r="J61" s="7">
        <f t="shared" si="20"/>
        <v>1.063140927921528E-3</v>
      </c>
      <c r="K61" s="2"/>
      <c r="L61" s="6">
        <f t="shared" si="21"/>
        <v>29.639999999999986</v>
      </c>
      <c r="M61" s="2"/>
      <c r="N61" s="7">
        <f t="shared" si="22"/>
        <v>0.10919942526618276</v>
      </c>
      <c r="O61" s="11"/>
      <c r="P61" s="6">
        <v>552.04999999999995</v>
      </c>
      <c r="Q61" s="2"/>
      <c r="R61" s="7">
        <f t="shared" si="23"/>
        <v>4.6306001532925349E-4</v>
      </c>
      <c r="S61" s="2"/>
      <c r="T61" s="6">
        <v>578.67999999999995</v>
      </c>
      <c r="U61" s="2"/>
      <c r="V61" s="7">
        <f t="shared" si="24"/>
        <v>5.7966495509840415E-4</v>
      </c>
      <c r="W61" s="2"/>
      <c r="X61" s="6">
        <f t="shared" si="25"/>
        <v>-26.629999999999995</v>
      </c>
      <c r="Y61" s="2"/>
      <c r="Z61" s="7">
        <f t="shared" si="26"/>
        <v>-4.6018524918780668E-2</v>
      </c>
    </row>
    <row r="62" spans="1:26" s="24" customFormat="1" hidden="1" outlineLevel="2" x14ac:dyDescent="0.25">
      <c r="A62" s="28"/>
      <c r="B62" s="11" t="str">
        <f>CONCATENATE("          ", "6118", " - ", "VACATION")</f>
        <v xml:space="preserve">          6118 - VACATION</v>
      </c>
      <c r="C62" s="11"/>
      <c r="D62" s="6">
        <v>572.64</v>
      </c>
      <c r="E62" s="2"/>
      <c r="F62" s="7">
        <f t="shared" si="19"/>
        <v>1.7876809787391028E-3</v>
      </c>
      <c r="G62" s="2"/>
      <c r="H62" s="6">
        <v>146.9</v>
      </c>
      <c r="I62" s="2"/>
      <c r="J62" s="7">
        <f t="shared" si="20"/>
        <v>5.753800328323047E-4</v>
      </c>
      <c r="K62" s="2"/>
      <c r="L62" s="6">
        <f t="shared" si="21"/>
        <v>425.74</v>
      </c>
      <c r="M62" s="2"/>
      <c r="N62" s="7">
        <f t="shared" si="22"/>
        <v>2.8981620149761742</v>
      </c>
      <c r="O62" s="11"/>
      <c r="P62" s="6">
        <v>1037.27</v>
      </c>
      <c r="Q62" s="2"/>
      <c r="R62" s="7">
        <f t="shared" si="23"/>
        <v>8.7006296911615766E-4</v>
      </c>
      <c r="S62" s="2"/>
      <c r="T62" s="6">
        <v>590.62</v>
      </c>
      <c r="U62" s="2"/>
      <c r="V62" s="7">
        <f t="shared" si="24"/>
        <v>5.9162527783959955E-4</v>
      </c>
      <c r="W62" s="2"/>
      <c r="X62" s="6">
        <f t="shared" si="25"/>
        <v>446.65</v>
      </c>
      <c r="Y62" s="2"/>
      <c r="Z62" s="7">
        <f t="shared" si="26"/>
        <v>0.7562392062578307</v>
      </c>
    </row>
    <row r="63" spans="1:26" s="24" customFormat="1" hidden="1" outlineLevel="2" x14ac:dyDescent="0.25">
      <c r="A63" s="28"/>
      <c r="B63" s="11" t="str">
        <f>CONCATENATE("          ", "6119", " - ", "SICK LEAVE")</f>
        <v xml:space="preserve">          6119 - SICK LEAVE</v>
      </c>
      <c r="C63" s="11"/>
      <c r="D63" s="6">
        <v>636.29999999999995</v>
      </c>
      <c r="E63" s="2"/>
      <c r="F63" s="7">
        <f t="shared" si="19"/>
        <v>1.9864162593805725E-3</v>
      </c>
      <c r="G63" s="2"/>
      <c r="H63" s="6">
        <v>117.58</v>
      </c>
      <c r="I63" s="2"/>
      <c r="J63" s="7">
        <f t="shared" si="20"/>
        <v>4.6053903512881136E-4</v>
      </c>
      <c r="K63" s="2"/>
      <c r="L63" s="6">
        <f t="shared" si="21"/>
        <v>518.71999999999991</v>
      </c>
      <c r="M63" s="2"/>
      <c r="N63" s="7">
        <f t="shared" si="22"/>
        <v>4.4116346317400907</v>
      </c>
      <c r="O63" s="11"/>
      <c r="P63" s="6">
        <v>1086.03</v>
      </c>
      <c r="Q63" s="2"/>
      <c r="R63" s="7">
        <f t="shared" si="23"/>
        <v>9.1096289909977214E-4</v>
      </c>
      <c r="S63" s="2"/>
      <c r="T63" s="6">
        <v>520.80999999999995</v>
      </c>
      <c r="U63" s="2"/>
      <c r="V63" s="7">
        <f t="shared" si="24"/>
        <v>5.2169645618441944E-4</v>
      </c>
      <c r="W63" s="2"/>
      <c r="X63" s="6">
        <f t="shared" si="25"/>
        <v>565.22</v>
      </c>
      <c r="Y63" s="2"/>
      <c r="Z63" s="7">
        <f t="shared" si="26"/>
        <v>1.0852710201417026</v>
      </c>
    </row>
    <row r="64" spans="1:26" s="24" customFormat="1" hidden="1" outlineLevel="2" x14ac:dyDescent="0.25">
      <c r="A64" s="28"/>
      <c r="B64" s="11" t="str">
        <f>CONCATENATE("          ", "6156", " - ", "EMPLOYEE MEALS")</f>
        <v xml:space="preserve">          6156 - EMPLOYEE MEALS</v>
      </c>
      <c r="C64" s="11"/>
      <c r="D64" s="6">
        <v>175</v>
      </c>
      <c r="E64" s="2"/>
      <c r="F64" s="7">
        <f t="shared" si="19"/>
        <v>5.4631910323998142E-4</v>
      </c>
      <c r="G64" s="2"/>
      <c r="H64" s="6">
        <v>150</v>
      </c>
      <c r="I64" s="2"/>
      <c r="J64" s="7">
        <f t="shared" si="20"/>
        <v>5.8752215741896333E-4</v>
      </c>
      <c r="K64" s="2"/>
      <c r="L64" s="6">
        <f t="shared" si="21"/>
        <v>25</v>
      </c>
      <c r="M64" s="2"/>
      <c r="N64" s="7">
        <f t="shared" si="22"/>
        <v>0.16666666666666666</v>
      </c>
      <c r="O64" s="11"/>
      <c r="P64" s="6">
        <v>474.2</v>
      </c>
      <c r="Q64" s="2"/>
      <c r="R64" s="7">
        <f t="shared" si="23"/>
        <v>3.9775936829840059E-4</v>
      </c>
      <c r="S64" s="2"/>
      <c r="T64" s="6">
        <v>450</v>
      </c>
      <c r="U64" s="2"/>
      <c r="V64" s="7">
        <f t="shared" si="24"/>
        <v>4.5076593245711255E-4</v>
      </c>
      <c r="W64" s="2"/>
      <c r="X64" s="6">
        <f t="shared" si="25"/>
        <v>24.199999999999989</v>
      </c>
      <c r="Y64" s="2"/>
      <c r="Z64" s="7">
        <f t="shared" si="26"/>
        <v>5.3777777777777751E-2</v>
      </c>
    </row>
    <row r="65" spans="1:26" s="29" customFormat="1" outlineLevel="1" collapsed="1" x14ac:dyDescent="0.25">
      <c r="A65" s="27"/>
      <c r="B65" s="14" t="str">
        <f>CONCATENATE("     ","*Payroll                                          ")</f>
        <v xml:space="preserve">     *Payroll                                          </v>
      </c>
      <c r="C65" s="14"/>
      <c r="D65" s="1">
        <f>SUM(OSRRefD22_1x_0)</f>
        <v>10223.98</v>
      </c>
      <c r="E65" s="1"/>
      <c r="F65" s="5">
        <f t="shared" ref="F65:F69" si="27">IF(D$12=0,0,D65/D$12)</f>
        <v>3.1917460486534315E-2</v>
      </c>
      <c r="G65" s="1"/>
      <c r="H65" s="1">
        <f>SUM(OSRRefH22_1x_0)</f>
        <v>10019.41</v>
      </c>
      <c r="I65" s="1"/>
      <c r="J65" s="5">
        <f t="shared" ref="J65:J69" si="28">IF(H$12=0,0,H65/H$12)</f>
        <v>3.9244169195100896E-2</v>
      </c>
      <c r="K65" s="1"/>
      <c r="L65" s="1">
        <f t="shared" ref="L65:L69" si="29">+D65-H65</f>
        <v>204.56999999999971</v>
      </c>
      <c r="M65" s="1"/>
      <c r="N65" s="5">
        <f t="shared" ref="N65:N69" si="30">IF(H65=0,0,L65/H65)</f>
        <v>2.0417369885053084E-2</v>
      </c>
      <c r="O65" s="14"/>
      <c r="P65" s="1">
        <f>SUM(OSRRefP22_1x_0)</f>
        <v>27512.059999999998</v>
      </c>
      <c r="Q65" s="1"/>
      <c r="R65" s="5">
        <f t="shared" ref="R65:R69" si="31">IF(P$12=0,0,P65/P$12)</f>
        <v>2.307713961659151E-2</v>
      </c>
      <c r="S65" s="1"/>
      <c r="T65" s="1">
        <f>SUM(OSRRefT22_1x_0)</f>
        <v>30261.53</v>
      </c>
      <c r="U65" s="1"/>
      <c r="V65" s="5">
        <f t="shared" ref="V65:V69" si="32">IF(T$12=0,0,T65/T$12)</f>
        <v>3.0313037306730854E-2</v>
      </c>
      <c r="W65" s="1"/>
      <c r="X65" s="1">
        <f t="shared" ref="X65:X69" si="33">+P65-T65</f>
        <v>-2749.4700000000012</v>
      </c>
      <c r="Y65" s="1"/>
      <c r="Z65" s="5">
        <f t="shared" ref="Z65:Z69" si="34">IF(T65=0,0,X65/T65)</f>
        <v>-9.0856939487197155E-2</v>
      </c>
    </row>
    <row r="66" spans="1:26" s="24" customFormat="1" hidden="1" outlineLevel="2" x14ac:dyDescent="0.25">
      <c r="A66" s="28"/>
      <c r="B66" s="11" t="str">
        <f>CONCATENATE("          ", "6002", " - ", "STAFF SALARIES")</f>
        <v xml:space="preserve">          6002 - STAFF SALARIES</v>
      </c>
      <c r="C66" s="11"/>
      <c r="D66" s="6">
        <v>2855.56</v>
      </c>
      <c r="E66" s="2"/>
      <c r="F66" s="7">
        <f t="shared" si="27"/>
        <v>8.9145541625597798E-3</v>
      </c>
      <c r="G66" s="2"/>
      <c r="H66" s="6">
        <v>2549.1999999999998</v>
      </c>
      <c r="I66" s="2"/>
      <c r="J66" s="7">
        <f t="shared" si="28"/>
        <v>9.9847432246161407E-3</v>
      </c>
      <c r="K66" s="2"/>
      <c r="L66" s="6">
        <f t="shared" si="29"/>
        <v>306.36000000000013</v>
      </c>
      <c r="M66" s="2"/>
      <c r="N66" s="7">
        <f t="shared" si="30"/>
        <v>0.12017887964851724</v>
      </c>
      <c r="O66" s="11"/>
      <c r="P66" s="6">
        <v>8631.64</v>
      </c>
      <c r="Q66" s="2"/>
      <c r="R66" s="7">
        <f t="shared" si="31"/>
        <v>7.2402270640641204E-3</v>
      </c>
      <c r="S66" s="2"/>
      <c r="T66" s="6">
        <v>7647.3</v>
      </c>
      <c r="U66" s="2"/>
      <c r="V66" s="7">
        <f t="shared" si="32"/>
        <v>7.6603162561761709E-3</v>
      </c>
      <c r="W66" s="2"/>
      <c r="X66" s="6">
        <f t="shared" si="33"/>
        <v>984.33999999999924</v>
      </c>
      <c r="Y66" s="2"/>
      <c r="Z66" s="7">
        <f t="shared" si="34"/>
        <v>0.12871732506897848</v>
      </c>
    </row>
    <row r="67" spans="1:26" s="24" customFormat="1" hidden="1" outlineLevel="2" x14ac:dyDescent="0.25">
      <c r="A67" s="28"/>
      <c r="B67" s="11" t="str">
        <f>CONCATENATE("          ", "6005", " - ", "TEMPORARY WAGES-HOURLY")</f>
        <v xml:space="preserve">          6005 - TEMPORARY WAGES-HOURLY</v>
      </c>
      <c r="C67" s="11"/>
      <c r="D67" s="6">
        <v>4227.2700000000004</v>
      </c>
      <c r="E67" s="2"/>
      <c r="F67" s="7">
        <f t="shared" si="27"/>
        <v>1.3196790603161581E-2</v>
      </c>
      <c r="G67" s="2"/>
      <c r="H67" s="6">
        <v>3701.83</v>
      </c>
      <c r="I67" s="2"/>
      <c r="J67" s="7">
        <f t="shared" si="28"/>
        <v>1.4499380986654939E-2</v>
      </c>
      <c r="K67" s="2"/>
      <c r="L67" s="6">
        <f t="shared" si="29"/>
        <v>525.44000000000051</v>
      </c>
      <c r="M67" s="2"/>
      <c r="N67" s="7">
        <f t="shared" si="30"/>
        <v>0.14194060775346262</v>
      </c>
      <c r="O67" s="11"/>
      <c r="P67" s="6">
        <v>9368.14</v>
      </c>
      <c r="Q67" s="2"/>
      <c r="R67" s="7">
        <f t="shared" si="31"/>
        <v>7.8580038982095698E-3</v>
      </c>
      <c r="S67" s="2"/>
      <c r="T67" s="6">
        <v>9956.51</v>
      </c>
      <c r="U67" s="2"/>
      <c r="V67" s="7">
        <f t="shared" si="32"/>
        <v>9.9734566981523678E-3</v>
      </c>
      <c r="W67" s="2"/>
      <c r="X67" s="6">
        <f t="shared" si="33"/>
        <v>-588.3700000000008</v>
      </c>
      <c r="Y67" s="2"/>
      <c r="Z67" s="7">
        <f t="shared" si="34"/>
        <v>-5.9093999805152689E-2</v>
      </c>
    </row>
    <row r="68" spans="1:26" s="24" customFormat="1" hidden="1" outlineLevel="2" x14ac:dyDescent="0.25">
      <c r="A68" s="28"/>
      <c r="B68" s="11" t="str">
        <f>CONCATENATE("          ", "6006", " - ", "TEMPORARY PART TIME")</f>
        <v xml:space="preserve">          6006 - TEMPORARY PART TIME</v>
      </c>
      <c r="C68" s="11"/>
      <c r="D68" s="6">
        <v>2102.34</v>
      </c>
      <c r="E68" s="2"/>
      <c r="F68" s="7">
        <f t="shared" si="27"/>
        <v>6.563134305745958E-3</v>
      </c>
      <c r="G68" s="2"/>
      <c r="H68" s="6"/>
      <c r="I68" s="2"/>
      <c r="J68" s="7">
        <f t="shared" si="28"/>
        <v>0</v>
      </c>
      <c r="K68" s="2"/>
      <c r="L68" s="6">
        <f t="shared" si="29"/>
        <v>2102.34</v>
      </c>
      <c r="M68" s="2"/>
      <c r="N68" s="7">
        <f t="shared" si="30"/>
        <v>0</v>
      </c>
      <c r="O68" s="11"/>
      <c r="P68" s="6">
        <v>5054.16</v>
      </c>
      <c r="Q68" s="2"/>
      <c r="R68" s="7">
        <f t="shared" si="31"/>
        <v>4.2394337597617968E-3</v>
      </c>
      <c r="S68" s="2"/>
      <c r="T68" s="6"/>
      <c r="U68" s="2"/>
      <c r="V68" s="7">
        <f t="shared" si="32"/>
        <v>0</v>
      </c>
      <c r="W68" s="2"/>
      <c r="X68" s="6">
        <f t="shared" si="33"/>
        <v>5054.16</v>
      </c>
      <c r="Y68" s="2"/>
      <c r="Z68" s="7">
        <f t="shared" si="34"/>
        <v>0</v>
      </c>
    </row>
    <row r="69" spans="1:26" s="24" customFormat="1" hidden="1" outlineLevel="2" x14ac:dyDescent="0.25">
      <c r="A69" s="28"/>
      <c r="B69" s="11" t="str">
        <f>CONCATENATE("          ", "6007", " - ", "STUDENT HOURLY")</f>
        <v xml:space="preserve">          6007 - STUDENT HOURLY</v>
      </c>
      <c r="C69" s="11"/>
      <c r="D69" s="6">
        <v>1038.81</v>
      </c>
      <c r="E69" s="2"/>
      <c r="F69" s="7">
        <f t="shared" si="27"/>
        <v>3.2429814150670006E-3</v>
      </c>
      <c r="G69" s="2"/>
      <c r="H69" s="6">
        <v>3768.38</v>
      </c>
      <c r="I69" s="2"/>
      <c r="J69" s="7">
        <f t="shared" si="28"/>
        <v>1.476004498382982E-2</v>
      </c>
      <c r="K69" s="2"/>
      <c r="L69" s="6">
        <f t="shared" si="29"/>
        <v>-2729.57</v>
      </c>
      <c r="M69" s="2"/>
      <c r="N69" s="7">
        <f t="shared" si="30"/>
        <v>-0.72433512543851741</v>
      </c>
      <c r="O69" s="11"/>
      <c r="P69" s="6">
        <v>4458.12</v>
      </c>
      <c r="Q69" s="2"/>
      <c r="R69" s="7">
        <f t="shared" si="31"/>
        <v>3.7394748945560217E-3</v>
      </c>
      <c r="S69" s="2"/>
      <c r="T69" s="6">
        <v>12657.72</v>
      </c>
      <c r="U69" s="2"/>
      <c r="V69" s="7">
        <f t="shared" si="32"/>
        <v>1.2679264352402317E-2</v>
      </c>
      <c r="W69" s="2"/>
      <c r="X69" s="6">
        <f t="shared" si="33"/>
        <v>-8199.5999999999985</v>
      </c>
      <c r="Y69" s="2"/>
      <c r="Z69" s="7">
        <f t="shared" si="34"/>
        <v>-0.64779438951090706</v>
      </c>
    </row>
    <row r="70" spans="1:26" s="29" customFormat="1" outlineLevel="1" collapsed="1" x14ac:dyDescent="0.25">
      <c r="A70" s="27"/>
      <c r="B70" s="14" t="str">
        <f>CONCATENATE("     ","Advertising/Promo                                 ")</f>
        <v xml:space="preserve">     Advertising/Promo                                 </v>
      </c>
      <c r="C70" s="14"/>
      <c r="D70" s="1">
        <f>SUM(OSRRefD22_2x_0)</f>
        <v>98.24</v>
      </c>
      <c r="E70" s="1"/>
      <c r="F70" s="5">
        <f t="shared" ref="F70:F86" si="35">IF(D$12=0,0,D70/D$12)</f>
        <v>3.0668793544169013E-4</v>
      </c>
      <c r="G70" s="1"/>
      <c r="H70" s="1">
        <f>SUM(OSRRefH22_2x_0)</f>
        <v>140.33000000000001</v>
      </c>
      <c r="I70" s="1"/>
      <c r="J70" s="5">
        <f t="shared" ref="J70:J86" si="36">IF(H$12=0,0,H70/H$12)</f>
        <v>5.4964656233735419E-4</v>
      </c>
      <c r="K70" s="1"/>
      <c r="L70" s="1">
        <f t="shared" ref="L70:L86" si="37">+D70-H70</f>
        <v>-42.090000000000018</v>
      </c>
      <c r="M70" s="1"/>
      <c r="N70" s="5">
        <f t="shared" ref="N70:N86" si="38">IF(H70=0,0,L70/H70)</f>
        <v>-0.29993586545998729</v>
      </c>
      <c r="O70" s="14"/>
      <c r="P70" s="1">
        <f>SUM(OSRRefP22_2x_0)</f>
        <v>800.4</v>
      </c>
      <c r="Q70" s="1"/>
      <c r="R70" s="5">
        <f t="shared" ref="R70:R86" si="39">IF(P$12=0,0,P70/P$12)</f>
        <v>6.7137620916499327E-4</v>
      </c>
      <c r="S70" s="1"/>
      <c r="T70" s="1">
        <f>SUM(OSRRefT22_2x_0)</f>
        <v>467.07</v>
      </c>
      <c r="U70" s="1"/>
      <c r="V70" s="5">
        <f t="shared" ref="V70:V86" si="40">IF(T$12=0,0,T70/T$12)</f>
        <v>4.67864986828319E-4</v>
      </c>
      <c r="W70" s="1"/>
      <c r="X70" s="1">
        <f t="shared" ref="X70:X86" si="41">+P70-T70</f>
        <v>333.33</v>
      </c>
      <c r="Y70" s="1"/>
      <c r="Z70" s="5">
        <f t="shared" ref="Z70:Z86" si="42">IF(T70=0,0,X70/T70)</f>
        <v>0.71366176376132051</v>
      </c>
    </row>
    <row r="71" spans="1:26" s="24" customFormat="1" hidden="1" outlineLevel="2" x14ac:dyDescent="0.25">
      <c r="A71" s="28"/>
      <c r="B71" s="11" t="str">
        <f>CONCATENATE("          ", "6362", " - ", "ADVERTISING EXPENSE")</f>
        <v xml:space="preserve">          6362 - ADVERTISING EXPENSE</v>
      </c>
      <c r="C71" s="11"/>
      <c r="D71" s="6">
        <v>98.24</v>
      </c>
      <c r="E71" s="2"/>
      <c r="F71" s="7">
        <f t="shared" si="35"/>
        <v>3.0668793544169013E-4</v>
      </c>
      <c r="G71" s="2"/>
      <c r="H71" s="6">
        <v>140.33000000000001</v>
      </c>
      <c r="I71" s="2"/>
      <c r="J71" s="7">
        <f t="shared" si="36"/>
        <v>5.4964656233735419E-4</v>
      </c>
      <c r="K71" s="2"/>
      <c r="L71" s="6">
        <f t="shared" si="37"/>
        <v>-42.090000000000018</v>
      </c>
      <c r="M71" s="2"/>
      <c r="N71" s="7">
        <f t="shared" si="38"/>
        <v>-0.29993586545998729</v>
      </c>
      <c r="O71" s="11"/>
      <c r="P71" s="6">
        <v>800.4</v>
      </c>
      <c r="Q71" s="2"/>
      <c r="R71" s="7">
        <f t="shared" si="39"/>
        <v>6.7137620916499327E-4</v>
      </c>
      <c r="S71" s="2"/>
      <c r="T71" s="6">
        <v>467.07</v>
      </c>
      <c r="U71" s="2"/>
      <c r="V71" s="7">
        <f t="shared" si="40"/>
        <v>4.67864986828319E-4</v>
      </c>
      <c r="W71" s="2"/>
      <c r="X71" s="6">
        <f t="shared" si="41"/>
        <v>333.33</v>
      </c>
      <c r="Y71" s="2"/>
      <c r="Z71" s="7">
        <f t="shared" si="42"/>
        <v>0.71366176376132051</v>
      </c>
    </row>
    <row r="72" spans="1:26" s="29" customFormat="1" outlineLevel="1" collapsed="1" x14ac:dyDescent="0.25">
      <c r="A72" s="27"/>
      <c r="B72" s="14" t="str">
        <f>CONCATENATE("     ","Depreciation                                      ")</f>
        <v xml:space="preserve">     Depreciation                                      </v>
      </c>
      <c r="C72" s="14"/>
      <c r="D72" s="1">
        <f>SUM(OSRRefD22_3x_0)</f>
        <v>280.44</v>
      </c>
      <c r="E72" s="1"/>
      <c r="F72" s="5">
        <f t="shared" si="35"/>
        <v>8.7548416750068796E-4</v>
      </c>
      <c r="G72" s="1"/>
      <c r="H72" s="1">
        <f>SUM(OSRRefH22_3x_0)</f>
        <v>280.44</v>
      </c>
      <c r="I72" s="1"/>
      <c r="J72" s="5">
        <f t="shared" si="36"/>
        <v>1.0984314255104938E-3</v>
      </c>
      <c r="K72" s="1"/>
      <c r="L72" s="1">
        <f t="shared" si="37"/>
        <v>0</v>
      </c>
      <c r="M72" s="1"/>
      <c r="N72" s="5">
        <f t="shared" si="38"/>
        <v>0</v>
      </c>
      <c r="O72" s="14"/>
      <c r="P72" s="1">
        <f>SUM(OSRRefP22_3x_0)</f>
        <v>841.32</v>
      </c>
      <c r="Q72" s="1"/>
      <c r="R72" s="5">
        <f t="shared" si="39"/>
        <v>7.0569994039816619E-4</v>
      </c>
      <c r="S72" s="1"/>
      <c r="T72" s="1">
        <f>SUM(OSRRefT22_3x_0)</f>
        <v>841.32</v>
      </c>
      <c r="U72" s="1"/>
      <c r="V72" s="5">
        <f t="shared" si="40"/>
        <v>8.4275198732181771E-4</v>
      </c>
      <c r="W72" s="1"/>
      <c r="X72" s="1">
        <f t="shared" si="41"/>
        <v>0</v>
      </c>
      <c r="Y72" s="1"/>
      <c r="Z72" s="5">
        <f t="shared" si="42"/>
        <v>0</v>
      </c>
    </row>
    <row r="73" spans="1:26" s="24" customFormat="1" hidden="1" outlineLevel="2" x14ac:dyDescent="0.25">
      <c r="A73" s="28"/>
      <c r="B73" s="11" t="str">
        <f>CONCATENATE("          ", "6322", " - ", "EQUIPMENT DEPRECIATION EXPENSE")</f>
        <v xml:space="preserve">          6322 - EQUIPMENT DEPRECIATION EXPENSE</v>
      </c>
      <c r="C73" s="11"/>
      <c r="D73" s="6">
        <v>280.44</v>
      </c>
      <c r="E73" s="2"/>
      <c r="F73" s="7">
        <f t="shared" si="35"/>
        <v>8.7548416750068796E-4</v>
      </c>
      <c r="G73" s="2"/>
      <c r="H73" s="6">
        <v>280.44</v>
      </c>
      <c r="I73" s="2"/>
      <c r="J73" s="7">
        <f t="shared" si="36"/>
        <v>1.0984314255104938E-3</v>
      </c>
      <c r="K73" s="2"/>
      <c r="L73" s="6">
        <f t="shared" si="37"/>
        <v>0</v>
      </c>
      <c r="M73" s="2"/>
      <c r="N73" s="7">
        <f t="shared" si="38"/>
        <v>0</v>
      </c>
      <c r="O73" s="11"/>
      <c r="P73" s="6">
        <v>841.32</v>
      </c>
      <c r="Q73" s="2"/>
      <c r="R73" s="7">
        <f t="shared" si="39"/>
        <v>7.0569994039816619E-4</v>
      </c>
      <c r="S73" s="2"/>
      <c r="T73" s="6">
        <v>841.32</v>
      </c>
      <c r="U73" s="2"/>
      <c r="V73" s="7">
        <f t="shared" si="40"/>
        <v>8.4275198732181771E-4</v>
      </c>
      <c r="W73" s="2"/>
      <c r="X73" s="6">
        <f t="shared" si="41"/>
        <v>0</v>
      </c>
      <c r="Y73" s="2"/>
      <c r="Z73" s="7">
        <f t="shared" si="42"/>
        <v>0</v>
      </c>
    </row>
    <row r="74" spans="1:26" s="29" customFormat="1" outlineLevel="1" collapsed="1" x14ac:dyDescent="0.25">
      <c r="A74" s="27"/>
      <c r="B74" s="14" t="str">
        <f>CONCATENATE("     ","Discounts and Markdowns                           ")</f>
        <v xml:space="preserve">     Discounts and Markdowns                           </v>
      </c>
      <c r="C74" s="14"/>
      <c r="D74" s="1">
        <f>SUM(OSRRefD22_4x_0)</f>
        <v>-3019.66</v>
      </c>
      <c r="E74" s="1"/>
      <c r="F74" s="5">
        <f t="shared" si="35"/>
        <v>-9.4268453902265278E-3</v>
      </c>
      <c r="G74" s="1"/>
      <c r="H74" s="1">
        <f>SUM(OSRRefH22_4x_0)</f>
        <v>21569.38</v>
      </c>
      <c r="I74" s="1"/>
      <c r="J74" s="5">
        <f t="shared" si="36"/>
        <v>8.4483257811929599E-2</v>
      </c>
      <c r="K74" s="1"/>
      <c r="L74" s="1">
        <f t="shared" si="37"/>
        <v>-24589.040000000001</v>
      </c>
      <c r="M74" s="1"/>
      <c r="N74" s="5">
        <f t="shared" si="38"/>
        <v>-1.1399975335406025</v>
      </c>
      <c r="O74" s="14"/>
      <c r="P74" s="1">
        <f>SUM(OSRRefP22_4x_0)</f>
        <v>66999.509999999995</v>
      </c>
      <c r="Q74" s="1"/>
      <c r="R74" s="5">
        <f t="shared" si="39"/>
        <v>5.6199246676301919E-2</v>
      </c>
      <c r="S74" s="1"/>
      <c r="T74" s="1">
        <f>SUM(OSRRefT22_4x_0)</f>
        <v>68512.760000000009</v>
      </c>
      <c r="U74" s="1"/>
      <c r="V74" s="5">
        <f t="shared" si="40"/>
        <v>6.8629373659134144E-2</v>
      </c>
      <c r="W74" s="1"/>
      <c r="X74" s="1">
        <f t="shared" si="41"/>
        <v>-1513.2500000000146</v>
      </c>
      <c r="Y74" s="1"/>
      <c r="Z74" s="5">
        <f t="shared" si="42"/>
        <v>-2.2087126544019162E-2</v>
      </c>
    </row>
    <row r="75" spans="1:26" s="24" customFormat="1" hidden="1" outlineLevel="2" x14ac:dyDescent="0.25">
      <c r="A75" s="28"/>
      <c r="B75" s="11" t="str">
        <f>CONCATENATE("          ", "6382", " - ", "DISCOUNTS/MARK DOWNS")</f>
        <v xml:space="preserve">          6382 - DISCOUNTS/MARK DOWNS</v>
      </c>
      <c r="C75" s="11"/>
      <c r="D75" s="6">
        <v>-3019.66</v>
      </c>
      <c r="E75" s="2"/>
      <c r="F75" s="7">
        <f t="shared" si="35"/>
        <v>-9.4268453902265278E-3</v>
      </c>
      <c r="G75" s="2"/>
      <c r="H75" s="6">
        <v>21569.38</v>
      </c>
      <c r="I75" s="2"/>
      <c r="J75" s="7">
        <f t="shared" si="36"/>
        <v>8.4483257811929599E-2</v>
      </c>
      <c r="K75" s="2"/>
      <c r="L75" s="6">
        <f t="shared" si="37"/>
        <v>-24589.040000000001</v>
      </c>
      <c r="M75" s="2"/>
      <c r="N75" s="7">
        <f t="shared" si="38"/>
        <v>-1.1399975335406025</v>
      </c>
      <c r="O75" s="11"/>
      <c r="P75" s="6">
        <v>66999.509999999995</v>
      </c>
      <c r="Q75" s="2"/>
      <c r="R75" s="7">
        <f t="shared" si="39"/>
        <v>5.6199246676301919E-2</v>
      </c>
      <c r="S75" s="2"/>
      <c r="T75" s="6">
        <v>68512.760000000009</v>
      </c>
      <c r="U75" s="2"/>
      <c r="V75" s="7">
        <f t="shared" si="40"/>
        <v>6.8629373659134144E-2</v>
      </c>
      <c r="W75" s="2"/>
      <c r="X75" s="6">
        <f t="shared" si="41"/>
        <v>-1513.2500000000146</v>
      </c>
      <c r="Y75" s="2"/>
      <c r="Z75" s="7">
        <f t="shared" si="42"/>
        <v>-2.2087126544019162E-2</v>
      </c>
    </row>
    <row r="76" spans="1:26" s="29" customFormat="1" outlineLevel="1" collapsed="1" x14ac:dyDescent="0.25">
      <c r="A76" s="27"/>
      <c r="B76" s="14" t="str">
        <f>CONCATENATE("     ","Employees' Appreciation                           ")</f>
        <v xml:space="preserve">     Employees' Appreciation                           </v>
      </c>
      <c r="C76" s="14"/>
      <c r="D76" s="1">
        <f>SUM(OSRRefD22_5x_0)</f>
        <v>0</v>
      </c>
      <c r="E76" s="1"/>
      <c r="F76" s="5">
        <f t="shared" si="35"/>
        <v>0</v>
      </c>
      <c r="G76" s="1"/>
      <c r="H76" s="1">
        <f>SUM(OSRRefH22_5x_0)</f>
        <v>0</v>
      </c>
      <c r="I76" s="1"/>
      <c r="J76" s="5">
        <f t="shared" si="36"/>
        <v>0</v>
      </c>
      <c r="K76" s="1"/>
      <c r="L76" s="1">
        <f t="shared" si="37"/>
        <v>0</v>
      </c>
      <c r="M76" s="1"/>
      <c r="N76" s="5">
        <f t="shared" si="38"/>
        <v>0</v>
      </c>
      <c r="O76" s="14"/>
      <c r="P76" s="1">
        <f>SUM(OSRRefP22_5x_0)</f>
        <v>0</v>
      </c>
      <c r="Q76" s="1"/>
      <c r="R76" s="5">
        <f t="shared" si="39"/>
        <v>0</v>
      </c>
      <c r="S76" s="1"/>
      <c r="T76" s="1">
        <f>SUM(OSRRefT22_5x_0)</f>
        <v>84.31</v>
      </c>
      <c r="U76" s="1"/>
      <c r="V76" s="5">
        <f t="shared" si="40"/>
        <v>8.4453501701020354E-5</v>
      </c>
      <c r="W76" s="1"/>
      <c r="X76" s="1">
        <f t="shared" si="41"/>
        <v>-84.31</v>
      </c>
      <c r="Y76" s="1"/>
      <c r="Z76" s="5">
        <f t="shared" si="42"/>
        <v>-1</v>
      </c>
    </row>
    <row r="77" spans="1:26" s="24" customFormat="1" hidden="1" outlineLevel="2" x14ac:dyDescent="0.25">
      <c r="A77" s="28"/>
      <c r="B77" s="11" t="str">
        <f>CONCATENATE("          ", "6277", " - ", "EMPLOYEE APPRECIATION")</f>
        <v xml:space="preserve">          6277 - EMPLOYEE APPRECIATION</v>
      </c>
      <c r="C77" s="11"/>
      <c r="D77" s="6"/>
      <c r="E77" s="2"/>
      <c r="F77" s="7">
        <f t="shared" si="35"/>
        <v>0</v>
      </c>
      <c r="G77" s="2"/>
      <c r="H77" s="6"/>
      <c r="I77" s="2"/>
      <c r="J77" s="7">
        <f t="shared" si="36"/>
        <v>0</v>
      </c>
      <c r="K77" s="2"/>
      <c r="L77" s="6">
        <f t="shared" si="37"/>
        <v>0</v>
      </c>
      <c r="M77" s="2"/>
      <c r="N77" s="7">
        <f t="shared" si="38"/>
        <v>0</v>
      </c>
      <c r="O77" s="11"/>
      <c r="P77" s="6"/>
      <c r="Q77" s="2"/>
      <c r="R77" s="7">
        <f t="shared" si="39"/>
        <v>0</v>
      </c>
      <c r="S77" s="2"/>
      <c r="T77" s="6">
        <v>84.31</v>
      </c>
      <c r="U77" s="2"/>
      <c r="V77" s="7">
        <f t="shared" si="40"/>
        <v>8.4453501701020354E-5</v>
      </c>
      <c r="W77" s="2"/>
      <c r="X77" s="6">
        <f t="shared" si="41"/>
        <v>-84.31</v>
      </c>
      <c r="Y77" s="2"/>
      <c r="Z77" s="7">
        <f t="shared" si="42"/>
        <v>-1</v>
      </c>
    </row>
    <row r="78" spans="1:26" s="29" customFormat="1" outlineLevel="1" collapsed="1" x14ac:dyDescent="0.25">
      <c r="A78" s="27"/>
      <c r="B78" s="14" t="str">
        <f>CONCATENATE("     ","Freight out/Postage                               ")</f>
        <v xml:space="preserve">     Freight out/Postage                               </v>
      </c>
      <c r="C78" s="14"/>
      <c r="D78" s="1">
        <f>SUM(OSRRefD22_6x_0)</f>
        <v>5.49</v>
      </c>
      <c r="E78" s="1"/>
      <c r="F78" s="5">
        <f t="shared" si="35"/>
        <v>1.7138810724499992E-5</v>
      </c>
      <c r="G78" s="1"/>
      <c r="H78" s="1">
        <f>SUM(OSRRefH22_6x_0)</f>
        <v>15.17</v>
      </c>
      <c r="I78" s="1"/>
      <c r="J78" s="5">
        <f t="shared" si="36"/>
        <v>5.9418074186971154E-5</v>
      </c>
      <c r="K78" s="1"/>
      <c r="L78" s="1">
        <f t="shared" si="37"/>
        <v>-9.68</v>
      </c>
      <c r="M78" s="1"/>
      <c r="N78" s="5">
        <f t="shared" si="38"/>
        <v>-0.63810151615029664</v>
      </c>
      <c r="O78" s="14"/>
      <c r="P78" s="1">
        <f>SUM(OSRRefP22_6x_0)</f>
        <v>5.49</v>
      </c>
      <c r="Q78" s="1"/>
      <c r="R78" s="5">
        <f t="shared" si="39"/>
        <v>4.6050167270312506E-6</v>
      </c>
      <c r="S78" s="1"/>
      <c r="T78" s="1">
        <f>SUM(OSRRefT22_6x_0)</f>
        <v>47.83</v>
      </c>
      <c r="U78" s="1"/>
      <c r="V78" s="5">
        <f t="shared" si="40"/>
        <v>4.791141010983043E-5</v>
      </c>
      <c r="W78" s="1"/>
      <c r="X78" s="1">
        <f t="shared" si="41"/>
        <v>-42.339999999999996</v>
      </c>
      <c r="Y78" s="1"/>
      <c r="Z78" s="5">
        <f t="shared" si="42"/>
        <v>-0.88521848212418974</v>
      </c>
    </row>
    <row r="79" spans="1:26" s="24" customFormat="1" hidden="1" outlineLevel="2" x14ac:dyDescent="0.25">
      <c r="A79" s="28"/>
      <c r="B79" s="11" t="str">
        <f>CONCATENATE("          ", "6305", " - ", "FREIGHT OUT")</f>
        <v xml:space="preserve">          6305 - FREIGHT OUT</v>
      </c>
      <c r="C79" s="11"/>
      <c r="D79" s="6">
        <v>5.49</v>
      </c>
      <c r="E79" s="2"/>
      <c r="F79" s="7">
        <f t="shared" si="35"/>
        <v>1.7138810724499992E-5</v>
      </c>
      <c r="G79" s="2"/>
      <c r="H79" s="6">
        <v>15.17</v>
      </c>
      <c r="I79" s="2"/>
      <c r="J79" s="7">
        <f t="shared" si="36"/>
        <v>5.9418074186971154E-5</v>
      </c>
      <c r="K79" s="2"/>
      <c r="L79" s="6">
        <f t="shared" si="37"/>
        <v>-9.68</v>
      </c>
      <c r="M79" s="2"/>
      <c r="N79" s="7">
        <f t="shared" si="38"/>
        <v>-0.63810151615029664</v>
      </c>
      <c r="O79" s="11"/>
      <c r="P79" s="6">
        <v>5.49</v>
      </c>
      <c r="Q79" s="2"/>
      <c r="R79" s="7">
        <f t="shared" si="39"/>
        <v>4.6050167270312506E-6</v>
      </c>
      <c r="S79" s="2"/>
      <c r="T79" s="6">
        <v>47.83</v>
      </c>
      <c r="U79" s="2"/>
      <c r="V79" s="7">
        <f t="shared" si="40"/>
        <v>4.791141010983043E-5</v>
      </c>
      <c r="W79" s="2"/>
      <c r="X79" s="6">
        <f t="shared" si="41"/>
        <v>-42.339999999999996</v>
      </c>
      <c r="Y79" s="2"/>
      <c r="Z79" s="7">
        <f t="shared" si="42"/>
        <v>-0.88521848212418974</v>
      </c>
    </row>
    <row r="80" spans="1:26" s="29" customFormat="1" outlineLevel="1" collapsed="1" x14ac:dyDescent="0.25">
      <c r="A80" s="27"/>
      <c r="B80" s="14" t="str">
        <f>CONCATENATE("     ","Inventory Adjustment                              ")</f>
        <v xml:space="preserve">     Inventory Adjustment                              </v>
      </c>
      <c r="C80" s="14"/>
      <c r="D80" s="1">
        <f>SUM(OSRRefD22_7x_0)</f>
        <v>0</v>
      </c>
      <c r="E80" s="1"/>
      <c r="F80" s="5">
        <f t="shared" si="35"/>
        <v>0</v>
      </c>
      <c r="G80" s="1"/>
      <c r="H80" s="1">
        <f>SUM(OSRRefH22_7x_0)</f>
        <v>1250</v>
      </c>
      <c r="I80" s="1"/>
      <c r="J80" s="5">
        <f t="shared" si="36"/>
        <v>4.8960179784913608E-3</v>
      </c>
      <c r="K80" s="1"/>
      <c r="L80" s="1">
        <f t="shared" si="37"/>
        <v>-1250</v>
      </c>
      <c r="M80" s="1"/>
      <c r="N80" s="5">
        <f t="shared" si="38"/>
        <v>-1</v>
      </c>
      <c r="O80" s="14"/>
      <c r="P80" s="1">
        <f>SUM(OSRRefP22_7x_0)</f>
        <v>0</v>
      </c>
      <c r="Q80" s="1"/>
      <c r="R80" s="5">
        <f t="shared" si="39"/>
        <v>0</v>
      </c>
      <c r="S80" s="1"/>
      <c r="T80" s="1">
        <f>SUM(OSRRefT22_7x_0)</f>
        <v>3750</v>
      </c>
      <c r="U80" s="1"/>
      <c r="V80" s="5">
        <f t="shared" si="40"/>
        <v>3.7563827704759378E-3</v>
      </c>
      <c r="W80" s="1"/>
      <c r="X80" s="1">
        <f t="shared" si="41"/>
        <v>-3750</v>
      </c>
      <c r="Y80" s="1"/>
      <c r="Z80" s="5">
        <f t="shared" si="42"/>
        <v>-1</v>
      </c>
    </row>
    <row r="81" spans="1:26" s="24" customFormat="1" hidden="1" outlineLevel="2" x14ac:dyDescent="0.25">
      <c r="A81" s="28"/>
      <c r="B81" s="11" t="str">
        <f>CONCATENATE("          ", "6408", " - ", "INVENTORY ADJUSTMENT")</f>
        <v xml:space="preserve">          6408 - INVENTORY ADJUSTMENT</v>
      </c>
      <c r="C81" s="11"/>
      <c r="D81" s="6"/>
      <c r="E81" s="2"/>
      <c r="F81" s="7">
        <f t="shared" si="35"/>
        <v>0</v>
      </c>
      <c r="G81" s="2"/>
      <c r="H81" s="6">
        <v>1250</v>
      </c>
      <c r="I81" s="2"/>
      <c r="J81" s="7">
        <f t="shared" si="36"/>
        <v>4.8960179784913608E-3</v>
      </c>
      <c r="K81" s="2"/>
      <c r="L81" s="6">
        <f t="shared" si="37"/>
        <v>-1250</v>
      </c>
      <c r="M81" s="2"/>
      <c r="N81" s="7">
        <f t="shared" si="38"/>
        <v>-1</v>
      </c>
      <c r="O81" s="11"/>
      <c r="P81" s="6"/>
      <c r="Q81" s="2"/>
      <c r="R81" s="7">
        <f t="shared" si="39"/>
        <v>0</v>
      </c>
      <c r="S81" s="2"/>
      <c r="T81" s="6">
        <v>3750</v>
      </c>
      <c r="U81" s="2"/>
      <c r="V81" s="7">
        <f t="shared" si="40"/>
        <v>3.7563827704759378E-3</v>
      </c>
      <c r="W81" s="2"/>
      <c r="X81" s="6">
        <f t="shared" si="41"/>
        <v>-3750</v>
      </c>
      <c r="Y81" s="2"/>
      <c r="Z81" s="7">
        <f t="shared" si="42"/>
        <v>-1</v>
      </c>
    </row>
    <row r="82" spans="1:26" s="29" customFormat="1" outlineLevel="1" collapsed="1" x14ac:dyDescent="0.25">
      <c r="A82" s="27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SUM(OSRRefD22_8x_0)</f>
        <v>0</v>
      </c>
      <c r="E82" s="1"/>
      <c r="F82" s="5">
        <f t="shared" si="35"/>
        <v>0</v>
      </c>
      <c r="G82" s="1"/>
      <c r="H82" s="1">
        <f>SUM(OSRRefH22_8x_0)</f>
        <v>0</v>
      </c>
      <c r="I82" s="1"/>
      <c r="J82" s="5">
        <f t="shared" si="36"/>
        <v>0</v>
      </c>
      <c r="K82" s="1"/>
      <c r="L82" s="1">
        <f t="shared" si="37"/>
        <v>0</v>
      </c>
      <c r="M82" s="1"/>
      <c r="N82" s="5">
        <f t="shared" si="38"/>
        <v>0</v>
      </c>
      <c r="O82" s="14"/>
      <c r="P82" s="1">
        <f>SUM(OSRRefP22_8x_0)</f>
        <v>-5000</v>
      </c>
      <c r="Q82" s="1"/>
      <c r="R82" s="5">
        <f t="shared" si="39"/>
        <v>-4.194004305128644E-3</v>
      </c>
      <c r="S82" s="1"/>
      <c r="T82" s="1">
        <f>SUM(OSRRefT22_8x_0)</f>
        <v>0</v>
      </c>
      <c r="U82" s="1"/>
      <c r="V82" s="5">
        <f t="shared" si="40"/>
        <v>0</v>
      </c>
      <c r="W82" s="1"/>
      <c r="X82" s="1">
        <f t="shared" si="41"/>
        <v>-5000</v>
      </c>
      <c r="Y82" s="1"/>
      <c r="Z82" s="5">
        <f t="shared" si="42"/>
        <v>0</v>
      </c>
    </row>
    <row r="83" spans="1:26" s="24" customFormat="1" hidden="1" outlineLevel="2" x14ac:dyDescent="0.25">
      <c r="A83" s="28"/>
      <c r="B83" s="11" t="str">
        <f>CONCATENATE("          ", "6258", " - ", "MEMBERSHIP DUES")</f>
        <v xml:space="preserve">          6258 - MEMBERSHIP DUES</v>
      </c>
      <c r="C83" s="11"/>
      <c r="D83" s="6"/>
      <c r="E83" s="2"/>
      <c r="F83" s="7">
        <f t="shared" si="35"/>
        <v>0</v>
      </c>
      <c r="G83" s="2"/>
      <c r="H83" s="6"/>
      <c r="I83" s="2"/>
      <c r="J83" s="7">
        <f t="shared" si="36"/>
        <v>0</v>
      </c>
      <c r="K83" s="2"/>
      <c r="L83" s="6">
        <f t="shared" si="37"/>
        <v>0</v>
      </c>
      <c r="M83" s="2"/>
      <c r="N83" s="7">
        <f t="shared" si="38"/>
        <v>0</v>
      </c>
      <c r="O83" s="11"/>
      <c r="P83" s="6">
        <v>-5000</v>
      </c>
      <c r="Q83" s="2"/>
      <c r="R83" s="7">
        <f t="shared" si="39"/>
        <v>-4.194004305128644E-3</v>
      </c>
      <c r="S83" s="2"/>
      <c r="T83" s="6"/>
      <c r="U83" s="2"/>
      <c r="V83" s="7">
        <f t="shared" si="40"/>
        <v>0</v>
      </c>
      <c r="W83" s="2"/>
      <c r="X83" s="6">
        <f t="shared" si="41"/>
        <v>-5000</v>
      </c>
      <c r="Y83" s="2"/>
      <c r="Z83" s="7">
        <f t="shared" si="42"/>
        <v>0</v>
      </c>
    </row>
    <row r="84" spans="1:26" s="29" customFormat="1" outlineLevel="1" collapsed="1" x14ac:dyDescent="0.25">
      <c r="A84" s="27"/>
      <c r="B84" s="14" t="str">
        <f>CONCATENATE("     ","Supplies                                          ")</f>
        <v xml:space="preserve">     Supplies                                          </v>
      </c>
      <c r="C84" s="14"/>
      <c r="D84" s="1">
        <f>SUM(OSRRefD22_9x_0)</f>
        <v>600.75</v>
      </c>
      <c r="E84" s="1"/>
      <c r="F84" s="5">
        <f t="shared" si="35"/>
        <v>1.8754354358366792E-3</v>
      </c>
      <c r="G84" s="1"/>
      <c r="H84" s="1">
        <f>SUM(OSRRefH22_9x_0)</f>
        <v>54.19</v>
      </c>
      <c r="I84" s="1"/>
      <c r="J84" s="5">
        <f t="shared" si="36"/>
        <v>2.1225217140355746E-4</v>
      </c>
      <c r="K84" s="1"/>
      <c r="L84" s="1">
        <f t="shared" si="37"/>
        <v>546.55999999999995</v>
      </c>
      <c r="M84" s="1"/>
      <c r="N84" s="5">
        <f t="shared" si="38"/>
        <v>10.085993725779664</v>
      </c>
      <c r="O84" s="14"/>
      <c r="P84" s="1">
        <f>SUM(OSRRefP22_9x_0)</f>
        <v>1364.19</v>
      </c>
      <c r="Q84" s="1"/>
      <c r="R84" s="5">
        <f t="shared" si="39"/>
        <v>1.144283746602689E-3</v>
      </c>
      <c r="S84" s="1"/>
      <c r="T84" s="1">
        <f>SUM(OSRRefT22_9x_0)</f>
        <v>910.68</v>
      </c>
      <c r="U84" s="1"/>
      <c r="V84" s="5">
        <f t="shared" si="40"/>
        <v>9.1223004304454057E-4</v>
      </c>
      <c r="W84" s="1"/>
      <c r="X84" s="1">
        <f t="shared" si="41"/>
        <v>453.5100000000001</v>
      </c>
      <c r="Y84" s="1"/>
      <c r="Z84" s="5">
        <f t="shared" si="42"/>
        <v>0.49799051258400329</v>
      </c>
    </row>
    <row r="85" spans="1:26" s="24" customFormat="1" hidden="1" outlineLevel="2" x14ac:dyDescent="0.25">
      <c r="A85" s="28"/>
      <c r="B85" s="11" t="str">
        <f>CONCATENATE("          ", "6241", " - ", "OFFICE EXPENSE")</f>
        <v xml:space="preserve">          6241 - OFFICE EXPENSE</v>
      </c>
      <c r="C85" s="11"/>
      <c r="D85" s="6">
        <v>242.54</v>
      </c>
      <c r="E85" s="2"/>
      <c r="F85" s="7">
        <f t="shared" si="35"/>
        <v>7.5716705885614348E-4</v>
      </c>
      <c r="G85" s="2"/>
      <c r="H85" s="6"/>
      <c r="I85" s="2"/>
      <c r="J85" s="7">
        <f t="shared" si="36"/>
        <v>0</v>
      </c>
      <c r="K85" s="2"/>
      <c r="L85" s="6">
        <f t="shared" si="37"/>
        <v>242.54</v>
      </c>
      <c r="M85" s="2"/>
      <c r="N85" s="7">
        <f t="shared" si="38"/>
        <v>0</v>
      </c>
      <c r="O85" s="11"/>
      <c r="P85" s="6">
        <v>423.54</v>
      </c>
      <c r="Q85" s="2"/>
      <c r="R85" s="7">
        <f t="shared" si="39"/>
        <v>3.5526571667883716E-4</v>
      </c>
      <c r="S85" s="2"/>
      <c r="T85" s="6">
        <v>724.81</v>
      </c>
      <c r="U85" s="2"/>
      <c r="V85" s="7">
        <f t="shared" si="40"/>
        <v>7.2604367889831051E-4</v>
      </c>
      <c r="W85" s="2"/>
      <c r="X85" s="6">
        <f t="shared" si="41"/>
        <v>-301.26999999999992</v>
      </c>
      <c r="Y85" s="2"/>
      <c r="Z85" s="7">
        <f t="shared" si="42"/>
        <v>-0.41565375753645778</v>
      </c>
    </row>
    <row r="86" spans="1:26" s="24" customFormat="1" hidden="1" outlineLevel="2" x14ac:dyDescent="0.25">
      <c r="A86" s="28"/>
      <c r="B86" s="11" t="str">
        <f>CONCATENATE("          ", "6247", " - ", "STORE SUPPLIES")</f>
        <v xml:space="preserve">          6247 - STORE SUPPLIES</v>
      </c>
      <c r="C86" s="11"/>
      <c r="D86" s="6">
        <v>358.21</v>
      </c>
      <c r="E86" s="2"/>
      <c r="F86" s="7">
        <f t="shared" si="35"/>
        <v>1.1182683769805357E-3</v>
      </c>
      <c r="G86" s="2"/>
      <c r="H86" s="6">
        <v>54.19</v>
      </c>
      <c r="I86" s="2"/>
      <c r="J86" s="7">
        <f t="shared" si="36"/>
        <v>2.1225217140355746E-4</v>
      </c>
      <c r="K86" s="2"/>
      <c r="L86" s="6">
        <f t="shared" si="37"/>
        <v>304.02</v>
      </c>
      <c r="M86" s="2"/>
      <c r="N86" s="7">
        <f t="shared" si="38"/>
        <v>5.6102601956080456</v>
      </c>
      <c r="O86" s="11"/>
      <c r="P86" s="6">
        <v>940.65</v>
      </c>
      <c r="Q86" s="2"/>
      <c r="R86" s="7">
        <f t="shared" si="39"/>
        <v>7.8901802992385175E-4</v>
      </c>
      <c r="S86" s="2"/>
      <c r="T86" s="6">
        <v>185.87</v>
      </c>
      <c r="U86" s="2"/>
      <c r="V86" s="7">
        <f t="shared" si="40"/>
        <v>1.8618636414623004E-4</v>
      </c>
      <c r="W86" s="2"/>
      <c r="X86" s="6">
        <f t="shared" si="41"/>
        <v>754.78</v>
      </c>
      <c r="Y86" s="2"/>
      <c r="Z86" s="7">
        <f t="shared" si="42"/>
        <v>4.0607951794264805</v>
      </c>
    </row>
    <row r="87" spans="1:26" s="29" customFormat="1" outlineLevel="1" collapsed="1" x14ac:dyDescent="0.25">
      <c r="A87" s="27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SUM(OSRRefD22_10x_0)</f>
        <v>330</v>
      </c>
      <c r="E87" s="1"/>
      <c r="F87" s="5">
        <f t="shared" ref="F87:F88" si="43">IF(D$12=0,0,D87/D$12)</f>
        <v>1.0302017375382509E-3</v>
      </c>
      <c r="G87" s="1"/>
      <c r="H87" s="1">
        <f>SUM(OSRRefH22_10x_0)</f>
        <v>340</v>
      </c>
      <c r="I87" s="1"/>
      <c r="J87" s="5">
        <f t="shared" ref="J87:J88" si="44">IF(H$12=0,0,H87/H$12)</f>
        <v>1.3317168901496501E-3</v>
      </c>
      <c r="K87" s="1"/>
      <c r="L87" s="1">
        <f t="shared" ref="L87:L88" si="45">+D87-H87</f>
        <v>-10</v>
      </c>
      <c r="M87" s="1"/>
      <c r="N87" s="5">
        <f t="shared" ref="N87:N88" si="46">IF(H87=0,0,L87/H87)</f>
        <v>-2.9411764705882353E-2</v>
      </c>
      <c r="O87" s="14"/>
      <c r="P87" s="1">
        <f>SUM(OSRRefP22_10x_0)</f>
        <v>761.3</v>
      </c>
      <c r="Q87" s="1"/>
      <c r="R87" s="5">
        <f t="shared" ref="R87:R88" si="47">IF(P$12=0,0,P87/P$12)</f>
        <v>6.3857909549888724E-4</v>
      </c>
      <c r="S87" s="1"/>
      <c r="T87" s="1">
        <f>SUM(OSRRefT22_10x_0)</f>
        <v>1292.55</v>
      </c>
      <c r="U87" s="1"/>
      <c r="V87" s="5">
        <f t="shared" ref="V87:V88" si="48">IF(T$12=0,0,T87/T$12)</f>
        <v>1.2947500133276462E-3</v>
      </c>
      <c r="W87" s="1"/>
      <c r="X87" s="1">
        <f t="shared" ref="X87:X88" si="49">+P87-T87</f>
        <v>-531.25</v>
      </c>
      <c r="Y87" s="1"/>
      <c r="Z87" s="5">
        <f t="shared" ref="Z87:Z88" si="50">IF(T87=0,0,X87/T87)</f>
        <v>-0.41100924529031763</v>
      </c>
    </row>
    <row r="88" spans="1:26" s="24" customFormat="1" hidden="1" outlineLevel="2" x14ac:dyDescent="0.25">
      <c r="A88" s="28"/>
      <c r="B88" s="11" t="str">
        <f>CONCATENATE("          ", "6309", " - ", "TELEPHONE")</f>
        <v xml:space="preserve">          6309 - TELEPHONE</v>
      </c>
      <c r="C88" s="11"/>
      <c r="D88" s="6">
        <v>330</v>
      </c>
      <c r="E88" s="2"/>
      <c r="F88" s="7">
        <f t="shared" si="43"/>
        <v>1.0302017375382509E-3</v>
      </c>
      <c r="G88" s="2"/>
      <c r="H88" s="6">
        <v>340</v>
      </c>
      <c r="I88" s="2"/>
      <c r="J88" s="7">
        <f t="shared" si="44"/>
        <v>1.3317168901496501E-3</v>
      </c>
      <c r="K88" s="2"/>
      <c r="L88" s="6">
        <f t="shared" si="45"/>
        <v>-10</v>
      </c>
      <c r="M88" s="2"/>
      <c r="N88" s="7">
        <f t="shared" si="46"/>
        <v>-2.9411764705882353E-2</v>
      </c>
      <c r="O88" s="11"/>
      <c r="P88" s="6">
        <v>761.3</v>
      </c>
      <c r="Q88" s="2"/>
      <c r="R88" s="7">
        <f t="shared" si="47"/>
        <v>6.3857909549888724E-4</v>
      </c>
      <c r="S88" s="2"/>
      <c r="T88" s="6">
        <v>1292.55</v>
      </c>
      <c r="U88" s="2"/>
      <c r="V88" s="7">
        <f t="shared" si="48"/>
        <v>1.2947500133276462E-3</v>
      </c>
      <c r="W88" s="2"/>
      <c r="X88" s="6">
        <f t="shared" si="49"/>
        <v>-531.25</v>
      </c>
      <c r="Y88" s="2"/>
      <c r="Z88" s="7">
        <f t="shared" si="50"/>
        <v>-0.41100924529031763</v>
      </c>
    </row>
    <row r="89" spans="1:26" s="53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collapsed="1" x14ac:dyDescent="0.25">
      <c r="A90" s="10"/>
      <c r="B90" s="25" t="s">
        <v>0</v>
      </c>
      <c r="C90" s="10"/>
      <c r="D90" s="4">
        <f>SUM(OSRRefD25x_0)</f>
        <v>5155.6499999999996</v>
      </c>
      <c r="E90" s="4"/>
      <c r="F90" s="12">
        <f t="shared" ref="F90:F93" si="51">IF(D$12=0,0,D90/D$12)</f>
        <v>1.6095029054966917E-2</v>
      </c>
      <c r="G90" s="4"/>
      <c r="H90" s="4">
        <f>SUM(OSRRefH25x_0)</f>
        <v>2931.75</v>
      </c>
      <c r="I90" s="4"/>
      <c r="J90" s="12">
        <f t="shared" ref="J90:J93" si="52">IF(H$12=0,0,H90/H$12)</f>
        <v>1.1483120566753637E-2</v>
      </c>
      <c r="K90" s="4"/>
      <c r="L90" s="4">
        <f t="shared" ref="L90:L93" si="53">+D90-H90</f>
        <v>2223.8999999999996</v>
      </c>
      <c r="M90" s="4"/>
      <c r="N90" s="12">
        <f t="shared" ref="N90:N93" si="54">IF(H90=0,0,L90/H90)</f>
        <v>0.75855717574827308</v>
      </c>
      <c r="O90" s="10"/>
      <c r="P90" s="4">
        <f>SUM(OSRRefP25x_0)</f>
        <v>2146.1100000000006</v>
      </c>
      <c r="Q90" s="4"/>
      <c r="R90" s="12">
        <f t="shared" ref="R90:R93" si="55">IF(P$12=0,0,P90/P$12)</f>
        <v>1.8001589158559272E-3</v>
      </c>
      <c r="S90" s="4"/>
      <c r="T90" s="4">
        <f>SUM(OSRRefT25x_0)</f>
        <v>3181.25</v>
      </c>
      <c r="U90" s="4"/>
      <c r="V90" s="12">
        <f t="shared" ref="V90:V93" si="56">IF(T$12=0,0,T90/T$12)</f>
        <v>3.1866647169537538E-3</v>
      </c>
      <c r="W90" s="4"/>
      <c r="X90" s="4">
        <f t="shared" ref="X90:X93" si="57">+P90-T90</f>
        <v>-1035.1399999999994</v>
      </c>
      <c r="Y90" s="4"/>
      <c r="Z90" s="12">
        <f t="shared" ref="Z90:Z93" si="58">IF(T90=0,0,X90/T90)</f>
        <v>-0.3253878192534379</v>
      </c>
    </row>
    <row r="91" spans="1:26" s="24" customFormat="1" hidden="1" outlineLevel="1" x14ac:dyDescent="0.25">
      <c r="A91" s="44"/>
      <c r="B91" s="11" t="str">
        <f>CONCATENATE("          ", "4187", " - ", "NON-TAXABLE SALES-COMPUTER REP")</f>
        <v xml:space="preserve">          4187 - NON-TAXABLE SALES-COMPUTER REP</v>
      </c>
      <c r="C91" s="11"/>
      <c r="D91" s="2">
        <f>--4892.54</f>
        <v>4892.54</v>
      </c>
      <c r="E91" s="2"/>
      <c r="F91" s="19">
        <f t="shared" si="51"/>
        <v>1.5273646087804222E-2</v>
      </c>
      <c r="G91" s="2"/>
      <c r="H91" s="2">
        <f>--3252.66</f>
        <v>3252.66</v>
      </c>
      <c r="I91" s="2"/>
      <c r="J91" s="19">
        <f t="shared" si="52"/>
        <v>1.2740065470335767E-2</v>
      </c>
      <c r="K91" s="2"/>
      <c r="L91" s="2">
        <f t="shared" si="53"/>
        <v>1639.88</v>
      </c>
      <c r="M91" s="2"/>
      <c r="N91" s="19">
        <f t="shared" si="54"/>
        <v>0.50416582120479858</v>
      </c>
      <c r="O91" s="11"/>
      <c r="P91" s="2">
        <f>--7374.8</f>
        <v>7374.8</v>
      </c>
      <c r="Q91" s="2"/>
      <c r="R91" s="19">
        <f t="shared" si="55"/>
        <v>6.1859885898925444E-3</v>
      </c>
      <c r="S91" s="2"/>
      <c r="T91" s="2">
        <f>--4001.34</f>
        <v>4001.34</v>
      </c>
      <c r="U91" s="2"/>
      <c r="V91" s="19">
        <f t="shared" si="56"/>
        <v>4.008150569284317E-3</v>
      </c>
      <c r="W91" s="2"/>
      <c r="X91" s="2">
        <f t="shared" si="57"/>
        <v>3373.46</v>
      </c>
      <c r="Y91" s="2"/>
      <c r="Z91" s="19">
        <f t="shared" si="58"/>
        <v>0.84308256733994114</v>
      </c>
    </row>
    <row r="92" spans="1:26" s="24" customFormat="1" hidden="1" outlineLevel="1" x14ac:dyDescent="0.25">
      <c r="A92" s="44"/>
      <c r="B92" s="11" t="str">
        <f>CONCATENATE("          ", "4387", " - ", "SALES RETURN NON TAXABLE-COMPU")</f>
        <v xml:space="preserve">          4387 - SALES RETURN NON TAXABLE-COMPU</v>
      </c>
      <c r="C92" s="11"/>
      <c r="D92" s="2">
        <f>-2989.2</f>
        <v>-2989.2</v>
      </c>
      <c r="E92" s="2"/>
      <c r="F92" s="19">
        <f t="shared" si="51"/>
        <v>-9.3317546480283006E-3</v>
      </c>
      <c r="G92" s="2"/>
      <c r="H92" s="2">
        <f>0</f>
        <v>0</v>
      </c>
      <c r="I92" s="2"/>
      <c r="J92" s="19">
        <f t="shared" si="52"/>
        <v>0</v>
      </c>
      <c r="K92" s="2"/>
      <c r="L92" s="2">
        <f t="shared" si="53"/>
        <v>-2989.2</v>
      </c>
      <c r="M92" s="2"/>
      <c r="N92" s="19">
        <f t="shared" si="54"/>
        <v>0</v>
      </c>
      <c r="O92" s="11"/>
      <c r="P92" s="2">
        <f>-6440.7</f>
        <v>-6440.7</v>
      </c>
      <c r="Q92" s="2"/>
      <c r="R92" s="19">
        <f t="shared" si="55"/>
        <v>-5.4024647056084112E-3</v>
      </c>
      <c r="S92" s="2"/>
      <c r="T92" s="2">
        <f>0</f>
        <v>0</v>
      </c>
      <c r="U92" s="2"/>
      <c r="V92" s="19">
        <f t="shared" si="56"/>
        <v>0</v>
      </c>
      <c r="W92" s="2"/>
      <c r="X92" s="2">
        <f t="shared" si="57"/>
        <v>-6440.7</v>
      </c>
      <c r="Y92" s="2"/>
      <c r="Z92" s="19">
        <f t="shared" si="58"/>
        <v>0</v>
      </c>
    </row>
    <row r="93" spans="1:26" s="24" customFormat="1" hidden="1" outlineLevel="1" x14ac:dyDescent="0.25">
      <c r="A93" s="44"/>
      <c r="B93" s="11" t="str">
        <f>CONCATENATE("          ", "9150", " - ", "MISC. INCOME")</f>
        <v xml:space="preserve">          9150 - MISC. INCOME</v>
      </c>
      <c r="C93" s="11"/>
      <c r="D93" s="2">
        <f>--3252.31</f>
        <v>3252.31</v>
      </c>
      <c r="E93" s="2"/>
      <c r="F93" s="19">
        <f t="shared" si="51"/>
        <v>1.0153137615190995E-2</v>
      </c>
      <c r="G93" s="2"/>
      <c r="H93" s="2">
        <f>-320.91</f>
        <v>-320.91000000000003</v>
      </c>
      <c r="I93" s="2"/>
      <c r="J93" s="19">
        <f t="shared" si="52"/>
        <v>-1.2569449035821302E-3</v>
      </c>
      <c r="K93" s="2"/>
      <c r="L93" s="2">
        <f t="shared" si="53"/>
        <v>3573.22</v>
      </c>
      <c r="M93" s="2"/>
      <c r="N93" s="19">
        <f t="shared" si="54"/>
        <v>-11.134648343772396</v>
      </c>
      <c r="O93" s="11"/>
      <c r="P93" s="2">
        <f>--1212.01</f>
        <v>1212.01</v>
      </c>
      <c r="Q93" s="2"/>
      <c r="R93" s="19">
        <f t="shared" si="55"/>
        <v>1.0166350315717935E-3</v>
      </c>
      <c r="S93" s="2"/>
      <c r="T93" s="2">
        <f>-820.09</f>
        <v>-820.09</v>
      </c>
      <c r="U93" s="2"/>
      <c r="V93" s="19">
        <f t="shared" si="56"/>
        <v>-8.2148585233056317E-4</v>
      </c>
      <c r="W93" s="2"/>
      <c r="X93" s="2">
        <f t="shared" si="57"/>
        <v>2032.1</v>
      </c>
      <c r="Y93" s="2"/>
      <c r="Z93" s="19">
        <f t="shared" si="58"/>
        <v>-2.4778987672084769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6" t="s">
        <v>3</v>
      </c>
      <c r="C95" s="26"/>
      <c r="D95" s="21">
        <f>+D52-D54+D90</f>
        <v>34417.529999999912</v>
      </c>
      <c r="E95" s="13"/>
      <c r="F95" s="20">
        <f>IF(D$12=0,0,D95/D$12)</f>
        <v>0.10744545214477207</v>
      </c>
      <c r="G95" s="13"/>
      <c r="H95" s="21">
        <f>+H52-H54+H90</f>
        <v>5243.1500000000524</v>
      </c>
      <c r="I95" s="13"/>
      <c r="J95" s="20">
        <f>IF(H$12=0,0,H95/H$12)</f>
        <v>2.0536445331141788E-2</v>
      </c>
      <c r="K95" s="15"/>
      <c r="L95" s="21">
        <f>+D95-H95</f>
        <v>29174.379999999859</v>
      </c>
      <c r="M95" s="15"/>
      <c r="N95" s="20">
        <f>IF(H95=0,0,L95/H95)</f>
        <v>5.5642848287765121</v>
      </c>
      <c r="O95" s="25"/>
      <c r="P95" s="21">
        <f>+P52-P54+P90</f>
        <v>15970.819999999716</v>
      </c>
      <c r="Q95" s="13"/>
      <c r="R95" s="20">
        <f>IF(P$12=0,0,P95/P$12)</f>
        <v>1.3396337567286691E-2</v>
      </c>
      <c r="S95" s="13"/>
      <c r="T95" s="21">
        <f>+T52-T54+T90</f>
        <v>26915.999999999811</v>
      </c>
      <c r="U95" s="13"/>
      <c r="V95" s="20">
        <f>IF(T$12=0,0,T95/T$12)</f>
        <v>2.6961812973367902E-2</v>
      </c>
      <c r="W95" s="15"/>
      <c r="X95" s="21">
        <f>+P95-T95</f>
        <v>-10945.180000000095</v>
      </c>
      <c r="Y95" s="15"/>
      <c r="Z95" s="20">
        <f>IF(T95=0,0,X95/T95)</f>
        <v>-0.4066421459355094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1"/>
      <c r="B97" s="10" t="s">
        <v>13</v>
      </c>
      <c r="C97" s="10"/>
      <c r="D97" s="4">
        <v>19351.62</v>
      </c>
      <c r="E97" s="4"/>
      <c r="F97" s="12">
        <f>IF(D$12=0,0,D97/D$12)</f>
        <v>6.0412341055090794E-2</v>
      </c>
      <c r="G97" s="4"/>
      <c r="H97" s="4">
        <v>12840.23</v>
      </c>
      <c r="I97" s="4"/>
      <c r="J97" s="12">
        <f>IF(H$12=0,0,H97/H$12)</f>
        <v>5.0292797542371301E-2</v>
      </c>
      <c r="K97" s="4"/>
      <c r="L97" s="4">
        <f>+D97-H97</f>
        <v>6511.3899999999994</v>
      </c>
      <c r="M97" s="4"/>
      <c r="N97" s="12">
        <f>IF(H97=0,0,L97/H97)</f>
        <v>0.50710851752655517</v>
      </c>
      <c r="O97" s="10"/>
      <c r="P97" s="4">
        <v>128055.71999999999</v>
      </c>
      <c r="Q97" s="4"/>
      <c r="R97" s="12">
        <f>IF(P$12=0,0,P97/P$12)</f>
        <v>0.10741324819526962</v>
      </c>
      <c r="S97" s="4"/>
      <c r="T97" s="4">
        <v>88696.14</v>
      </c>
      <c r="U97" s="4"/>
      <c r="V97" s="12">
        <f>IF(T$12=0,0,T97/T$12)</f>
        <v>8.8847107227659108E-2</v>
      </c>
      <c r="W97" s="4"/>
      <c r="X97" s="4">
        <f>+P97-T97</f>
        <v>39359.579999999987</v>
      </c>
      <c r="Y97" s="4"/>
      <c r="Z97" s="12">
        <f>IF(T97=0,0,X97/T97)</f>
        <v>0.4437575299218206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4</v>
      </c>
      <c r="C99" s="26"/>
      <c r="D99" s="35">
        <f>+D95-D97</f>
        <v>15065.909999999913</v>
      </c>
      <c r="E99" s="13"/>
      <c r="F99" s="30">
        <f>IF(D$12=0,0,D99/D$12)</f>
        <v>4.7033111089681265E-2</v>
      </c>
      <c r="G99" s="13"/>
      <c r="H99" s="35">
        <f>+H95-H97</f>
        <v>-7597.0799999999472</v>
      </c>
      <c r="I99" s="13"/>
      <c r="J99" s="30">
        <f>IF(H$12=0,0,H99/H$12)</f>
        <v>-2.9756352211229509E-2</v>
      </c>
      <c r="K99" s="15"/>
      <c r="L99" s="35">
        <f>D99-H99</f>
        <v>22662.98999999986</v>
      </c>
      <c r="M99" s="15"/>
      <c r="N99" s="30">
        <f>IF(H99=0,0,L99/H99)</f>
        <v>-2.9831185139553642</v>
      </c>
      <c r="O99" s="25"/>
      <c r="P99" s="35">
        <f>+P95-P97</f>
        <v>-112084.90000000027</v>
      </c>
      <c r="Q99" s="13"/>
      <c r="R99" s="30">
        <f>IF(P$12=0,0,P99/P$12)</f>
        <v>-9.4016910627982925E-2</v>
      </c>
      <c r="S99" s="13"/>
      <c r="T99" s="35">
        <f>+T95-T97</f>
        <v>-61780.140000000189</v>
      </c>
      <c r="U99" s="13"/>
      <c r="V99" s="30">
        <f>IF(T$12=0,0,T99/T$12)</f>
        <v>-6.1885294254291207E-2</v>
      </c>
      <c r="W99" s="15"/>
      <c r="X99" s="35">
        <f>P99-T99</f>
        <v>-50304.760000000082</v>
      </c>
      <c r="Y99" s="15"/>
      <c r="Z99" s="30">
        <f>IF(T99=0,0,X99/T99)</f>
        <v>0.81425454846816359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6" t="s">
        <v>5</v>
      </c>
      <c r="C102" s="26"/>
      <c r="D102" s="36">
        <f>SUM(D99:D101)</f>
        <v>15065.909999999913</v>
      </c>
      <c r="E102" s="13"/>
      <c r="F102" s="31">
        <f>IF(D$12=0,0,D102/D$12)</f>
        <v>4.7033111089681265E-2</v>
      </c>
      <c r="G102" s="13"/>
      <c r="H102" s="36">
        <f>SUM(H99:H101)</f>
        <v>-7597.0799999999472</v>
      </c>
      <c r="I102" s="13"/>
      <c r="J102" s="31">
        <f>IF(H$12=0,0,H102/H$12)</f>
        <v>-2.9756352211229509E-2</v>
      </c>
      <c r="K102" s="15"/>
      <c r="L102" s="36">
        <f>+D102-H102</f>
        <v>22662.98999999986</v>
      </c>
      <c r="M102" s="15"/>
      <c r="N102" s="31">
        <f>IF(H102=0,0,L102/H102)</f>
        <v>-2.9831185139553642</v>
      </c>
      <c r="O102" s="25"/>
      <c r="P102" s="36">
        <f>SUM(P99:P101)</f>
        <v>-112084.90000000027</v>
      </c>
      <c r="Q102" s="13"/>
      <c r="R102" s="31">
        <f>IF(P$12=0,0,P102/P$12)</f>
        <v>-9.4016910627982925E-2</v>
      </c>
      <c r="S102" s="13"/>
      <c r="T102" s="36">
        <f>SUM(T99:T101)</f>
        <v>-61780.140000000189</v>
      </c>
      <c r="U102" s="13"/>
      <c r="V102" s="31">
        <f>IF(T$12=0,0,T102/T$12)</f>
        <v>-6.1885294254291207E-2</v>
      </c>
      <c r="W102" s="15"/>
      <c r="X102" s="36">
        <f>+P102-T102</f>
        <v>-50304.760000000082</v>
      </c>
      <c r="Y102" s="15"/>
      <c r="Z102" s="31">
        <f>IF(T102=0,0,X102/T102)</f>
        <v>0.81425454846816359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A104" s="9"/>
      <c r="B104" s="55">
        <v>43756.462702349534</v>
      </c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A105" s="9"/>
      <c r="B105" s="56" t="s">
        <v>313</v>
      </c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57"/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","317", " - ", "Computer Store")</f>
        <v>Department 317 - Computer Store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320325.60999999993</v>
      </c>
      <c r="E12" s="4"/>
      <c r="F12" s="12"/>
      <c r="G12" s="4"/>
      <c r="H12" s="4">
        <f>SUM(OSRRefH13x_0)</f>
        <v>255309.52000000008</v>
      </c>
      <c r="I12" s="4"/>
      <c r="J12" s="12"/>
      <c r="K12" s="4"/>
      <c r="L12" s="4">
        <f t="shared" ref="L12:L35" si="0">+D12-H12</f>
        <v>65016.089999999851</v>
      </c>
      <c r="M12" s="4"/>
      <c r="N12" s="12">
        <f t="shared" ref="N12:N35" si="1">IF(H12=0,0,L12/H12)</f>
        <v>0.2546559564249693</v>
      </c>
      <c r="O12" s="10"/>
      <c r="P12" s="4">
        <f>SUM(OSRRefP13x_0)</f>
        <v>1192178.0799999998</v>
      </c>
      <c r="Q12" s="4"/>
      <c r="R12" s="12"/>
      <c r="S12" s="4"/>
      <c r="T12" s="4">
        <f>SUM(OSRRefT13x_0)</f>
        <v>998300.81999999983</v>
      </c>
      <c r="U12" s="4"/>
      <c r="V12" s="12"/>
      <c r="W12" s="4"/>
      <c r="X12" s="4">
        <f t="shared" ref="X12:X35" si="2">+P12-T12</f>
        <v>193877.26</v>
      </c>
      <c r="Y12" s="4"/>
      <c r="Z12" s="12">
        <f t="shared" ref="Z12:Z35" si="3">IF(T12=0,0,X12/T12)</f>
        <v>0.19420725308028899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--79257.39</f>
        <v>79257.39</v>
      </c>
      <c r="E13" s="2"/>
      <c r="F13" s="19"/>
      <c r="G13" s="2"/>
      <c r="H13" s="2">
        <f>--58597.38</f>
        <v>58597.38</v>
      </c>
      <c r="I13" s="2"/>
      <c r="J13" s="19"/>
      <c r="K13" s="2"/>
      <c r="L13" s="2">
        <f t="shared" si="0"/>
        <v>20660.010000000002</v>
      </c>
      <c r="M13" s="2"/>
      <c r="N13" s="19">
        <f t="shared" si="1"/>
        <v>0.35257566123263534</v>
      </c>
      <c r="O13" s="11"/>
      <c r="P13" s="2">
        <f>--188677.32</f>
        <v>188677.32</v>
      </c>
      <c r="Q13" s="2"/>
      <c r="R13" s="19"/>
      <c r="S13" s="2"/>
      <c r="T13" s="2">
        <f>--137372.23</f>
        <v>137372.23000000001</v>
      </c>
      <c r="U13" s="2"/>
      <c r="V13" s="19"/>
      <c r="W13" s="2"/>
      <c r="X13" s="2">
        <f t="shared" si="2"/>
        <v>51305.09</v>
      </c>
      <c r="Y13" s="2"/>
      <c r="Z13" s="19">
        <f t="shared" si="3"/>
        <v>0.37347497379928968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--225219.71</f>
        <v>225219.71</v>
      </c>
      <c r="E14" s="2"/>
      <c r="F14" s="19"/>
      <c r="G14" s="2"/>
      <c r="H14" s="2">
        <f>--164995.16</f>
        <v>164995.16</v>
      </c>
      <c r="I14" s="2"/>
      <c r="J14" s="19"/>
      <c r="K14" s="2"/>
      <c r="L14" s="2">
        <f t="shared" si="0"/>
        <v>60224.549999999988</v>
      </c>
      <c r="M14" s="2"/>
      <c r="N14" s="19">
        <f t="shared" si="1"/>
        <v>0.36500797962800841</v>
      </c>
      <c r="O14" s="11"/>
      <c r="P14" s="2">
        <f>--1038754.49</f>
        <v>1038754.49</v>
      </c>
      <c r="Q14" s="2"/>
      <c r="R14" s="19"/>
      <c r="S14" s="2"/>
      <c r="T14" s="2">
        <f>--758190.97</f>
        <v>758190.97</v>
      </c>
      <c r="U14" s="2"/>
      <c r="V14" s="19"/>
      <c r="W14" s="2"/>
      <c r="X14" s="2">
        <f t="shared" si="2"/>
        <v>280563.52</v>
      </c>
      <c r="Y14" s="2"/>
      <c r="Z14" s="19">
        <f t="shared" si="3"/>
        <v>0.37004334145525369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--17378.42</f>
        <v>17378.419999999998</v>
      </c>
      <c r="E15" s="2"/>
      <c r="F15" s="19"/>
      <c r="G15" s="2"/>
      <c r="H15" s="2">
        <f>--12494.81</f>
        <v>12494.81</v>
      </c>
      <c r="I15" s="2"/>
      <c r="J15" s="19"/>
      <c r="K15" s="2"/>
      <c r="L15" s="2">
        <f t="shared" si="0"/>
        <v>4883.6099999999988</v>
      </c>
      <c r="M15" s="2"/>
      <c r="N15" s="19">
        <f t="shared" si="1"/>
        <v>0.39085108136898433</v>
      </c>
      <c r="O15" s="11"/>
      <c r="P15" s="2">
        <f>--40956.21</f>
        <v>40956.21</v>
      </c>
      <c r="Q15" s="2"/>
      <c r="R15" s="19"/>
      <c r="S15" s="2"/>
      <c r="T15" s="2">
        <f>--36933.07</f>
        <v>36933.07</v>
      </c>
      <c r="U15" s="2"/>
      <c r="V15" s="19"/>
      <c r="W15" s="2"/>
      <c r="X15" s="2">
        <f t="shared" si="2"/>
        <v>4023.1399999999994</v>
      </c>
      <c r="Y15" s="2"/>
      <c r="Z15" s="19">
        <f t="shared" si="3"/>
        <v>0.10893056006446254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 t="shared" ref="D16:D17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--129</f>
        <v>129</v>
      </c>
      <c r="Q16" s="2"/>
      <c r="R16" s="19"/>
      <c r="S16" s="2"/>
      <c r="T16" s="2">
        <f>--278.99</f>
        <v>278.99</v>
      </c>
      <c r="U16" s="2"/>
      <c r="V16" s="19"/>
      <c r="W16" s="2"/>
      <c r="X16" s="2">
        <f t="shared" si="2"/>
        <v>-149.99</v>
      </c>
      <c r="Y16" s="2"/>
      <c r="Z16" s="19">
        <f t="shared" si="3"/>
        <v>-0.53761783576472277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--2530.89</f>
        <v>2530.89</v>
      </c>
      <c r="I17" s="2"/>
      <c r="J17" s="19"/>
      <c r="K17" s="2"/>
      <c r="L17" s="2">
        <f t="shared" si="0"/>
        <v>-2530.89</v>
      </c>
      <c r="M17" s="2"/>
      <c r="N17" s="19">
        <f t="shared" si="1"/>
        <v>-1</v>
      </c>
      <c r="O17" s="11"/>
      <c r="P17" s="2">
        <f>--493.95</f>
        <v>493.95</v>
      </c>
      <c r="Q17" s="2"/>
      <c r="R17" s="19"/>
      <c r="S17" s="2"/>
      <c r="T17" s="2">
        <f>--7507.84</f>
        <v>7507.84</v>
      </c>
      <c r="U17" s="2"/>
      <c r="V17" s="19"/>
      <c r="W17" s="2"/>
      <c r="X17" s="2">
        <f t="shared" si="2"/>
        <v>-7013.89</v>
      </c>
      <c r="Y17" s="2"/>
      <c r="Z17" s="19">
        <f t="shared" si="3"/>
        <v>-0.93420877376182765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--10424.61</f>
        <v>10424.61</v>
      </c>
      <c r="E18" s="2"/>
      <c r="F18" s="19"/>
      <c r="G18" s="2"/>
      <c r="H18" s="2">
        <f>--10530.69</f>
        <v>10530.69</v>
      </c>
      <c r="I18" s="2"/>
      <c r="J18" s="19"/>
      <c r="K18" s="2"/>
      <c r="L18" s="2">
        <f t="shared" si="0"/>
        <v>-106.07999999999993</v>
      </c>
      <c r="M18" s="2"/>
      <c r="N18" s="19">
        <f t="shared" si="1"/>
        <v>-1.0073413992815278E-2</v>
      </c>
      <c r="O18" s="11"/>
      <c r="P18" s="2">
        <f>--19983.21</f>
        <v>19983.21</v>
      </c>
      <c r="Q18" s="2"/>
      <c r="R18" s="19"/>
      <c r="S18" s="2"/>
      <c r="T18" s="2">
        <f>--24318.09</f>
        <v>24318.09</v>
      </c>
      <c r="U18" s="2"/>
      <c r="V18" s="19"/>
      <c r="W18" s="2"/>
      <c r="X18" s="2">
        <f t="shared" si="2"/>
        <v>-4334.880000000001</v>
      </c>
      <c r="Y18" s="2"/>
      <c r="Z18" s="19">
        <f t="shared" si="3"/>
        <v>-0.17825742071026141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--16.99</f>
        <v>16.989999999999998</v>
      </c>
      <c r="E19" s="2"/>
      <c r="F19" s="19"/>
      <c r="G19" s="2"/>
      <c r="H19" s="2">
        <f>--108.98</f>
        <v>108.98</v>
      </c>
      <c r="I19" s="2"/>
      <c r="J19" s="19"/>
      <c r="K19" s="2"/>
      <c r="L19" s="2">
        <f t="shared" si="0"/>
        <v>-91.990000000000009</v>
      </c>
      <c r="M19" s="2"/>
      <c r="N19" s="19">
        <f t="shared" si="1"/>
        <v>-0.84409983483207929</v>
      </c>
      <c r="O19" s="11"/>
      <c r="P19" s="2">
        <f>--535.96</f>
        <v>535.96</v>
      </c>
      <c r="Q19" s="2"/>
      <c r="R19" s="19"/>
      <c r="S19" s="2"/>
      <c r="T19" s="2">
        <f>--797.91</f>
        <v>797.91</v>
      </c>
      <c r="U19" s="2"/>
      <c r="V19" s="19"/>
      <c r="W19" s="2"/>
      <c r="X19" s="2">
        <f t="shared" si="2"/>
        <v>-261.94999999999993</v>
      </c>
      <c r="Y19" s="2"/>
      <c r="Z19" s="19">
        <f t="shared" si="3"/>
        <v>-0.32829517113458906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--63.96</f>
        <v>63.96</v>
      </c>
      <c r="E20" s="2"/>
      <c r="F20" s="19"/>
      <c r="G20" s="2"/>
      <c r="H20" s="2">
        <f>--494.95</f>
        <v>494.95</v>
      </c>
      <c r="I20" s="2"/>
      <c r="J20" s="19"/>
      <c r="K20" s="2"/>
      <c r="L20" s="2">
        <f t="shared" si="0"/>
        <v>-430.99</v>
      </c>
      <c r="M20" s="2"/>
      <c r="N20" s="19">
        <f t="shared" si="1"/>
        <v>-0.87077482573997378</v>
      </c>
      <c r="O20" s="11"/>
      <c r="P20" s="2">
        <f>--1454.52</f>
        <v>1454.52</v>
      </c>
      <c r="Q20" s="2"/>
      <c r="R20" s="19"/>
      <c r="S20" s="2"/>
      <c r="T20" s="2">
        <f>--836.92</f>
        <v>836.92</v>
      </c>
      <c r="U20" s="2"/>
      <c r="V20" s="19"/>
      <c r="W20" s="2"/>
      <c r="X20" s="2">
        <f t="shared" si="2"/>
        <v>617.6</v>
      </c>
      <c r="Y20" s="2"/>
      <c r="Z20" s="19">
        <f t="shared" si="3"/>
        <v>0.73794388949959377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--15231</f>
        <v>15231</v>
      </c>
      <c r="E21" s="2"/>
      <c r="F21" s="19"/>
      <c r="G21" s="2"/>
      <c r="H21" s="2">
        <f>--20047.9</f>
        <v>20047.900000000001</v>
      </c>
      <c r="I21" s="2"/>
      <c r="J21" s="19"/>
      <c r="K21" s="2"/>
      <c r="L21" s="2">
        <f t="shared" si="0"/>
        <v>-4816.9000000000015</v>
      </c>
      <c r="M21" s="2"/>
      <c r="N21" s="19">
        <f t="shared" si="1"/>
        <v>-0.24026955441717093</v>
      </c>
      <c r="O21" s="11"/>
      <c r="P21" s="2">
        <f>--45802</f>
        <v>45802</v>
      </c>
      <c r="Q21" s="2"/>
      <c r="R21" s="19"/>
      <c r="S21" s="2"/>
      <c r="T21" s="2">
        <f>--63213.88</f>
        <v>63213.88</v>
      </c>
      <c r="U21" s="2"/>
      <c r="V21" s="19"/>
      <c r="W21" s="2"/>
      <c r="X21" s="2">
        <f t="shared" si="2"/>
        <v>-17411.879999999997</v>
      </c>
      <c r="Y21" s="2"/>
      <c r="Z21" s="19">
        <f t="shared" si="3"/>
        <v>-0.27544393731250161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--864.82</f>
        <v>864.82</v>
      </c>
      <c r="E22" s="2"/>
      <c r="F22" s="19"/>
      <c r="G22" s="2"/>
      <c r="H22" s="2">
        <f>--948.73</f>
        <v>948.73</v>
      </c>
      <c r="I22" s="2"/>
      <c r="J22" s="19"/>
      <c r="K22" s="2"/>
      <c r="L22" s="2">
        <f t="shared" si="0"/>
        <v>-83.909999999999968</v>
      </c>
      <c r="M22" s="2"/>
      <c r="N22" s="19">
        <f t="shared" si="1"/>
        <v>-8.8444552190823492E-2</v>
      </c>
      <c r="O22" s="11"/>
      <c r="P22" s="2">
        <f>--2021.11</f>
        <v>2021.11</v>
      </c>
      <c r="Q22" s="2"/>
      <c r="R22" s="19"/>
      <c r="S22" s="2"/>
      <c r="T22" s="2">
        <f>--1630.45</f>
        <v>1630.45</v>
      </c>
      <c r="U22" s="2"/>
      <c r="V22" s="19"/>
      <c r="W22" s="2"/>
      <c r="X22" s="2">
        <f t="shared" si="2"/>
        <v>390.65999999999985</v>
      </c>
      <c r="Y22" s="2"/>
      <c r="Z22" s="19">
        <f t="shared" si="3"/>
        <v>0.23960256370940528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--1522</f>
        <v>1522</v>
      </c>
      <c r="Q23" s="2"/>
      <c r="R23" s="19"/>
      <c r="S23" s="2"/>
      <c r="T23" s="2">
        <f>--99</f>
        <v>99</v>
      </c>
      <c r="U23" s="2"/>
      <c r="V23" s="19"/>
      <c r="W23" s="2"/>
      <c r="X23" s="2">
        <f t="shared" si="2"/>
        <v>1423</v>
      </c>
      <c r="Y23" s="2"/>
      <c r="Z23" s="19">
        <f t="shared" si="3"/>
        <v>14.373737373737374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--2555.94</f>
        <v>2555.94</v>
      </c>
      <c r="E24" s="2"/>
      <c r="F24" s="19"/>
      <c r="G24" s="2"/>
      <c r="H24" s="2">
        <f>--294.99</f>
        <v>294.99</v>
      </c>
      <c r="I24" s="2"/>
      <c r="J24" s="19"/>
      <c r="K24" s="2"/>
      <c r="L24" s="2">
        <f t="shared" si="0"/>
        <v>2260.9499999999998</v>
      </c>
      <c r="M24" s="2"/>
      <c r="N24" s="19">
        <f t="shared" si="1"/>
        <v>7.6644971015966634</v>
      </c>
      <c r="O24" s="11"/>
      <c r="P24" s="2">
        <f>--7077.94</f>
        <v>7077.94</v>
      </c>
      <c r="Q24" s="2"/>
      <c r="R24" s="19"/>
      <c r="S24" s="2"/>
      <c r="T24" s="2">
        <f>--2216.91</f>
        <v>2216.91</v>
      </c>
      <c r="U24" s="2"/>
      <c r="V24" s="19"/>
      <c r="W24" s="2"/>
      <c r="X24" s="2">
        <f t="shared" si="2"/>
        <v>4861.03</v>
      </c>
      <c r="Y24" s="2"/>
      <c r="Z24" s="19">
        <f t="shared" si="3"/>
        <v>2.1927051616890174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--485.86</f>
        <v>485.86</v>
      </c>
      <c r="E25" s="2"/>
      <c r="F25" s="19"/>
      <c r="G25" s="2"/>
      <c r="H25" s="2">
        <f>--484.89</f>
        <v>484.89</v>
      </c>
      <c r="I25" s="2"/>
      <c r="J25" s="19"/>
      <c r="K25" s="2"/>
      <c r="L25" s="2">
        <f t="shared" si="0"/>
        <v>0.97000000000002728</v>
      </c>
      <c r="M25" s="2"/>
      <c r="N25" s="19">
        <f t="shared" si="1"/>
        <v>2.0004537111510392E-3</v>
      </c>
      <c r="O25" s="11"/>
      <c r="P25" s="2">
        <f>--760.76</f>
        <v>760.76</v>
      </c>
      <c r="Q25" s="2"/>
      <c r="R25" s="19"/>
      <c r="S25" s="2"/>
      <c r="T25" s="2">
        <f>--1809.32</f>
        <v>1809.32</v>
      </c>
      <c r="U25" s="2"/>
      <c r="V25" s="19"/>
      <c r="W25" s="2"/>
      <c r="X25" s="2">
        <f t="shared" si="2"/>
        <v>-1048.56</v>
      </c>
      <c r="Y25" s="2"/>
      <c r="Z25" s="19">
        <f t="shared" si="3"/>
        <v>-0.57953264209758359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--119.98</f>
        <v>119.98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119.98</v>
      </c>
      <c r="M26" s="2"/>
      <c r="N26" s="19">
        <f t="shared" si="1"/>
        <v>0</v>
      </c>
      <c r="O26" s="11"/>
      <c r="P26" s="2">
        <f>--219.96</f>
        <v>219.96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19.980000000000018</v>
      </c>
      <c r="Y26" s="2"/>
      <c r="Z26" s="19">
        <f t="shared" si="3"/>
        <v>9.9909990999100001E-2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-1039.72</f>
        <v>-1039.72</v>
      </c>
      <c r="E27" s="2"/>
      <c r="F27" s="19"/>
      <c r="G27" s="2"/>
      <c r="H27" s="2">
        <f>-671.91</f>
        <v>-671.91</v>
      </c>
      <c r="I27" s="2"/>
      <c r="J27" s="19"/>
      <c r="K27" s="2"/>
      <c r="L27" s="2">
        <f t="shared" si="0"/>
        <v>-367.81000000000006</v>
      </c>
      <c r="M27" s="2"/>
      <c r="N27" s="19">
        <f t="shared" si="1"/>
        <v>0.5474096233126462</v>
      </c>
      <c r="O27" s="11"/>
      <c r="P27" s="2">
        <f>-3274.47</f>
        <v>-3274.47</v>
      </c>
      <c r="Q27" s="2"/>
      <c r="R27" s="19"/>
      <c r="S27" s="2"/>
      <c r="T27" s="2">
        <f>-2456.28</f>
        <v>-2456.2800000000002</v>
      </c>
      <c r="U27" s="2"/>
      <c r="V27" s="19"/>
      <c r="W27" s="2"/>
      <c r="X27" s="2">
        <f t="shared" si="2"/>
        <v>-818.1899999999996</v>
      </c>
      <c r="Y27" s="2"/>
      <c r="Z27" s="19">
        <f t="shared" si="3"/>
        <v>0.33310127509892989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-27457.13</f>
        <v>-27457.13</v>
      </c>
      <c r="E28" s="2"/>
      <c r="F28" s="19"/>
      <c r="G28" s="2"/>
      <c r="H28" s="2">
        <f>-12942.09</f>
        <v>-12942.09</v>
      </c>
      <c r="I28" s="2"/>
      <c r="J28" s="19"/>
      <c r="K28" s="2"/>
      <c r="L28" s="2">
        <f t="shared" si="0"/>
        <v>-14515.04</v>
      </c>
      <c r="M28" s="2"/>
      <c r="N28" s="19">
        <f t="shared" si="1"/>
        <v>1.121537556917005</v>
      </c>
      <c r="O28" s="11"/>
      <c r="P28" s="2">
        <f>-147646.85</f>
        <v>-147646.85</v>
      </c>
      <c r="Q28" s="2"/>
      <c r="R28" s="19"/>
      <c r="S28" s="2"/>
      <c r="T28" s="2">
        <f>-30291.44</f>
        <v>-30291.439999999999</v>
      </c>
      <c r="U28" s="2"/>
      <c r="V28" s="19"/>
      <c r="W28" s="2"/>
      <c r="X28" s="2">
        <f t="shared" si="2"/>
        <v>-117355.41</v>
      </c>
      <c r="Y28" s="2"/>
      <c r="Z28" s="19">
        <f t="shared" si="3"/>
        <v>3.8742103379700672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-553.79</f>
        <v>-553.79</v>
      </c>
      <c r="E29" s="2"/>
      <c r="F29" s="19"/>
      <c r="G29" s="2"/>
      <c r="H29" s="2">
        <f>-1708.13</f>
        <v>-1708.13</v>
      </c>
      <c r="I29" s="2"/>
      <c r="J29" s="19"/>
      <c r="K29" s="2"/>
      <c r="L29" s="2">
        <f t="shared" si="0"/>
        <v>1154.3400000000001</v>
      </c>
      <c r="M29" s="2"/>
      <c r="N29" s="19">
        <f t="shared" si="1"/>
        <v>-0.67579165520188744</v>
      </c>
      <c r="O29" s="11"/>
      <c r="P29" s="2">
        <f>-1284.48</f>
        <v>-1284.48</v>
      </c>
      <c r="Q29" s="2"/>
      <c r="R29" s="19"/>
      <c r="S29" s="2"/>
      <c r="T29" s="2">
        <f>-2588.04</f>
        <v>-2588.04</v>
      </c>
      <c r="U29" s="2"/>
      <c r="V29" s="19"/>
      <c r="W29" s="2"/>
      <c r="X29" s="2">
        <f t="shared" si="2"/>
        <v>1303.56</v>
      </c>
      <c r="Y29" s="2"/>
      <c r="Z29" s="19">
        <f t="shared" si="3"/>
        <v>-0.50368618723049097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 t="shared" ref="D30:D31" si="5">0</f>
        <v>0</v>
      </c>
      <c r="E30" s="2"/>
      <c r="F30" s="19"/>
      <c r="G30" s="2"/>
      <c r="H30" s="2">
        <f t="shared" ref="H30:H31" si="6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 t="shared" ref="T30:T31" si="7"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 t="shared" si="5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-406.99</f>
        <v>-406.99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-406.99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-962.59</f>
        <v>-962.59</v>
      </c>
      <c r="E32" s="2"/>
      <c r="F32" s="19"/>
      <c r="G32" s="2"/>
      <c r="H32" s="2">
        <f>-897.72</f>
        <v>-897.72</v>
      </c>
      <c r="I32" s="2"/>
      <c r="J32" s="19"/>
      <c r="K32" s="2"/>
      <c r="L32" s="2">
        <f t="shared" si="0"/>
        <v>-64.87</v>
      </c>
      <c r="M32" s="2"/>
      <c r="N32" s="19">
        <f t="shared" si="1"/>
        <v>7.2260838568818792E-2</v>
      </c>
      <c r="O32" s="11"/>
      <c r="P32" s="2">
        <f>-2143.74</f>
        <v>-2143.7399999999998</v>
      </c>
      <c r="Q32" s="2"/>
      <c r="R32" s="19"/>
      <c r="S32" s="2"/>
      <c r="T32" s="2">
        <f>-1768.98</f>
        <v>-1768.98</v>
      </c>
      <c r="U32" s="2"/>
      <c r="V32" s="19"/>
      <c r="W32" s="2"/>
      <c r="X32" s="2">
        <f t="shared" si="2"/>
        <v>-374.75999999999976</v>
      </c>
      <c r="Y32" s="2"/>
      <c r="Z32" s="19">
        <f t="shared" si="3"/>
        <v>0.21185089712715788</v>
      </c>
    </row>
    <row r="33" spans="1:26" s="24" customFormat="1" hidden="1" outlineLevel="1" x14ac:dyDescent="0.25">
      <c r="A33" s="44"/>
      <c r="B33" s="11" t="str">
        <f>CONCATENATE("          ", "4381", " - ", "SALES RETURN NON TAXABLE-ELECT")</f>
        <v xml:space="preserve">          4381 - SALES RETURN NON TAXABLE-ELECT</v>
      </c>
      <c r="C33" s="11"/>
      <c r="D33" s="2">
        <f>-1279.84</f>
        <v>-1279.8399999999999</v>
      </c>
      <c r="E33" s="2"/>
      <c r="F33" s="19"/>
      <c r="G33" s="2"/>
      <c r="H33" s="2">
        <f t="shared" ref="H33:H35" si="8">0</f>
        <v>0</v>
      </c>
      <c r="I33" s="2"/>
      <c r="J33" s="19"/>
      <c r="K33" s="2"/>
      <c r="L33" s="2">
        <f t="shared" si="0"/>
        <v>-1279.8399999999999</v>
      </c>
      <c r="M33" s="2"/>
      <c r="N33" s="19">
        <f t="shared" si="1"/>
        <v>0</v>
      </c>
      <c r="O33" s="11"/>
      <c r="P33" s="2">
        <f>-1279.84</f>
        <v>-1279.8399999999999</v>
      </c>
      <c r="Q33" s="2"/>
      <c r="R33" s="19"/>
      <c r="S33" s="2"/>
      <c r="T33" s="2">
        <f t="shared" ref="T33:T35" si="9">0</f>
        <v>0</v>
      </c>
      <c r="U33" s="2"/>
      <c r="V33" s="19"/>
      <c r="W33" s="2"/>
      <c r="X33" s="2">
        <f t="shared" si="2"/>
        <v>-1279.8399999999999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"4383", " - ", "SALES RETURN NON TAXABLE-COMPU")</f>
        <v xml:space="preserve">          4383 - SALES RETURN NON TAXABLE-COMPU</v>
      </c>
      <c r="C34" s="11"/>
      <c r="D34" s="2">
        <f t="shared" ref="D34:D35" si="10">0</f>
        <v>0</v>
      </c>
      <c r="E34" s="2"/>
      <c r="F34" s="19"/>
      <c r="G34" s="2"/>
      <c r="H34" s="2">
        <f t="shared" si="8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-24.99</f>
        <v>-24.99</v>
      </c>
      <c r="Q34" s="2"/>
      <c r="R34" s="19"/>
      <c r="S34" s="2"/>
      <c r="T34" s="2">
        <f t="shared" si="9"/>
        <v>0</v>
      </c>
      <c r="U34" s="2"/>
      <c r="V34" s="19"/>
      <c r="W34" s="2"/>
      <c r="X34" s="2">
        <f t="shared" si="2"/>
        <v>-24.99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"4386", " - ", "SALES RETURN NON TAXABLE-COMPU")</f>
        <v xml:space="preserve">          4386 - SALES RETURN NON TAXABLE-COMPU</v>
      </c>
      <c r="C35" s="11"/>
      <c r="D35" s="2">
        <f t="shared" si="10"/>
        <v>0</v>
      </c>
      <c r="E35" s="2"/>
      <c r="F35" s="19"/>
      <c r="G35" s="2"/>
      <c r="H35" s="2">
        <f t="shared" si="8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-19.99</f>
        <v>-19.989999999999998</v>
      </c>
      <c r="Q35" s="2"/>
      <c r="R35" s="19"/>
      <c r="S35" s="2"/>
      <c r="T35" s="2">
        <f t="shared" si="9"/>
        <v>0</v>
      </c>
      <c r="U35" s="2"/>
      <c r="V35" s="19"/>
      <c r="W35" s="2"/>
      <c r="X35" s="2">
        <f t="shared" si="2"/>
        <v>-19.989999999999998</v>
      </c>
      <c r="Y35" s="2"/>
      <c r="Z35" s="19">
        <f t="shared" si="3"/>
        <v>0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collapsed="1" x14ac:dyDescent="0.25">
      <c r="A37" s="10"/>
      <c r="B37" s="25" t="s">
        <v>8</v>
      </c>
      <c r="C37" s="10"/>
      <c r="D37" s="4">
        <f>SUM(OSRRefD16x_0)</f>
        <v>278765.08</v>
      </c>
      <c r="E37" s="4"/>
      <c r="F37" s="12">
        <f t="shared" ref="F37:F50" si="11">IF(D$12=0,0,D37/D$12)</f>
        <v>0.87025536297269546</v>
      </c>
      <c r="G37" s="4"/>
      <c r="H37" s="4">
        <f>SUM(OSRRefH16x_0)</f>
        <v>216942.49000000002</v>
      </c>
      <c r="I37" s="4"/>
      <c r="J37" s="12">
        <f t="shared" ref="J37:J50" si="12">IF(H$12=0,0,H37/H$12)</f>
        <v>0.84972346507094587</v>
      </c>
      <c r="K37" s="4"/>
      <c r="L37" s="4">
        <f t="shared" ref="L37:L50" si="13">+D37-H37</f>
        <v>61822.59</v>
      </c>
      <c r="M37" s="4"/>
      <c r="N37" s="12">
        <f t="shared" ref="N37:N50" si="14">IF(H37=0,0,L37/H37)</f>
        <v>0.28497225232364576</v>
      </c>
      <c r="O37" s="10"/>
      <c r="P37" s="4">
        <f>SUM(OSRRefP16x_0)</f>
        <v>1076160.1500000001</v>
      </c>
      <c r="Q37" s="4"/>
      <c r="R37" s="12">
        <f t="shared" ref="R37:R50" si="15">IF(P$12=0,0,P37/P$12)</f>
        <v>0.90268406042157756</v>
      </c>
      <c r="S37" s="4"/>
      <c r="T37" s="4">
        <f>SUM(OSRRefT16x_0)</f>
        <v>861054.77</v>
      </c>
      <c r="U37" s="4"/>
      <c r="V37" s="12">
        <f t="shared" ref="V37:V50" si="16">IF(T$12=0,0,T37/T$12)</f>
        <v>0.86252034732376581</v>
      </c>
      <c r="W37" s="4"/>
      <c r="X37" s="4">
        <f t="shared" ref="X37:X50" si="17">+P37-T37</f>
        <v>215105.38000000012</v>
      </c>
      <c r="Y37" s="4"/>
      <c r="Z37" s="12">
        <f t="shared" ref="Z37:Z50" si="18">IF(T37=0,0,X37/T37)</f>
        <v>0.24981614119622161</v>
      </c>
    </row>
    <row r="38" spans="1:26" s="24" customFormat="1" hidden="1" outlineLevel="1" x14ac:dyDescent="0.25">
      <c r="A38" s="44"/>
      <c r="B38" s="11" t="str">
        <f>CONCATENATE("          ", "5081", " - ", "PURCHASES @ COST-ELECTRONICS")</f>
        <v xml:space="preserve">          5081 - PURCHASES @ COST-ELECTRONICS</v>
      </c>
      <c r="C38" s="11"/>
      <c r="D38" s="2">
        <v>66227.41</v>
      </c>
      <c r="E38" s="2"/>
      <c r="F38" s="19">
        <f t="shared" si="11"/>
        <v>0.20675028137775189</v>
      </c>
      <c r="G38" s="2"/>
      <c r="H38" s="2">
        <v>43092.75</v>
      </c>
      <c r="I38" s="2"/>
      <c r="J38" s="19">
        <f t="shared" si="12"/>
        <v>0.16878630299410688</v>
      </c>
      <c r="K38" s="2"/>
      <c r="L38" s="2">
        <f t="shared" si="13"/>
        <v>23134.660000000003</v>
      </c>
      <c r="M38" s="2"/>
      <c r="N38" s="19">
        <f t="shared" si="14"/>
        <v>0.53685735999675133</v>
      </c>
      <c r="O38" s="11"/>
      <c r="P38" s="2">
        <v>149686.09000000003</v>
      </c>
      <c r="Q38" s="2"/>
      <c r="R38" s="19">
        <f t="shared" si="15"/>
        <v>0.12555682117557473</v>
      </c>
      <c r="S38" s="2"/>
      <c r="T38" s="2">
        <v>131642.06</v>
      </c>
      <c r="U38" s="2"/>
      <c r="V38" s="19">
        <f t="shared" si="16"/>
        <v>0.1318661242810559</v>
      </c>
      <c r="W38" s="2"/>
      <c r="X38" s="2">
        <f t="shared" si="17"/>
        <v>18044.030000000028</v>
      </c>
      <c r="Y38" s="2"/>
      <c r="Z38" s="19">
        <f t="shared" si="18"/>
        <v>0.13706888208829326</v>
      </c>
    </row>
    <row r="39" spans="1:26" s="24" customFormat="1" hidden="1" outlineLevel="1" x14ac:dyDescent="0.25">
      <c r="A39" s="44"/>
      <c r="B39" s="11" t="str">
        <f>CONCATENATE("          ", "5082", " - ", "PURCHASES @ COST-COMPUTER HARD")</f>
        <v xml:space="preserve">          5082 - PURCHASES @ COST-COMPUTER HARD</v>
      </c>
      <c r="C39" s="11"/>
      <c r="D39" s="2">
        <v>127420.07</v>
      </c>
      <c r="E39" s="2"/>
      <c r="F39" s="19">
        <f t="shared" si="11"/>
        <v>0.39778296215528952</v>
      </c>
      <c r="G39" s="2"/>
      <c r="H39" s="2">
        <v>175474.33</v>
      </c>
      <c r="I39" s="2"/>
      <c r="J39" s="19">
        <f t="shared" si="12"/>
        <v>0.68730037955498069</v>
      </c>
      <c r="K39" s="2"/>
      <c r="L39" s="2">
        <f t="shared" si="13"/>
        <v>-48054.25999999998</v>
      </c>
      <c r="M39" s="2"/>
      <c r="N39" s="19">
        <f t="shared" si="14"/>
        <v>-0.27385350324460556</v>
      </c>
      <c r="O39" s="11"/>
      <c r="P39" s="2">
        <v>801042.97</v>
      </c>
      <c r="Q39" s="2"/>
      <c r="R39" s="19">
        <f t="shared" si="15"/>
        <v>0.67191553295460693</v>
      </c>
      <c r="S39" s="2"/>
      <c r="T39" s="2">
        <v>580412.89</v>
      </c>
      <c r="U39" s="2"/>
      <c r="V39" s="19">
        <f t="shared" si="16"/>
        <v>0.5814007946021722</v>
      </c>
      <c r="W39" s="2"/>
      <c r="X39" s="2">
        <f t="shared" si="17"/>
        <v>220630.07999999996</v>
      </c>
      <c r="Y39" s="2"/>
      <c r="Z39" s="19">
        <f t="shared" si="18"/>
        <v>0.38012608575939788</v>
      </c>
    </row>
    <row r="40" spans="1:26" s="24" customFormat="1" hidden="1" outlineLevel="1" x14ac:dyDescent="0.25">
      <c r="A40" s="44"/>
      <c r="B40" s="11" t="str">
        <f>CONCATENATE("          ", "5083", " - ", "PURCHASES @ COST-COMPUTER EQUI")</f>
        <v xml:space="preserve">          5083 - PURCHASES @ COST-COMPUTER EQUI</v>
      </c>
      <c r="C40" s="11"/>
      <c r="D40" s="2">
        <v>10519.97</v>
      </c>
      <c r="E40" s="2"/>
      <c r="F40" s="19">
        <f t="shared" si="11"/>
        <v>3.2841489008637183E-2</v>
      </c>
      <c r="G40" s="2"/>
      <c r="H40" s="2">
        <v>16351.590000000002</v>
      </c>
      <c r="I40" s="2"/>
      <c r="J40" s="19">
        <f t="shared" si="12"/>
        <v>6.4046142893535649E-2</v>
      </c>
      <c r="K40" s="2"/>
      <c r="L40" s="2">
        <f t="shared" si="13"/>
        <v>-5831.6200000000026</v>
      </c>
      <c r="M40" s="2"/>
      <c r="N40" s="19">
        <f t="shared" si="14"/>
        <v>-0.3566393237599525</v>
      </c>
      <c r="O40" s="11"/>
      <c r="P40" s="2">
        <v>27712.41</v>
      </c>
      <c r="Q40" s="2"/>
      <c r="R40" s="19">
        <f t="shared" si="15"/>
        <v>2.3245193369098017E-2</v>
      </c>
      <c r="S40" s="2"/>
      <c r="T40" s="2">
        <v>30773.91</v>
      </c>
      <c r="U40" s="2"/>
      <c r="V40" s="19">
        <f t="shared" si="16"/>
        <v>3.0826289414447247E-2</v>
      </c>
      <c r="W40" s="2"/>
      <c r="X40" s="2">
        <f t="shared" si="17"/>
        <v>-3061.5</v>
      </c>
      <c r="Y40" s="2"/>
      <c r="Z40" s="19">
        <f t="shared" si="18"/>
        <v>-9.9483621028332123E-2</v>
      </c>
    </row>
    <row r="41" spans="1:26" s="24" customFormat="1" hidden="1" outlineLevel="1" x14ac:dyDescent="0.25">
      <c r="A41" s="44"/>
      <c r="B41" s="11" t="str">
        <f>CONCATENATE("          ", "5084", " - ", "PURCHASES @ COST-SOFTWARE LICE")</f>
        <v xml:space="preserve">          5084 - PURCHASES @ COST-SOFTWARE LICE</v>
      </c>
      <c r="C41" s="11"/>
      <c r="D41" s="2"/>
      <c r="E41" s="2"/>
      <c r="F41" s="19">
        <f t="shared" si="11"/>
        <v>0</v>
      </c>
      <c r="G41" s="2"/>
      <c r="H41" s="2"/>
      <c r="I41" s="2"/>
      <c r="J41" s="19">
        <f t="shared" si="12"/>
        <v>0</v>
      </c>
      <c r="K41" s="2"/>
      <c r="L41" s="2">
        <f t="shared" si="13"/>
        <v>0</v>
      </c>
      <c r="M41" s="2"/>
      <c r="N41" s="19">
        <f t="shared" si="14"/>
        <v>0</v>
      </c>
      <c r="O41" s="11"/>
      <c r="P41" s="2">
        <v>1522</v>
      </c>
      <c r="Q41" s="2"/>
      <c r="R41" s="19">
        <f t="shared" si="15"/>
        <v>1.2766549104811591E-3</v>
      </c>
      <c r="S41" s="2"/>
      <c r="T41" s="2">
        <v>99</v>
      </c>
      <c r="U41" s="2"/>
      <c r="V41" s="19">
        <f t="shared" si="16"/>
        <v>9.9168505140564763E-5</v>
      </c>
      <c r="W41" s="2"/>
      <c r="X41" s="2">
        <f t="shared" si="17"/>
        <v>1423</v>
      </c>
      <c r="Y41" s="2"/>
      <c r="Z41" s="19">
        <f t="shared" si="18"/>
        <v>14.373737373737374</v>
      </c>
    </row>
    <row r="42" spans="1:26" s="24" customFormat="1" hidden="1" outlineLevel="1" x14ac:dyDescent="0.25">
      <c r="A42" s="44"/>
      <c r="B42" s="11" t="str">
        <f>CONCATENATE("          ", "5085", " - ", "PURCHASES @ COST-SOFTWARE")</f>
        <v xml:space="preserve">          5085 - PURCHASES @ COST-SOFTWARE</v>
      </c>
      <c r="C42" s="11"/>
      <c r="D42" s="2">
        <v>3058</v>
      </c>
      <c r="E42" s="2"/>
      <c r="F42" s="19">
        <f t="shared" si="11"/>
        <v>9.5465361011877903E-3</v>
      </c>
      <c r="G42" s="2"/>
      <c r="H42" s="2">
        <v>2564.75</v>
      </c>
      <c r="I42" s="2"/>
      <c r="J42" s="19">
        <f t="shared" si="12"/>
        <v>1.0045649688268574E-2</v>
      </c>
      <c r="K42" s="2"/>
      <c r="L42" s="2">
        <f t="shared" si="13"/>
        <v>493.25</v>
      </c>
      <c r="M42" s="2"/>
      <c r="N42" s="19">
        <f t="shared" si="14"/>
        <v>0.19231893946778439</v>
      </c>
      <c r="O42" s="11"/>
      <c r="P42" s="2">
        <v>6426</v>
      </c>
      <c r="Q42" s="2"/>
      <c r="R42" s="19">
        <f t="shared" si="15"/>
        <v>5.3901343329513327E-3</v>
      </c>
      <c r="S42" s="2"/>
      <c r="T42" s="2">
        <v>4619.63</v>
      </c>
      <c r="U42" s="2"/>
      <c r="V42" s="19">
        <f t="shared" si="16"/>
        <v>4.6274929434596684E-3</v>
      </c>
      <c r="W42" s="2"/>
      <c r="X42" s="2">
        <f t="shared" si="17"/>
        <v>1806.37</v>
      </c>
      <c r="Y42" s="2"/>
      <c r="Z42" s="19">
        <f t="shared" si="18"/>
        <v>0.39102049298320424</v>
      </c>
    </row>
    <row r="43" spans="1:26" s="24" customFormat="1" hidden="1" outlineLevel="1" x14ac:dyDescent="0.25">
      <c r="A43" s="44"/>
      <c r="B43" s="11" t="str">
        <f>CONCATENATE("          ", "5086", " - ", "PURCHASES @ COST-COMPUTER SUPP")</f>
        <v xml:space="preserve">          5086 - PURCHASES @ COST-COMPUTER SUPP</v>
      </c>
      <c r="C43" s="11"/>
      <c r="D43" s="2">
        <v>6272.87</v>
      </c>
      <c r="E43" s="2"/>
      <c r="F43" s="19">
        <f t="shared" si="11"/>
        <v>1.9582792646519898E-2</v>
      </c>
      <c r="G43" s="2"/>
      <c r="H43" s="2">
        <v>7804.21</v>
      </c>
      <c r="I43" s="2"/>
      <c r="J43" s="19">
        <f t="shared" si="12"/>
        <v>3.0567641974337648E-2</v>
      </c>
      <c r="K43" s="2"/>
      <c r="L43" s="2">
        <f t="shared" si="13"/>
        <v>-1531.3400000000001</v>
      </c>
      <c r="M43" s="2"/>
      <c r="N43" s="19">
        <f t="shared" si="14"/>
        <v>-0.19621973268274434</v>
      </c>
      <c r="O43" s="11"/>
      <c r="P43" s="2">
        <v>12479.75</v>
      </c>
      <c r="Q43" s="2"/>
      <c r="R43" s="19">
        <f t="shared" si="15"/>
        <v>1.0468025045385838E-2</v>
      </c>
      <c r="S43" s="2"/>
      <c r="T43" s="2">
        <v>13915.72</v>
      </c>
      <c r="U43" s="2"/>
      <c r="V43" s="19">
        <f t="shared" si="16"/>
        <v>1.3939405559137977E-2</v>
      </c>
      <c r="W43" s="2"/>
      <c r="X43" s="2">
        <f t="shared" si="17"/>
        <v>-1435.9699999999993</v>
      </c>
      <c r="Y43" s="2"/>
      <c r="Z43" s="19">
        <f t="shared" si="18"/>
        <v>-0.10319049247900931</v>
      </c>
    </row>
    <row r="44" spans="1:26" s="24" customFormat="1" hidden="1" outlineLevel="1" x14ac:dyDescent="0.25">
      <c r="A44" s="44"/>
      <c r="B44" s="11" t="str">
        <f>CONCATENATE("          ", "5088", " - ", "PURCHASES @ COST-MUSIC")</f>
        <v xml:space="preserve">          5088 - PURCHASES @ COST-MUSIC</v>
      </c>
      <c r="C44" s="11"/>
      <c r="D44" s="2">
        <v>6.75</v>
      </c>
      <c r="E44" s="2"/>
      <c r="F44" s="19">
        <f t="shared" si="11"/>
        <v>2.1072308267827857E-5</v>
      </c>
      <c r="G44" s="2"/>
      <c r="H44" s="2">
        <v>-84.74</v>
      </c>
      <c r="I44" s="2"/>
      <c r="J44" s="19">
        <f t="shared" si="12"/>
        <v>-3.3191085079788628E-4</v>
      </c>
      <c r="K44" s="2"/>
      <c r="L44" s="2">
        <f t="shared" si="13"/>
        <v>91.49</v>
      </c>
      <c r="M44" s="2"/>
      <c r="N44" s="19">
        <f t="shared" si="14"/>
        <v>-1.0796554165683268</v>
      </c>
      <c r="O44" s="11"/>
      <c r="P44" s="2">
        <v>88.75</v>
      </c>
      <c r="Q44" s="2"/>
      <c r="R44" s="19">
        <f t="shared" si="15"/>
        <v>7.4443576416033426E-5</v>
      </c>
      <c r="S44" s="2"/>
      <c r="T44" s="2">
        <v>0</v>
      </c>
      <c r="U44" s="2"/>
      <c r="V44" s="19">
        <f t="shared" si="16"/>
        <v>0</v>
      </c>
      <c r="W44" s="2"/>
      <c r="X44" s="2">
        <f t="shared" si="17"/>
        <v>88.75</v>
      </c>
      <c r="Y44" s="2"/>
      <c r="Z44" s="19">
        <f t="shared" si="18"/>
        <v>0</v>
      </c>
    </row>
    <row r="45" spans="1:26" s="24" customFormat="1" hidden="1" outlineLevel="1" x14ac:dyDescent="0.25">
      <c r="A45" s="44"/>
      <c r="B45" s="11" t="str">
        <f>CONCATENATE("          ", "5200", " - ", "PURCHASES OFFSET")</f>
        <v xml:space="preserve">          5200 - PURCHASES OFFSET</v>
      </c>
      <c r="C45" s="11"/>
      <c r="D45" s="2">
        <v>-213676</v>
      </c>
      <c r="E45" s="2"/>
      <c r="F45" s="19">
        <f t="shared" si="11"/>
        <v>-0.66705874687946443</v>
      </c>
      <c r="G45" s="2"/>
      <c r="H45" s="2">
        <v>-245258.99999999997</v>
      </c>
      <c r="I45" s="2"/>
      <c r="J45" s="19">
        <f t="shared" si="12"/>
        <v>-0.96063397870945</v>
      </c>
      <c r="K45" s="2"/>
      <c r="L45" s="2">
        <f t="shared" si="13"/>
        <v>31582.999999999971</v>
      </c>
      <c r="M45" s="2"/>
      <c r="N45" s="19">
        <f t="shared" si="14"/>
        <v>-0.12877407149176981</v>
      </c>
      <c r="O45" s="11"/>
      <c r="P45" s="2">
        <v>-999198</v>
      </c>
      <c r="Q45" s="2"/>
      <c r="R45" s="19">
        <f t="shared" si="15"/>
        <v>-0.8381281427351861</v>
      </c>
      <c r="S45" s="2"/>
      <c r="T45" s="2">
        <v>-761577</v>
      </c>
      <c r="U45" s="2"/>
      <c r="V45" s="19">
        <f t="shared" si="16"/>
        <v>-0.76287325898420089</v>
      </c>
      <c r="W45" s="2"/>
      <c r="X45" s="2">
        <f t="shared" si="17"/>
        <v>-237621</v>
      </c>
      <c r="Y45" s="2"/>
      <c r="Z45" s="19">
        <f t="shared" si="18"/>
        <v>0.31201178607022007</v>
      </c>
    </row>
    <row r="46" spans="1:26" s="24" customFormat="1" hidden="1" outlineLevel="1" x14ac:dyDescent="0.25">
      <c r="A46" s="44"/>
      <c r="B46" s="11" t="str">
        <f>CONCATENATE("          ", "5300", " - ", "COG$ OFFSET")</f>
        <v xml:space="preserve">          5300 - COG$ OFFSET</v>
      </c>
      <c r="C46" s="11"/>
      <c r="D46" s="2">
        <v>278765</v>
      </c>
      <c r="E46" s="2"/>
      <c r="F46" s="19">
        <f t="shared" si="11"/>
        <v>0.87025511322681959</v>
      </c>
      <c r="G46" s="2"/>
      <c r="H46" s="2">
        <v>216943</v>
      </c>
      <c r="I46" s="2"/>
      <c r="J46" s="19">
        <f t="shared" si="12"/>
        <v>0.84972546264628102</v>
      </c>
      <c r="K46" s="2"/>
      <c r="L46" s="2">
        <f t="shared" si="13"/>
        <v>61822</v>
      </c>
      <c r="M46" s="2"/>
      <c r="N46" s="19">
        <f t="shared" si="14"/>
        <v>0.28496886278884315</v>
      </c>
      <c r="O46" s="11"/>
      <c r="P46" s="2">
        <v>1076159</v>
      </c>
      <c r="Q46" s="2"/>
      <c r="R46" s="19">
        <f t="shared" si="15"/>
        <v>0.90268309580058725</v>
      </c>
      <c r="S46" s="2"/>
      <c r="T46" s="2">
        <v>861056</v>
      </c>
      <c r="U46" s="2"/>
      <c r="V46" s="19">
        <f t="shared" si="16"/>
        <v>0.86252157941731444</v>
      </c>
      <c r="W46" s="2"/>
      <c r="X46" s="2">
        <f t="shared" si="17"/>
        <v>215103</v>
      </c>
      <c r="Y46" s="2"/>
      <c r="Z46" s="19">
        <f t="shared" si="18"/>
        <v>0.24981302029136315</v>
      </c>
    </row>
    <row r="47" spans="1:26" s="24" customFormat="1" hidden="1" outlineLevel="1" x14ac:dyDescent="0.25">
      <c r="A47" s="44"/>
      <c r="B47" s="11" t="str">
        <f>CONCATENATE("          ", "5581", " - ", "FREIGHT-IN-ELECTRONICS")</f>
        <v xml:space="preserve">          5581 - FREIGHT-IN-ELECTRONICS</v>
      </c>
      <c r="C47" s="11"/>
      <c r="D47" s="2">
        <v>92.95</v>
      </c>
      <c r="E47" s="2"/>
      <c r="F47" s="19">
        <f t="shared" si="11"/>
        <v>2.9017348940660732E-4</v>
      </c>
      <c r="G47" s="2"/>
      <c r="H47" s="2"/>
      <c r="I47" s="2"/>
      <c r="J47" s="19">
        <f t="shared" si="12"/>
        <v>0</v>
      </c>
      <c r="K47" s="2"/>
      <c r="L47" s="2">
        <f t="shared" si="13"/>
        <v>92.95</v>
      </c>
      <c r="M47" s="2"/>
      <c r="N47" s="19">
        <f t="shared" si="14"/>
        <v>0</v>
      </c>
      <c r="O47" s="11"/>
      <c r="P47" s="2">
        <v>92.95</v>
      </c>
      <c r="Q47" s="2"/>
      <c r="R47" s="19">
        <f t="shared" si="15"/>
        <v>7.7966540032341496E-5</v>
      </c>
      <c r="S47" s="2"/>
      <c r="T47" s="2"/>
      <c r="U47" s="2"/>
      <c r="V47" s="19">
        <f t="shared" si="16"/>
        <v>0</v>
      </c>
      <c r="W47" s="2"/>
      <c r="X47" s="2">
        <f t="shared" si="17"/>
        <v>92.95</v>
      </c>
      <c r="Y47" s="2"/>
      <c r="Z47" s="19">
        <f t="shared" si="18"/>
        <v>0</v>
      </c>
    </row>
    <row r="48" spans="1:26" s="24" customFormat="1" hidden="1" outlineLevel="1" x14ac:dyDescent="0.25">
      <c r="A48" s="44"/>
      <c r="B48" s="11" t="str">
        <f>CONCATENATE("          ", "5582", " - ", "FREIGHT-IN-COMPUTER HARDWARE")</f>
        <v xml:space="preserve">          5582 - FREIGHT-IN-COMPUTER HARDWARE</v>
      </c>
      <c r="C48" s="11"/>
      <c r="D48" s="2">
        <v>4.84</v>
      </c>
      <c r="E48" s="2"/>
      <c r="F48" s="19">
        <f t="shared" si="11"/>
        <v>1.5109625483894344E-5</v>
      </c>
      <c r="G48" s="2"/>
      <c r="H48" s="2"/>
      <c r="I48" s="2"/>
      <c r="J48" s="19">
        <f t="shared" si="12"/>
        <v>0</v>
      </c>
      <c r="K48" s="2"/>
      <c r="L48" s="2">
        <f t="shared" si="13"/>
        <v>4.84</v>
      </c>
      <c r="M48" s="2"/>
      <c r="N48" s="19">
        <f t="shared" si="14"/>
        <v>0</v>
      </c>
      <c r="O48" s="11"/>
      <c r="P48" s="2">
        <v>4.84</v>
      </c>
      <c r="Q48" s="2"/>
      <c r="R48" s="19">
        <f t="shared" si="15"/>
        <v>4.0597961673645272E-6</v>
      </c>
      <c r="S48" s="2"/>
      <c r="T48" s="2"/>
      <c r="U48" s="2"/>
      <c r="V48" s="19">
        <f t="shared" si="16"/>
        <v>0</v>
      </c>
      <c r="W48" s="2"/>
      <c r="X48" s="2">
        <f t="shared" si="17"/>
        <v>4.84</v>
      </c>
      <c r="Y48" s="2"/>
      <c r="Z48" s="19">
        <f t="shared" si="18"/>
        <v>0</v>
      </c>
    </row>
    <row r="49" spans="1:26" s="24" customFormat="1" hidden="1" outlineLevel="1" x14ac:dyDescent="0.25">
      <c r="A49" s="44"/>
      <c r="B49" s="11" t="str">
        <f>CONCATENATE("          ", "5583", " - ", "FREIGHT-IN-COMPUTER EQUIPMENT")</f>
        <v xml:space="preserve">          5583 - FREIGHT-IN-COMPUTER EQUIPMENT</v>
      </c>
      <c r="C49" s="11"/>
      <c r="D49" s="2">
        <v>7.86</v>
      </c>
      <c r="E49" s="2"/>
      <c r="F49" s="19">
        <f t="shared" si="11"/>
        <v>2.4537532294092883E-5</v>
      </c>
      <c r="G49" s="2"/>
      <c r="H49" s="2"/>
      <c r="I49" s="2"/>
      <c r="J49" s="19">
        <f t="shared" si="12"/>
        <v>0</v>
      </c>
      <c r="K49" s="2"/>
      <c r="L49" s="2">
        <f t="shared" si="13"/>
        <v>7.86</v>
      </c>
      <c r="M49" s="2"/>
      <c r="N49" s="19">
        <f t="shared" si="14"/>
        <v>0</v>
      </c>
      <c r="O49" s="11"/>
      <c r="P49" s="2">
        <v>41</v>
      </c>
      <c r="Q49" s="2"/>
      <c r="R49" s="19">
        <f t="shared" si="15"/>
        <v>3.4390835302054882E-5</v>
      </c>
      <c r="S49" s="2"/>
      <c r="T49" s="2">
        <v>8.27</v>
      </c>
      <c r="U49" s="2"/>
      <c r="V49" s="19">
        <f t="shared" si="16"/>
        <v>8.2840761364896018E-6</v>
      </c>
      <c r="W49" s="2"/>
      <c r="X49" s="2">
        <f t="shared" si="17"/>
        <v>32.730000000000004</v>
      </c>
      <c r="Y49" s="2"/>
      <c r="Z49" s="19">
        <f t="shared" si="18"/>
        <v>3.9576783555018147</v>
      </c>
    </row>
    <row r="50" spans="1:26" s="24" customFormat="1" hidden="1" outlineLevel="1" x14ac:dyDescent="0.25">
      <c r="A50" s="44"/>
      <c r="B50" s="11" t="str">
        <f>CONCATENATE("          ", "5586", " - ", "FREIGHT-IN-COMPUTER SUPPLIES")</f>
        <v xml:space="preserve">          5586 - FREIGHT-IN-COMPUTER SUPPLIES</v>
      </c>
      <c r="C50" s="11"/>
      <c r="D50" s="2">
        <v>65.36</v>
      </c>
      <c r="E50" s="2"/>
      <c r="F50" s="19">
        <f t="shared" si="11"/>
        <v>2.0404238050151537E-4</v>
      </c>
      <c r="G50" s="2"/>
      <c r="H50" s="2">
        <v>55.6</v>
      </c>
      <c r="I50" s="2"/>
      <c r="J50" s="19">
        <f t="shared" si="12"/>
        <v>2.1777487968329572E-4</v>
      </c>
      <c r="K50" s="2"/>
      <c r="L50" s="2">
        <f t="shared" si="13"/>
        <v>9.759999999999998</v>
      </c>
      <c r="M50" s="2"/>
      <c r="N50" s="19">
        <f t="shared" si="14"/>
        <v>0.17553956834532369</v>
      </c>
      <c r="O50" s="11"/>
      <c r="P50" s="2">
        <v>102.39</v>
      </c>
      <c r="Q50" s="2"/>
      <c r="R50" s="19">
        <f t="shared" si="15"/>
        <v>8.5884820160424364E-5</v>
      </c>
      <c r="S50" s="2"/>
      <c r="T50" s="2">
        <v>104.29</v>
      </c>
      <c r="U50" s="2"/>
      <c r="V50" s="19">
        <f t="shared" si="16"/>
        <v>1.0446750910211615E-4</v>
      </c>
      <c r="W50" s="2"/>
      <c r="X50" s="2">
        <f t="shared" si="17"/>
        <v>-1.9000000000000057</v>
      </c>
      <c r="Y50" s="2"/>
      <c r="Z50" s="19">
        <f t="shared" si="18"/>
        <v>-1.8218429379614591E-2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6" t="s">
        <v>6</v>
      </c>
      <c r="C52" s="26"/>
      <c r="D52" s="21">
        <f>D12-D37</f>
        <v>41560.529999999912</v>
      </c>
      <c r="E52" s="13"/>
      <c r="F52" s="20">
        <f>IF(D$12=0,0,D52/D$12)</f>
        <v>0.12974463702730457</v>
      </c>
      <c r="G52" s="13"/>
      <c r="H52" s="21">
        <f>H12-H37</f>
        <v>38367.030000000057</v>
      </c>
      <c r="I52" s="13"/>
      <c r="J52" s="20">
        <f>IF(H$12=0,0,H52/H$12)</f>
        <v>0.15027653492905413</v>
      </c>
      <c r="K52" s="15"/>
      <c r="L52" s="21">
        <f>+D52-H52</f>
        <v>3193.4999999998545</v>
      </c>
      <c r="M52" s="15"/>
      <c r="N52" s="20">
        <f>IF(H52=0,0,L52/H52)</f>
        <v>8.3235528004118375E-2</v>
      </c>
      <c r="O52" s="25"/>
      <c r="P52" s="21">
        <f>P12-P37</f>
        <v>116017.9299999997</v>
      </c>
      <c r="Q52" s="13"/>
      <c r="R52" s="20">
        <f>IF(P$12=0,0,P52/P$12)</f>
        <v>9.7315939578422481E-2</v>
      </c>
      <c r="S52" s="13"/>
      <c r="T52" s="21">
        <f>T12-T37</f>
        <v>137246.04999999981</v>
      </c>
      <c r="U52" s="13"/>
      <c r="V52" s="20">
        <f>IF(T$12=0,0,T52/T$12)</f>
        <v>0.13747965267623424</v>
      </c>
      <c r="W52" s="15"/>
      <c r="X52" s="21">
        <f>+P52-T52</f>
        <v>-21228.120000000112</v>
      </c>
      <c r="Y52" s="15"/>
      <c r="Z52" s="20">
        <f>IF(T52=0,0,X52/T52)</f>
        <v>-0.15467199238156684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5" t="s">
        <v>9</v>
      </c>
      <c r="C54" s="10"/>
      <c r="D54" s="22">
        <f>SUM(OSRRefD22x_0)</f>
        <v>12298.65</v>
      </c>
      <c r="E54" s="22"/>
      <c r="F54" s="34">
        <f t="shared" ref="F54:F64" si="19">IF(D$12=0,0,D54/D$12)</f>
        <v>3.8394213937499415E-2</v>
      </c>
      <c r="G54" s="22"/>
      <c r="H54" s="22">
        <f>SUM(OSRRefH22x_0)</f>
        <v>36055.630000000005</v>
      </c>
      <c r="I54" s="22"/>
      <c r="J54" s="34">
        <f t="shared" ref="J54:J64" si="20">IF(H$12=0,0,H54/H$12)</f>
        <v>0.14122321016466599</v>
      </c>
      <c r="K54" s="4"/>
      <c r="L54" s="22">
        <f t="shared" ref="L54:L64" si="21">+D54-H54</f>
        <v>-23756.980000000003</v>
      </c>
      <c r="M54" s="4"/>
      <c r="N54" s="34">
        <f t="shared" ref="N54:N64" si="22">IF(H54=0,0,L54/H54)</f>
        <v>-0.65889793078085168</v>
      </c>
      <c r="O54" s="10"/>
      <c r="P54" s="22">
        <f>SUM(OSRRefP22x_0)</f>
        <v>102193.21999999999</v>
      </c>
      <c r="Q54" s="22"/>
      <c r="R54" s="34">
        <f t="shared" ref="R54:R64" si="23">IF(P$12=0,0,P54/P$12)</f>
        <v>8.5719760926991712E-2</v>
      </c>
      <c r="S54" s="22"/>
      <c r="T54" s="22">
        <f>SUM(OSRRefT22x_0)</f>
        <v>113511.3</v>
      </c>
      <c r="U54" s="22"/>
      <c r="V54" s="34">
        <f t="shared" ref="V54:V64" si="24">IF(T$12=0,0,T54/T$12)</f>
        <v>0.11370450441982009</v>
      </c>
      <c r="W54" s="4"/>
      <c r="X54" s="22">
        <f t="shared" ref="X54:X64" si="25">+P54-T54</f>
        <v>-11318.080000000016</v>
      </c>
      <c r="Y54" s="4"/>
      <c r="Z54" s="34">
        <f t="shared" ref="Z54:Z64" si="26">IF(T54=0,0,X54/T54)</f>
        <v>-9.9708839560466805E-2</v>
      </c>
    </row>
    <row r="55" spans="1:26" s="29" customFormat="1" outlineLevel="1" collapsed="1" x14ac:dyDescent="0.25">
      <c r="A55" s="27"/>
      <c r="B55" s="14" t="str">
        <f>CONCATENATE("     ","*Benefits                                         ")</f>
        <v xml:space="preserve">     *Benefits                                         </v>
      </c>
      <c r="C55" s="14"/>
      <c r="D55" s="1">
        <f>SUM(OSRRefD22_0x_0)</f>
        <v>3779.41</v>
      </c>
      <c r="E55" s="1"/>
      <c r="F55" s="5">
        <f t="shared" si="19"/>
        <v>1.1798650754149818E-2</v>
      </c>
      <c r="G55" s="1"/>
      <c r="H55" s="1">
        <f>SUM(OSRRefH22_0x_0)</f>
        <v>2386.71</v>
      </c>
      <c r="I55" s="1"/>
      <c r="J55" s="5">
        <f t="shared" si="20"/>
        <v>9.3483000555560931E-3</v>
      </c>
      <c r="K55" s="1"/>
      <c r="L55" s="1">
        <f t="shared" si="21"/>
        <v>1392.6999999999998</v>
      </c>
      <c r="M55" s="1"/>
      <c r="N55" s="5">
        <f t="shared" si="22"/>
        <v>0.58352292486309598</v>
      </c>
      <c r="O55" s="14"/>
      <c r="P55" s="1">
        <f>SUM(OSRRefP22_0x_0)</f>
        <v>8908.9500000000007</v>
      </c>
      <c r="Q55" s="1"/>
      <c r="R55" s="5">
        <f t="shared" si="23"/>
        <v>7.472834930835167E-3</v>
      </c>
      <c r="S55" s="1"/>
      <c r="T55" s="1">
        <f>SUM(OSRRefT22_0x_0)</f>
        <v>7343.25</v>
      </c>
      <c r="U55" s="1"/>
      <c r="V55" s="5">
        <f t="shared" si="24"/>
        <v>7.3557487411459819E-3</v>
      </c>
      <c r="W55" s="1"/>
      <c r="X55" s="1">
        <f t="shared" si="25"/>
        <v>1565.7000000000007</v>
      </c>
      <c r="Y55" s="1"/>
      <c r="Z55" s="5">
        <f t="shared" si="26"/>
        <v>0.21321621897661128</v>
      </c>
    </row>
    <row r="56" spans="1:26" s="24" customFormat="1" hidden="1" outlineLevel="2" x14ac:dyDescent="0.25">
      <c r="A56" s="28"/>
      <c r="B56" s="11" t="str">
        <f>CONCATENATE("          ", "6111", " - ", "F.I.C.A.")</f>
        <v xml:space="preserve">          6111 - F.I.C.A.</v>
      </c>
      <c r="C56" s="11"/>
      <c r="D56" s="6">
        <v>699.16</v>
      </c>
      <c r="E56" s="2"/>
      <c r="F56" s="7">
        <f t="shared" si="19"/>
        <v>2.1826540812643737E-3</v>
      </c>
      <c r="G56" s="2"/>
      <c r="H56" s="6">
        <v>468.48</v>
      </c>
      <c r="I56" s="2"/>
      <c r="J56" s="7">
        <f t="shared" si="20"/>
        <v>1.8349492020509062E-3</v>
      </c>
      <c r="K56" s="2"/>
      <c r="L56" s="6">
        <f t="shared" si="21"/>
        <v>230.67999999999995</v>
      </c>
      <c r="M56" s="2"/>
      <c r="N56" s="7">
        <f t="shared" si="22"/>
        <v>0.49240095628415287</v>
      </c>
      <c r="O56" s="11"/>
      <c r="P56" s="6">
        <v>1774.7</v>
      </c>
      <c r="Q56" s="2"/>
      <c r="R56" s="7">
        <f t="shared" si="23"/>
        <v>1.4886198880623609E-3</v>
      </c>
      <c r="S56" s="2"/>
      <c r="T56" s="6">
        <v>1796.7</v>
      </c>
      <c r="U56" s="2"/>
      <c r="V56" s="7">
        <f t="shared" si="24"/>
        <v>1.7997581129904315E-3</v>
      </c>
      <c r="W56" s="2"/>
      <c r="X56" s="6">
        <f t="shared" si="25"/>
        <v>-22</v>
      </c>
      <c r="Y56" s="2"/>
      <c r="Z56" s="7">
        <f t="shared" si="26"/>
        <v>-1.2244670785328657E-2</v>
      </c>
    </row>
    <row r="57" spans="1:26" s="24" customFormat="1" hidden="1" outlineLevel="2" x14ac:dyDescent="0.25">
      <c r="A57" s="28"/>
      <c r="B57" s="11" t="str">
        <f>CONCATENATE("          ", "6112", " - ", "COMPENSATION INSURANCE")</f>
        <v xml:space="preserve">          6112 - COMPENSATION INSURANCE</v>
      </c>
      <c r="C57" s="11"/>
      <c r="D57" s="6">
        <v>205.93</v>
      </c>
      <c r="E57" s="2"/>
      <c r="F57" s="7">
        <f t="shared" si="19"/>
        <v>6.4287710245833937E-4</v>
      </c>
      <c r="G57" s="2"/>
      <c r="H57" s="6"/>
      <c r="I57" s="2"/>
      <c r="J57" s="7">
        <f t="shared" si="20"/>
        <v>0</v>
      </c>
      <c r="K57" s="2"/>
      <c r="L57" s="6">
        <f t="shared" si="21"/>
        <v>205.93</v>
      </c>
      <c r="M57" s="2"/>
      <c r="N57" s="7">
        <f t="shared" si="22"/>
        <v>0</v>
      </c>
      <c r="O57" s="11"/>
      <c r="P57" s="6">
        <v>463.57</v>
      </c>
      <c r="Q57" s="2"/>
      <c r="R57" s="7">
        <f t="shared" si="23"/>
        <v>3.888429151456971E-4</v>
      </c>
      <c r="S57" s="2"/>
      <c r="T57" s="6">
        <v>261.2</v>
      </c>
      <c r="U57" s="2"/>
      <c r="V57" s="7">
        <f t="shared" si="24"/>
        <v>2.6164458123955063E-4</v>
      </c>
      <c r="W57" s="2"/>
      <c r="X57" s="6">
        <f t="shared" si="25"/>
        <v>202.37</v>
      </c>
      <c r="Y57" s="2"/>
      <c r="Z57" s="7">
        <f t="shared" si="26"/>
        <v>0.77477029096477801</v>
      </c>
    </row>
    <row r="58" spans="1:26" s="24" customFormat="1" hidden="1" outlineLevel="2" x14ac:dyDescent="0.25">
      <c r="A58" s="28"/>
      <c r="B58" s="11" t="str">
        <f>CONCATENATE("          ", "6113", " - ", "GROUP INSURANCE")</f>
        <v xml:space="preserve">          6113 - GROUP INSURANCE</v>
      </c>
      <c r="C58" s="11"/>
      <c r="D58" s="6">
        <v>964.88</v>
      </c>
      <c r="E58" s="2"/>
      <c r="F58" s="7">
        <f t="shared" si="19"/>
        <v>3.0121850076239619E-3</v>
      </c>
      <c r="G58" s="2"/>
      <c r="H58" s="6">
        <v>1029.08</v>
      </c>
      <c r="I58" s="2"/>
      <c r="J58" s="7">
        <f t="shared" si="20"/>
        <v>4.0307153450447114E-3</v>
      </c>
      <c r="K58" s="2"/>
      <c r="L58" s="6">
        <f t="shared" si="21"/>
        <v>-64.199999999999932</v>
      </c>
      <c r="M58" s="2"/>
      <c r="N58" s="7">
        <f t="shared" si="22"/>
        <v>-6.2385820344385216E-2</v>
      </c>
      <c r="O58" s="11"/>
      <c r="P58" s="6">
        <v>2894.64</v>
      </c>
      <c r="Q58" s="2"/>
      <c r="R58" s="7">
        <f t="shared" si="23"/>
        <v>2.4280265243595152E-3</v>
      </c>
      <c r="S58" s="2"/>
      <c r="T58" s="6">
        <v>2451.42</v>
      </c>
      <c r="U58" s="2"/>
      <c r="V58" s="7">
        <f t="shared" si="24"/>
        <v>2.4555924936533664E-3</v>
      </c>
      <c r="W58" s="2"/>
      <c r="X58" s="6">
        <f t="shared" si="25"/>
        <v>443.2199999999998</v>
      </c>
      <c r="Y58" s="2"/>
      <c r="Z58" s="7">
        <f t="shared" si="26"/>
        <v>0.18080133147318689</v>
      </c>
    </row>
    <row r="59" spans="1:26" s="24" customFormat="1" hidden="1" outlineLevel="2" x14ac:dyDescent="0.25">
      <c r="A59" s="28"/>
      <c r="B59" s="11" t="str">
        <f>CONCATENATE("          ", "6114", " - ", "STATE UNEMPLOYMENT INSURANCE")</f>
        <v xml:space="preserve">          6114 - STATE UNEMPLOYMENT INSURANCE</v>
      </c>
      <c r="C59" s="11"/>
      <c r="D59" s="6">
        <v>28.18</v>
      </c>
      <c r="E59" s="2"/>
      <c r="F59" s="7">
        <f t="shared" si="19"/>
        <v>8.797298473887244E-5</v>
      </c>
      <c r="G59" s="2"/>
      <c r="H59" s="6">
        <v>28.82</v>
      </c>
      <c r="I59" s="2"/>
      <c r="J59" s="7">
        <f t="shared" si="20"/>
        <v>1.1288259051209682E-4</v>
      </c>
      <c r="K59" s="2"/>
      <c r="L59" s="6">
        <f t="shared" si="21"/>
        <v>-0.64000000000000057</v>
      </c>
      <c r="M59" s="2"/>
      <c r="N59" s="7">
        <f t="shared" si="22"/>
        <v>-2.2206800832755051E-2</v>
      </c>
      <c r="O59" s="11"/>
      <c r="P59" s="6">
        <v>63.44</v>
      </c>
      <c r="Q59" s="2"/>
      <c r="R59" s="7">
        <f t="shared" si="23"/>
        <v>5.3213526623472227E-5</v>
      </c>
      <c r="S59" s="2"/>
      <c r="T59" s="6">
        <v>85.89</v>
      </c>
      <c r="U59" s="2"/>
      <c r="V59" s="7">
        <f t="shared" si="24"/>
        <v>8.603619097498088E-5</v>
      </c>
      <c r="W59" s="2"/>
      <c r="X59" s="6">
        <f t="shared" si="25"/>
        <v>-22.450000000000003</v>
      </c>
      <c r="Y59" s="2"/>
      <c r="Z59" s="7">
        <f t="shared" si="26"/>
        <v>-0.26138083595296313</v>
      </c>
    </row>
    <row r="60" spans="1:26" s="24" customFormat="1" hidden="1" outlineLevel="2" x14ac:dyDescent="0.25">
      <c r="A60" s="28"/>
      <c r="B60" s="11" t="str">
        <f>CONCATENATE("          ", "6115", " - ", "P.E.R.S.")</f>
        <v xml:space="preserve">          6115 - P.E.R.S.</v>
      </c>
      <c r="C60" s="11"/>
      <c r="D60" s="6">
        <v>196.25</v>
      </c>
      <c r="E60" s="2"/>
      <c r="F60" s="7">
        <f t="shared" si="19"/>
        <v>6.1265785149055066E-4</v>
      </c>
      <c r="G60" s="2"/>
      <c r="H60" s="6">
        <v>174.42</v>
      </c>
      <c r="I60" s="2"/>
      <c r="J60" s="7">
        <f t="shared" si="20"/>
        <v>6.8317076464677047E-4</v>
      </c>
      <c r="K60" s="2"/>
      <c r="L60" s="6">
        <f t="shared" si="21"/>
        <v>21.830000000000013</v>
      </c>
      <c r="M60" s="2"/>
      <c r="N60" s="7">
        <f t="shared" si="22"/>
        <v>0.12515766540534351</v>
      </c>
      <c r="O60" s="11"/>
      <c r="P60" s="6">
        <v>563.04999999999995</v>
      </c>
      <c r="Q60" s="2"/>
      <c r="R60" s="7">
        <f t="shared" si="23"/>
        <v>4.7228682480053656E-4</v>
      </c>
      <c r="S60" s="2"/>
      <c r="T60" s="6">
        <v>607.92999999999995</v>
      </c>
      <c r="U60" s="2"/>
      <c r="V60" s="7">
        <f t="shared" si="24"/>
        <v>6.0896474070811651E-4</v>
      </c>
      <c r="W60" s="2"/>
      <c r="X60" s="6">
        <f t="shared" si="25"/>
        <v>-44.879999999999995</v>
      </c>
      <c r="Y60" s="2"/>
      <c r="Z60" s="7">
        <f t="shared" si="26"/>
        <v>-7.3824288980639211E-2</v>
      </c>
    </row>
    <row r="61" spans="1:26" s="24" customFormat="1" hidden="1" outlineLevel="2" x14ac:dyDescent="0.25">
      <c r="A61" s="28"/>
      <c r="B61" s="11" t="str">
        <f>CONCATENATE("          ", "6117", " - ", "RETIREMENT STAFF HOURLY")</f>
        <v xml:space="preserve">          6117 - RETIREMENT STAFF HOURLY</v>
      </c>
      <c r="C61" s="11"/>
      <c r="D61" s="6">
        <v>301.07</v>
      </c>
      <c r="E61" s="2"/>
      <c r="F61" s="7">
        <f t="shared" si="19"/>
        <v>9.3988738521406413E-4</v>
      </c>
      <c r="G61" s="2"/>
      <c r="H61" s="6">
        <v>271.43</v>
      </c>
      <c r="I61" s="2"/>
      <c r="J61" s="7">
        <f t="shared" si="20"/>
        <v>1.063140927921528E-3</v>
      </c>
      <c r="K61" s="2"/>
      <c r="L61" s="6">
        <f t="shared" si="21"/>
        <v>29.639999999999986</v>
      </c>
      <c r="M61" s="2"/>
      <c r="N61" s="7">
        <f t="shared" si="22"/>
        <v>0.10919942526618276</v>
      </c>
      <c r="O61" s="11"/>
      <c r="P61" s="6">
        <v>552.04999999999995</v>
      </c>
      <c r="Q61" s="2"/>
      <c r="R61" s="7">
        <f t="shared" si="23"/>
        <v>4.6306001532925349E-4</v>
      </c>
      <c r="S61" s="2"/>
      <c r="T61" s="6">
        <v>578.67999999999995</v>
      </c>
      <c r="U61" s="2"/>
      <c r="V61" s="7">
        <f t="shared" si="24"/>
        <v>5.7966495509840415E-4</v>
      </c>
      <c r="W61" s="2"/>
      <c r="X61" s="6">
        <f t="shared" si="25"/>
        <v>-26.629999999999995</v>
      </c>
      <c r="Y61" s="2"/>
      <c r="Z61" s="7">
        <f t="shared" si="26"/>
        <v>-4.6018524918780668E-2</v>
      </c>
    </row>
    <row r="62" spans="1:26" s="24" customFormat="1" hidden="1" outlineLevel="2" x14ac:dyDescent="0.25">
      <c r="A62" s="28"/>
      <c r="B62" s="11" t="str">
        <f>CONCATENATE("          ", "6118", " - ", "VACATION")</f>
        <v xml:space="preserve">          6118 - VACATION</v>
      </c>
      <c r="C62" s="11"/>
      <c r="D62" s="6">
        <v>572.64</v>
      </c>
      <c r="E62" s="2"/>
      <c r="F62" s="7">
        <f t="shared" si="19"/>
        <v>1.7876809787391028E-3</v>
      </c>
      <c r="G62" s="2"/>
      <c r="H62" s="6">
        <v>146.9</v>
      </c>
      <c r="I62" s="2"/>
      <c r="J62" s="7">
        <f t="shared" si="20"/>
        <v>5.753800328323047E-4</v>
      </c>
      <c r="K62" s="2"/>
      <c r="L62" s="6">
        <f t="shared" si="21"/>
        <v>425.74</v>
      </c>
      <c r="M62" s="2"/>
      <c r="N62" s="7">
        <f t="shared" si="22"/>
        <v>2.8981620149761742</v>
      </c>
      <c r="O62" s="11"/>
      <c r="P62" s="6">
        <v>1037.27</v>
      </c>
      <c r="Q62" s="2"/>
      <c r="R62" s="7">
        <f t="shared" si="23"/>
        <v>8.7006296911615766E-4</v>
      </c>
      <c r="S62" s="2"/>
      <c r="T62" s="6">
        <v>590.62</v>
      </c>
      <c r="U62" s="2"/>
      <c r="V62" s="7">
        <f t="shared" si="24"/>
        <v>5.9162527783959955E-4</v>
      </c>
      <c r="W62" s="2"/>
      <c r="X62" s="6">
        <f t="shared" si="25"/>
        <v>446.65</v>
      </c>
      <c r="Y62" s="2"/>
      <c r="Z62" s="7">
        <f t="shared" si="26"/>
        <v>0.7562392062578307</v>
      </c>
    </row>
    <row r="63" spans="1:26" s="24" customFormat="1" hidden="1" outlineLevel="2" x14ac:dyDescent="0.25">
      <c r="A63" s="28"/>
      <c r="B63" s="11" t="str">
        <f>CONCATENATE("          ", "6119", " - ", "SICK LEAVE")</f>
        <v xml:space="preserve">          6119 - SICK LEAVE</v>
      </c>
      <c r="C63" s="11"/>
      <c r="D63" s="6">
        <v>636.29999999999995</v>
      </c>
      <c r="E63" s="2"/>
      <c r="F63" s="7">
        <f t="shared" si="19"/>
        <v>1.9864162593805725E-3</v>
      </c>
      <c r="G63" s="2"/>
      <c r="H63" s="6">
        <v>117.58</v>
      </c>
      <c r="I63" s="2"/>
      <c r="J63" s="7">
        <f t="shared" si="20"/>
        <v>4.6053903512881136E-4</v>
      </c>
      <c r="K63" s="2"/>
      <c r="L63" s="6">
        <f t="shared" si="21"/>
        <v>518.71999999999991</v>
      </c>
      <c r="M63" s="2"/>
      <c r="N63" s="7">
        <f t="shared" si="22"/>
        <v>4.4116346317400907</v>
      </c>
      <c r="O63" s="11"/>
      <c r="P63" s="6">
        <v>1086.03</v>
      </c>
      <c r="Q63" s="2"/>
      <c r="R63" s="7">
        <f t="shared" si="23"/>
        <v>9.1096289909977214E-4</v>
      </c>
      <c r="S63" s="2"/>
      <c r="T63" s="6">
        <v>520.80999999999995</v>
      </c>
      <c r="U63" s="2"/>
      <c r="V63" s="7">
        <f t="shared" si="24"/>
        <v>5.2169645618441944E-4</v>
      </c>
      <c r="W63" s="2"/>
      <c r="X63" s="6">
        <f t="shared" si="25"/>
        <v>565.22</v>
      </c>
      <c r="Y63" s="2"/>
      <c r="Z63" s="7">
        <f t="shared" si="26"/>
        <v>1.0852710201417026</v>
      </c>
    </row>
    <row r="64" spans="1:26" s="24" customFormat="1" hidden="1" outlineLevel="2" x14ac:dyDescent="0.25">
      <c r="A64" s="28"/>
      <c r="B64" s="11" t="str">
        <f>CONCATENATE("          ", "6156", " - ", "EMPLOYEE MEALS")</f>
        <v xml:space="preserve">          6156 - EMPLOYEE MEALS</v>
      </c>
      <c r="C64" s="11"/>
      <c r="D64" s="6">
        <v>175</v>
      </c>
      <c r="E64" s="2"/>
      <c r="F64" s="7">
        <f t="shared" si="19"/>
        <v>5.4631910323998142E-4</v>
      </c>
      <c r="G64" s="2"/>
      <c r="H64" s="6">
        <v>150</v>
      </c>
      <c r="I64" s="2"/>
      <c r="J64" s="7">
        <f t="shared" si="20"/>
        <v>5.8752215741896333E-4</v>
      </c>
      <c r="K64" s="2"/>
      <c r="L64" s="6">
        <f t="shared" si="21"/>
        <v>25</v>
      </c>
      <c r="M64" s="2"/>
      <c r="N64" s="7">
        <f t="shared" si="22"/>
        <v>0.16666666666666666</v>
      </c>
      <c r="O64" s="11"/>
      <c r="P64" s="6">
        <v>474.2</v>
      </c>
      <c r="Q64" s="2"/>
      <c r="R64" s="7">
        <f t="shared" si="23"/>
        <v>3.9775936829840059E-4</v>
      </c>
      <c r="S64" s="2"/>
      <c r="T64" s="6">
        <v>450</v>
      </c>
      <c r="U64" s="2"/>
      <c r="V64" s="7">
        <f t="shared" si="24"/>
        <v>4.5076593245711255E-4</v>
      </c>
      <c r="W64" s="2"/>
      <c r="X64" s="6">
        <f t="shared" si="25"/>
        <v>24.199999999999989</v>
      </c>
      <c r="Y64" s="2"/>
      <c r="Z64" s="7">
        <f t="shared" si="26"/>
        <v>5.3777777777777751E-2</v>
      </c>
    </row>
    <row r="65" spans="1:26" s="29" customFormat="1" outlineLevel="1" collapsed="1" x14ac:dyDescent="0.25">
      <c r="A65" s="27"/>
      <c r="B65" s="14" t="str">
        <f>CONCATENATE("     ","*Payroll                                          ")</f>
        <v xml:space="preserve">     *Payroll                                          </v>
      </c>
      <c r="C65" s="14"/>
      <c r="D65" s="1">
        <f>SUM(OSRRefD22_1x_0)</f>
        <v>10223.98</v>
      </c>
      <c r="E65" s="1"/>
      <c r="F65" s="5">
        <f t="shared" ref="F65:F69" si="27">IF(D$12=0,0,D65/D$12)</f>
        <v>3.1917460486534315E-2</v>
      </c>
      <c r="G65" s="1"/>
      <c r="H65" s="1">
        <f>SUM(OSRRefH22_1x_0)</f>
        <v>10019.41</v>
      </c>
      <c r="I65" s="1"/>
      <c r="J65" s="5">
        <f t="shared" ref="J65:J69" si="28">IF(H$12=0,0,H65/H$12)</f>
        <v>3.9244169195100896E-2</v>
      </c>
      <c r="K65" s="1"/>
      <c r="L65" s="1">
        <f t="shared" ref="L65:L69" si="29">+D65-H65</f>
        <v>204.56999999999971</v>
      </c>
      <c r="M65" s="1"/>
      <c r="N65" s="5">
        <f t="shared" ref="N65:N69" si="30">IF(H65=0,0,L65/H65)</f>
        <v>2.0417369885053084E-2</v>
      </c>
      <c r="O65" s="14"/>
      <c r="P65" s="1">
        <f>SUM(OSRRefP22_1x_0)</f>
        <v>27512.059999999998</v>
      </c>
      <c r="Q65" s="1"/>
      <c r="R65" s="5">
        <f t="shared" ref="R65:R69" si="31">IF(P$12=0,0,P65/P$12)</f>
        <v>2.307713961659151E-2</v>
      </c>
      <c r="S65" s="1"/>
      <c r="T65" s="1">
        <f>SUM(OSRRefT22_1x_0)</f>
        <v>30261.53</v>
      </c>
      <c r="U65" s="1"/>
      <c r="V65" s="5">
        <f t="shared" ref="V65:V69" si="32">IF(T$12=0,0,T65/T$12)</f>
        <v>3.0313037306730854E-2</v>
      </c>
      <c r="W65" s="1"/>
      <c r="X65" s="1">
        <f t="shared" ref="X65:X69" si="33">+P65-T65</f>
        <v>-2749.4700000000012</v>
      </c>
      <c r="Y65" s="1"/>
      <c r="Z65" s="5">
        <f t="shared" ref="Z65:Z69" si="34">IF(T65=0,0,X65/T65)</f>
        <v>-9.0856939487197155E-2</v>
      </c>
    </row>
    <row r="66" spans="1:26" s="24" customFormat="1" hidden="1" outlineLevel="2" x14ac:dyDescent="0.25">
      <c r="A66" s="28"/>
      <c r="B66" s="11" t="str">
        <f>CONCATENATE("          ", "6002", " - ", "STAFF SALARIES")</f>
        <v xml:space="preserve">          6002 - STAFF SALARIES</v>
      </c>
      <c r="C66" s="11"/>
      <c r="D66" s="6">
        <v>2855.56</v>
      </c>
      <c r="E66" s="2"/>
      <c r="F66" s="7">
        <f t="shared" si="27"/>
        <v>8.9145541625597798E-3</v>
      </c>
      <c r="G66" s="2"/>
      <c r="H66" s="6">
        <v>2549.1999999999998</v>
      </c>
      <c r="I66" s="2"/>
      <c r="J66" s="7">
        <f t="shared" si="28"/>
        <v>9.9847432246161407E-3</v>
      </c>
      <c r="K66" s="2"/>
      <c r="L66" s="6">
        <f t="shared" si="29"/>
        <v>306.36000000000013</v>
      </c>
      <c r="M66" s="2"/>
      <c r="N66" s="7">
        <f t="shared" si="30"/>
        <v>0.12017887964851724</v>
      </c>
      <c r="O66" s="11"/>
      <c r="P66" s="6">
        <v>8631.64</v>
      </c>
      <c r="Q66" s="2"/>
      <c r="R66" s="7">
        <f t="shared" si="31"/>
        <v>7.2402270640641204E-3</v>
      </c>
      <c r="S66" s="2"/>
      <c r="T66" s="6">
        <v>7647.3</v>
      </c>
      <c r="U66" s="2"/>
      <c r="V66" s="7">
        <f t="shared" si="32"/>
        <v>7.6603162561761709E-3</v>
      </c>
      <c r="W66" s="2"/>
      <c r="X66" s="6">
        <f t="shared" si="33"/>
        <v>984.33999999999924</v>
      </c>
      <c r="Y66" s="2"/>
      <c r="Z66" s="7">
        <f t="shared" si="34"/>
        <v>0.12871732506897848</v>
      </c>
    </row>
    <row r="67" spans="1:26" s="24" customFormat="1" hidden="1" outlineLevel="2" x14ac:dyDescent="0.25">
      <c r="A67" s="28"/>
      <c r="B67" s="11" t="str">
        <f>CONCATENATE("          ", "6005", " - ", "TEMPORARY WAGES-HOURLY")</f>
        <v xml:space="preserve">          6005 - TEMPORARY WAGES-HOURLY</v>
      </c>
      <c r="C67" s="11"/>
      <c r="D67" s="6">
        <v>4227.2700000000004</v>
      </c>
      <c r="E67" s="2"/>
      <c r="F67" s="7">
        <f t="shared" si="27"/>
        <v>1.3196790603161581E-2</v>
      </c>
      <c r="G67" s="2"/>
      <c r="H67" s="6">
        <v>3701.83</v>
      </c>
      <c r="I67" s="2"/>
      <c r="J67" s="7">
        <f t="shared" si="28"/>
        <v>1.4499380986654939E-2</v>
      </c>
      <c r="K67" s="2"/>
      <c r="L67" s="6">
        <f t="shared" si="29"/>
        <v>525.44000000000051</v>
      </c>
      <c r="M67" s="2"/>
      <c r="N67" s="7">
        <f t="shared" si="30"/>
        <v>0.14194060775346262</v>
      </c>
      <c r="O67" s="11"/>
      <c r="P67" s="6">
        <v>9368.14</v>
      </c>
      <c r="Q67" s="2"/>
      <c r="R67" s="7">
        <f t="shared" si="31"/>
        <v>7.8580038982095698E-3</v>
      </c>
      <c r="S67" s="2"/>
      <c r="T67" s="6">
        <v>9956.51</v>
      </c>
      <c r="U67" s="2"/>
      <c r="V67" s="7">
        <f t="shared" si="32"/>
        <v>9.9734566981523678E-3</v>
      </c>
      <c r="W67" s="2"/>
      <c r="X67" s="6">
        <f t="shared" si="33"/>
        <v>-588.3700000000008</v>
      </c>
      <c r="Y67" s="2"/>
      <c r="Z67" s="7">
        <f t="shared" si="34"/>
        <v>-5.9093999805152689E-2</v>
      </c>
    </row>
    <row r="68" spans="1:26" s="24" customFormat="1" hidden="1" outlineLevel="2" x14ac:dyDescent="0.25">
      <c r="A68" s="28"/>
      <c r="B68" s="11" t="str">
        <f>CONCATENATE("          ", "6006", " - ", "TEMPORARY PART TIME")</f>
        <v xml:space="preserve">          6006 - TEMPORARY PART TIME</v>
      </c>
      <c r="C68" s="11"/>
      <c r="D68" s="6">
        <v>2102.34</v>
      </c>
      <c r="E68" s="2"/>
      <c r="F68" s="7">
        <f t="shared" si="27"/>
        <v>6.563134305745958E-3</v>
      </c>
      <c r="G68" s="2"/>
      <c r="H68" s="6"/>
      <c r="I68" s="2"/>
      <c r="J68" s="7">
        <f t="shared" si="28"/>
        <v>0</v>
      </c>
      <c r="K68" s="2"/>
      <c r="L68" s="6">
        <f t="shared" si="29"/>
        <v>2102.34</v>
      </c>
      <c r="M68" s="2"/>
      <c r="N68" s="7">
        <f t="shared" si="30"/>
        <v>0</v>
      </c>
      <c r="O68" s="11"/>
      <c r="P68" s="6">
        <v>5054.16</v>
      </c>
      <c r="Q68" s="2"/>
      <c r="R68" s="7">
        <f t="shared" si="31"/>
        <v>4.2394337597617968E-3</v>
      </c>
      <c r="S68" s="2"/>
      <c r="T68" s="6"/>
      <c r="U68" s="2"/>
      <c r="V68" s="7">
        <f t="shared" si="32"/>
        <v>0</v>
      </c>
      <c r="W68" s="2"/>
      <c r="X68" s="6">
        <f t="shared" si="33"/>
        <v>5054.16</v>
      </c>
      <c r="Y68" s="2"/>
      <c r="Z68" s="7">
        <f t="shared" si="34"/>
        <v>0</v>
      </c>
    </row>
    <row r="69" spans="1:26" s="24" customFormat="1" hidden="1" outlineLevel="2" x14ac:dyDescent="0.25">
      <c r="A69" s="28"/>
      <c r="B69" s="11" t="str">
        <f>CONCATENATE("          ", "6007", " - ", "STUDENT HOURLY")</f>
        <v xml:space="preserve">          6007 - STUDENT HOURLY</v>
      </c>
      <c r="C69" s="11"/>
      <c r="D69" s="6">
        <v>1038.81</v>
      </c>
      <c r="E69" s="2"/>
      <c r="F69" s="7">
        <f t="shared" si="27"/>
        <v>3.2429814150670006E-3</v>
      </c>
      <c r="G69" s="2"/>
      <c r="H69" s="6">
        <v>3768.38</v>
      </c>
      <c r="I69" s="2"/>
      <c r="J69" s="7">
        <f t="shared" si="28"/>
        <v>1.476004498382982E-2</v>
      </c>
      <c r="K69" s="2"/>
      <c r="L69" s="6">
        <f t="shared" si="29"/>
        <v>-2729.57</v>
      </c>
      <c r="M69" s="2"/>
      <c r="N69" s="7">
        <f t="shared" si="30"/>
        <v>-0.72433512543851741</v>
      </c>
      <c r="O69" s="11"/>
      <c r="P69" s="6">
        <v>4458.12</v>
      </c>
      <c r="Q69" s="2"/>
      <c r="R69" s="7">
        <f t="shared" si="31"/>
        <v>3.7394748945560217E-3</v>
      </c>
      <c r="S69" s="2"/>
      <c r="T69" s="6">
        <v>12657.72</v>
      </c>
      <c r="U69" s="2"/>
      <c r="V69" s="7">
        <f t="shared" si="32"/>
        <v>1.2679264352402317E-2</v>
      </c>
      <c r="W69" s="2"/>
      <c r="X69" s="6">
        <f t="shared" si="33"/>
        <v>-8199.5999999999985</v>
      </c>
      <c r="Y69" s="2"/>
      <c r="Z69" s="7">
        <f t="shared" si="34"/>
        <v>-0.64779438951090706</v>
      </c>
    </row>
    <row r="70" spans="1:26" s="29" customFormat="1" outlineLevel="1" collapsed="1" x14ac:dyDescent="0.25">
      <c r="A70" s="27"/>
      <c r="B70" s="14" t="str">
        <f>CONCATENATE("     ","Advertising/Promo                                 ")</f>
        <v xml:space="preserve">     Advertising/Promo                                 </v>
      </c>
      <c r="C70" s="14"/>
      <c r="D70" s="1">
        <f>SUM(OSRRefD22_2x_0)</f>
        <v>98.24</v>
      </c>
      <c r="E70" s="1"/>
      <c r="F70" s="5">
        <f t="shared" ref="F70:F86" si="35">IF(D$12=0,0,D70/D$12)</f>
        <v>3.0668793544169013E-4</v>
      </c>
      <c r="G70" s="1"/>
      <c r="H70" s="1">
        <f>SUM(OSRRefH22_2x_0)</f>
        <v>140.33000000000001</v>
      </c>
      <c r="I70" s="1"/>
      <c r="J70" s="5">
        <f t="shared" ref="J70:J86" si="36">IF(H$12=0,0,H70/H$12)</f>
        <v>5.4964656233735419E-4</v>
      </c>
      <c r="K70" s="1"/>
      <c r="L70" s="1">
        <f t="shared" ref="L70:L86" si="37">+D70-H70</f>
        <v>-42.090000000000018</v>
      </c>
      <c r="M70" s="1"/>
      <c r="N70" s="5">
        <f t="shared" ref="N70:N86" si="38">IF(H70=0,0,L70/H70)</f>
        <v>-0.29993586545998729</v>
      </c>
      <c r="O70" s="14"/>
      <c r="P70" s="1">
        <f>SUM(OSRRefP22_2x_0)</f>
        <v>800.4</v>
      </c>
      <c r="Q70" s="1"/>
      <c r="R70" s="5">
        <f t="shared" ref="R70:R86" si="39">IF(P$12=0,0,P70/P$12)</f>
        <v>6.7137620916499327E-4</v>
      </c>
      <c r="S70" s="1"/>
      <c r="T70" s="1">
        <f>SUM(OSRRefT22_2x_0)</f>
        <v>467.07</v>
      </c>
      <c r="U70" s="1"/>
      <c r="V70" s="5">
        <f t="shared" ref="V70:V86" si="40">IF(T$12=0,0,T70/T$12)</f>
        <v>4.67864986828319E-4</v>
      </c>
      <c r="W70" s="1"/>
      <c r="X70" s="1">
        <f t="shared" ref="X70:X86" si="41">+P70-T70</f>
        <v>333.33</v>
      </c>
      <c r="Y70" s="1"/>
      <c r="Z70" s="5">
        <f t="shared" ref="Z70:Z86" si="42">IF(T70=0,0,X70/T70)</f>
        <v>0.71366176376132051</v>
      </c>
    </row>
    <row r="71" spans="1:26" s="24" customFormat="1" hidden="1" outlineLevel="2" x14ac:dyDescent="0.25">
      <c r="A71" s="28"/>
      <c r="B71" s="11" t="str">
        <f>CONCATENATE("          ", "6362", " - ", "ADVERTISING EXPENSE")</f>
        <v xml:space="preserve">          6362 - ADVERTISING EXPENSE</v>
      </c>
      <c r="C71" s="11"/>
      <c r="D71" s="6">
        <v>98.24</v>
      </c>
      <c r="E71" s="2"/>
      <c r="F71" s="7">
        <f t="shared" si="35"/>
        <v>3.0668793544169013E-4</v>
      </c>
      <c r="G71" s="2"/>
      <c r="H71" s="6">
        <v>140.33000000000001</v>
      </c>
      <c r="I71" s="2"/>
      <c r="J71" s="7">
        <f t="shared" si="36"/>
        <v>5.4964656233735419E-4</v>
      </c>
      <c r="K71" s="2"/>
      <c r="L71" s="6">
        <f t="shared" si="37"/>
        <v>-42.090000000000018</v>
      </c>
      <c r="M71" s="2"/>
      <c r="N71" s="7">
        <f t="shared" si="38"/>
        <v>-0.29993586545998729</v>
      </c>
      <c r="O71" s="11"/>
      <c r="P71" s="6">
        <v>800.4</v>
      </c>
      <c r="Q71" s="2"/>
      <c r="R71" s="7">
        <f t="shared" si="39"/>
        <v>6.7137620916499327E-4</v>
      </c>
      <c r="S71" s="2"/>
      <c r="T71" s="6">
        <v>467.07</v>
      </c>
      <c r="U71" s="2"/>
      <c r="V71" s="7">
        <f t="shared" si="40"/>
        <v>4.67864986828319E-4</v>
      </c>
      <c r="W71" s="2"/>
      <c r="X71" s="6">
        <f t="shared" si="41"/>
        <v>333.33</v>
      </c>
      <c r="Y71" s="2"/>
      <c r="Z71" s="7">
        <f t="shared" si="42"/>
        <v>0.71366176376132051</v>
      </c>
    </row>
    <row r="72" spans="1:26" s="29" customFormat="1" outlineLevel="1" collapsed="1" x14ac:dyDescent="0.25">
      <c r="A72" s="27"/>
      <c r="B72" s="14" t="str">
        <f>CONCATENATE("     ","Depreciation                                      ")</f>
        <v xml:space="preserve">     Depreciation                                      </v>
      </c>
      <c r="C72" s="14"/>
      <c r="D72" s="1">
        <f>SUM(OSRRefD22_3x_0)</f>
        <v>280.44</v>
      </c>
      <c r="E72" s="1"/>
      <c r="F72" s="5">
        <f t="shared" si="35"/>
        <v>8.7548416750068796E-4</v>
      </c>
      <c r="G72" s="1"/>
      <c r="H72" s="1">
        <f>SUM(OSRRefH22_3x_0)</f>
        <v>280.44</v>
      </c>
      <c r="I72" s="1"/>
      <c r="J72" s="5">
        <f t="shared" si="36"/>
        <v>1.0984314255104938E-3</v>
      </c>
      <c r="K72" s="1"/>
      <c r="L72" s="1">
        <f t="shared" si="37"/>
        <v>0</v>
      </c>
      <c r="M72" s="1"/>
      <c r="N72" s="5">
        <f t="shared" si="38"/>
        <v>0</v>
      </c>
      <c r="O72" s="14"/>
      <c r="P72" s="1">
        <f>SUM(OSRRefP22_3x_0)</f>
        <v>841.32</v>
      </c>
      <c r="Q72" s="1"/>
      <c r="R72" s="5">
        <f t="shared" si="39"/>
        <v>7.0569994039816619E-4</v>
      </c>
      <c r="S72" s="1"/>
      <c r="T72" s="1">
        <f>SUM(OSRRefT22_3x_0)</f>
        <v>841.32</v>
      </c>
      <c r="U72" s="1"/>
      <c r="V72" s="5">
        <f t="shared" si="40"/>
        <v>8.4275198732181771E-4</v>
      </c>
      <c r="W72" s="1"/>
      <c r="X72" s="1">
        <f t="shared" si="41"/>
        <v>0</v>
      </c>
      <c r="Y72" s="1"/>
      <c r="Z72" s="5">
        <f t="shared" si="42"/>
        <v>0</v>
      </c>
    </row>
    <row r="73" spans="1:26" s="24" customFormat="1" hidden="1" outlineLevel="2" x14ac:dyDescent="0.25">
      <c r="A73" s="28"/>
      <c r="B73" s="11" t="str">
        <f>CONCATENATE("          ", "6322", " - ", "EQUIPMENT DEPRECIATION EXPENSE")</f>
        <v xml:space="preserve">          6322 - EQUIPMENT DEPRECIATION EXPENSE</v>
      </c>
      <c r="C73" s="11"/>
      <c r="D73" s="6">
        <v>280.44</v>
      </c>
      <c r="E73" s="2"/>
      <c r="F73" s="7">
        <f t="shared" si="35"/>
        <v>8.7548416750068796E-4</v>
      </c>
      <c r="G73" s="2"/>
      <c r="H73" s="6">
        <v>280.44</v>
      </c>
      <c r="I73" s="2"/>
      <c r="J73" s="7">
        <f t="shared" si="36"/>
        <v>1.0984314255104938E-3</v>
      </c>
      <c r="K73" s="2"/>
      <c r="L73" s="6">
        <f t="shared" si="37"/>
        <v>0</v>
      </c>
      <c r="M73" s="2"/>
      <c r="N73" s="7">
        <f t="shared" si="38"/>
        <v>0</v>
      </c>
      <c r="O73" s="11"/>
      <c r="P73" s="6">
        <v>841.32</v>
      </c>
      <c r="Q73" s="2"/>
      <c r="R73" s="7">
        <f t="shared" si="39"/>
        <v>7.0569994039816619E-4</v>
      </c>
      <c r="S73" s="2"/>
      <c r="T73" s="6">
        <v>841.32</v>
      </c>
      <c r="U73" s="2"/>
      <c r="V73" s="7">
        <f t="shared" si="40"/>
        <v>8.4275198732181771E-4</v>
      </c>
      <c r="W73" s="2"/>
      <c r="X73" s="6">
        <f t="shared" si="41"/>
        <v>0</v>
      </c>
      <c r="Y73" s="2"/>
      <c r="Z73" s="7">
        <f t="shared" si="42"/>
        <v>0</v>
      </c>
    </row>
    <row r="74" spans="1:26" s="29" customFormat="1" outlineLevel="1" collapsed="1" x14ac:dyDescent="0.25">
      <c r="A74" s="27"/>
      <c r="B74" s="14" t="str">
        <f>CONCATENATE("     ","Discounts and Markdowns                           ")</f>
        <v xml:space="preserve">     Discounts and Markdowns                           </v>
      </c>
      <c r="C74" s="14"/>
      <c r="D74" s="1">
        <f>SUM(OSRRefD22_4x_0)</f>
        <v>-3019.66</v>
      </c>
      <c r="E74" s="1"/>
      <c r="F74" s="5">
        <f t="shared" si="35"/>
        <v>-9.4268453902265278E-3</v>
      </c>
      <c r="G74" s="1"/>
      <c r="H74" s="1">
        <f>SUM(OSRRefH22_4x_0)</f>
        <v>21569.38</v>
      </c>
      <c r="I74" s="1"/>
      <c r="J74" s="5">
        <f t="shared" si="36"/>
        <v>8.4483257811929599E-2</v>
      </c>
      <c r="K74" s="1"/>
      <c r="L74" s="1">
        <f t="shared" si="37"/>
        <v>-24589.040000000001</v>
      </c>
      <c r="M74" s="1"/>
      <c r="N74" s="5">
        <f t="shared" si="38"/>
        <v>-1.1399975335406025</v>
      </c>
      <c r="O74" s="14"/>
      <c r="P74" s="1">
        <f>SUM(OSRRefP22_4x_0)</f>
        <v>66999.509999999995</v>
      </c>
      <c r="Q74" s="1"/>
      <c r="R74" s="5">
        <f t="shared" si="39"/>
        <v>5.6199246676301919E-2</v>
      </c>
      <c r="S74" s="1"/>
      <c r="T74" s="1">
        <f>SUM(OSRRefT22_4x_0)</f>
        <v>68512.760000000009</v>
      </c>
      <c r="U74" s="1"/>
      <c r="V74" s="5">
        <f t="shared" si="40"/>
        <v>6.8629373659134144E-2</v>
      </c>
      <c r="W74" s="1"/>
      <c r="X74" s="1">
        <f t="shared" si="41"/>
        <v>-1513.2500000000146</v>
      </c>
      <c r="Y74" s="1"/>
      <c r="Z74" s="5">
        <f t="shared" si="42"/>
        <v>-2.2087126544019162E-2</v>
      </c>
    </row>
    <row r="75" spans="1:26" s="24" customFormat="1" hidden="1" outlineLevel="2" x14ac:dyDescent="0.25">
      <c r="A75" s="28"/>
      <c r="B75" s="11" t="str">
        <f>CONCATENATE("          ", "6382", " - ", "DISCOUNTS/MARK DOWNS")</f>
        <v xml:space="preserve">          6382 - DISCOUNTS/MARK DOWNS</v>
      </c>
      <c r="C75" s="11"/>
      <c r="D75" s="6">
        <v>-3019.66</v>
      </c>
      <c r="E75" s="2"/>
      <c r="F75" s="7">
        <f t="shared" si="35"/>
        <v>-9.4268453902265278E-3</v>
      </c>
      <c r="G75" s="2"/>
      <c r="H75" s="6">
        <v>21569.38</v>
      </c>
      <c r="I75" s="2"/>
      <c r="J75" s="7">
        <f t="shared" si="36"/>
        <v>8.4483257811929599E-2</v>
      </c>
      <c r="K75" s="2"/>
      <c r="L75" s="6">
        <f t="shared" si="37"/>
        <v>-24589.040000000001</v>
      </c>
      <c r="M75" s="2"/>
      <c r="N75" s="7">
        <f t="shared" si="38"/>
        <v>-1.1399975335406025</v>
      </c>
      <c r="O75" s="11"/>
      <c r="P75" s="6">
        <v>66999.509999999995</v>
      </c>
      <c r="Q75" s="2"/>
      <c r="R75" s="7">
        <f t="shared" si="39"/>
        <v>5.6199246676301919E-2</v>
      </c>
      <c r="S75" s="2"/>
      <c r="T75" s="6">
        <v>68512.760000000009</v>
      </c>
      <c r="U75" s="2"/>
      <c r="V75" s="7">
        <f t="shared" si="40"/>
        <v>6.8629373659134144E-2</v>
      </c>
      <c r="W75" s="2"/>
      <c r="X75" s="6">
        <f t="shared" si="41"/>
        <v>-1513.2500000000146</v>
      </c>
      <c r="Y75" s="2"/>
      <c r="Z75" s="7">
        <f t="shared" si="42"/>
        <v>-2.2087126544019162E-2</v>
      </c>
    </row>
    <row r="76" spans="1:26" s="29" customFormat="1" outlineLevel="1" collapsed="1" x14ac:dyDescent="0.25">
      <c r="A76" s="27"/>
      <c r="B76" s="14" t="str">
        <f>CONCATENATE("     ","Employees' Appreciation                           ")</f>
        <v xml:space="preserve">     Employees' Appreciation                           </v>
      </c>
      <c r="C76" s="14"/>
      <c r="D76" s="1">
        <f>SUM(OSRRefD22_5x_0)</f>
        <v>0</v>
      </c>
      <c r="E76" s="1"/>
      <c r="F76" s="5">
        <f t="shared" si="35"/>
        <v>0</v>
      </c>
      <c r="G76" s="1"/>
      <c r="H76" s="1">
        <f>SUM(OSRRefH22_5x_0)</f>
        <v>0</v>
      </c>
      <c r="I76" s="1"/>
      <c r="J76" s="5">
        <f t="shared" si="36"/>
        <v>0</v>
      </c>
      <c r="K76" s="1"/>
      <c r="L76" s="1">
        <f t="shared" si="37"/>
        <v>0</v>
      </c>
      <c r="M76" s="1"/>
      <c r="N76" s="5">
        <f t="shared" si="38"/>
        <v>0</v>
      </c>
      <c r="O76" s="14"/>
      <c r="P76" s="1">
        <f>SUM(OSRRefP22_5x_0)</f>
        <v>0</v>
      </c>
      <c r="Q76" s="1"/>
      <c r="R76" s="5">
        <f t="shared" si="39"/>
        <v>0</v>
      </c>
      <c r="S76" s="1"/>
      <c r="T76" s="1">
        <f>SUM(OSRRefT22_5x_0)</f>
        <v>84.31</v>
      </c>
      <c r="U76" s="1"/>
      <c r="V76" s="5">
        <f t="shared" si="40"/>
        <v>8.4453501701020354E-5</v>
      </c>
      <c r="W76" s="1"/>
      <c r="X76" s="1">
        <f t="shared" si="41"/>
        <v>-84.31</v>
      </c>
      <c r="Y76" s="1"/>
      <c r="Z76" s="5">
        <f t="shared" si="42"/>
        <v>-1</v>
      </c>
    </row>
    <row r="77" spans="1:26" s="24" customFormat="1" hidden="1" outlineLevel="2" x14ac:dyDescent="0.25">
      <c r="A77" s="28"/>
      <c r="B77" s="11" t="str">
        <f>CONCATENATE("          ", "6277", " - ", "EMPLOYEE APPRECIATION")</f>
        <v xml:space="preserve">          6277 - EMPLOYEE APPRECIATION</v>
      </c>
      <c r="C77" s="11"/>
      <c r="D77" s="6"/>
      <c r="E77" s="2"/>
      <c r="F77" s="7">
        <f t="shared" si="35"/>
        <v>0</v>
      </c>
      <c r="G77" s="2"/>
      <c r="H77" s="6"/>
      <c r="I77" s="2"/>
      <c r="J77" s="7">
        <f t="shared" si="36"/>
        <v>0</v>
      </c>
      <c r="K77" s="2"/>
      <c r="L77" s="6">
        <f t="shared" si="37"/>
        <v>0</v>
      </c>
      <c r="M77" s="2"/>
      <c r="N77" s="7">
        <f t="shared" si="38"/>
        <v>0</v>
      </c>
      <c r="O77" s="11"/>
      <c r="P77" s="6"/>
      <c r="Q77" s="2"/>
      <c r="R77" s="7">
        <f t="shared" si="39"/>
        <v>0</v>
      </c>
      <c r="S77" s="2"/>
      <c r="T77" s="6">
        <v>84.31</v>
      </c>
      <c r="U77" s="2"/>
      <c r="V77" s="7">
        <f t="shared" si="40"/>
        <v>8.4453501701020354E-5</v>
      </c>
      <c r="W77" s="2"/>
      <c r="X77" s="6">
        <f t="shared" si="41"/>
        <v>-84.31</v>
      </c>
      <c r="Y77" s="2"/>
      <c r="Z77" s="7">
        <f t="shared" si="42"/>
        <v>-1</v>
      </c>
    </row>
    <row r="78" spans="1:26" s="29" customFormat="1" outlineLevel="1" collapsed="1" x14ac:dyDescent="0.25">
      <c r="A78" s="27"/>
      <c r="B78" s="14" t="str">
        <f>CONCATENATE("     ","Freight out/Postage                               ")</f>
        <v xml:space="preserve">     Freight out/Postage                               </v>
      </c>
      <c r="C78" s="14"/>
      <c r="D78" s="1">
        <f>SUM(OSRRefD22_6x_0)</f>
        <v>5.49</v>
      </c>
      <c r="E78" s="1"/>
      <c r="F78" s="5">
        <f t="shared" si="35"/>
        <v>1.7138810724499992E-5</v>
      </c>
      <c r="G78" s="1"/>
      <c r="H78" s="1">
        <f>SUM(OSRRefH22_6x_0)</f>
        <v>15.17</v>
      </c>
      <c r="I78" s="1"/>
      <c r="J78" s="5">
        <f t="shared" si="36"/>
        <v>5.9418074186971154E-5</v>
      </c>
      <c r="K78" s="1"/>
      <c r="L78" s="1">
        <f t="shared" si="37"/>
        <v>-9.68</v>
      </c>
      <c r="M78" s="1"/>
      <c r="N78" s="5">
        <f t="shared" si="38"/>
        <v>-0.63810151615029664</v>
      </c>
      <c r="O78" s="14"/>
      <c r="P78" s="1">
        <f>SUM(OSRRefP22_6x_0)</f>
        <v>5.49</v>
      </c>
      <c r="Q78" s="1"/>
      <c r="R78" s="5">
        <f t="shared" si="39"/>
        <v>4.6050167270312506E-6</v>
      </c>
      <c r="S78" s="1"/>
      <c r="T78" s="1">
        <f>SUM(OSRRefT22_6x_0)</f>
        <v>47.83</v>
      </c>
      <c r="U78" s="1"/>
      <c r="V78" s="5">
        <f t="shared" si="40"/>
        <v>4.791141010983043E-5</v>
      </c>
      <c r="W78" s="1"/>
      <c r="X78" s="1">
        <f t="shared" si="41"/>
        <v>-42.339999999999996</v>
      </c>
      <c r="Y78" s="1"/>
      <c r="Z78" s="5">
        <f t="shared" si="42"/>
        <v>-0.88521848212418974</v>
      </c>
    </row>
    <row r="79" spans="1:26" s="24" customFormat="1" hidden="1" outlineLevel="2" x14ac:dyDescent="0.25">
      <c r="A79" s="28"/>
      <c r="B79" s="11" t="str">
        <f>CONCATENATE("          ", "6305", " - ", "FREIGHT OUT")</f>
        <v xml:space="preserve">          6305 - FREIGHT OUT</v>
      </c>
      <c r="C79" s="11"/>
      <c r="D79" s="6">
        <v>5.49</v>
      </c>
      <c r="E79" s="2"/>
      <c r="F79" s="7">
        <f t="shared" si="35"/>
        <v>1.7138810724499992E-5</v>
      </c>
      <c r="G79" s="2"/>
      <c r="H79" s="6">
        <v>15.17</v>
      </c>
      <c r="I79" s="2"/>
      <c r="J79" s="7">
        <f t="shared" si="36"/>
        <v>5.9418074186971154E-5</v>
      </c>
      <c r="K79" s="2"/>
      <c r="L79" s="6">
        <f t="shared" si="37"/>
        <v>-9.68</v>
      </c>
      <c r="M79" s="2"/>
      <c r="N79" s="7">
        <f t="shared" si="38"/>
        <v>-0.63810151615029664</v>
      </c>
      <c r="O79" s="11"/>
      <c r="P79" s="6">
        <v>5.49</v>
      </c>
      <c r="Q79" s="2"/>
      <c r="R79" s="7">
        <f t="shared" si="39"/>
        <v>4.6050167270312506E-6</v>
      </c>
      <c r="S79" s="2"/>
      <c r="T79" s="6">
        <v>47.83</v>
      </c>
      <c r="U79" s="2"/>
      <c r="V79" s="7">
        <f t="shared" si="40"/>
        <v>4.791141010983043E-5</v>
      </c>
      <c r="W79" s="2"/>
      <c r="X79" s="6">
        <f t="shared" si="41"/>
        <v>-42.339999999999996</v>
      </c>
      <c r="Y79" s="2"/>
      <c r="Z79" s="7">
        <f t="shared" si="42"/>
        <v>-0.88521848212418974</v>
      </c>
    </row>
    <row r="80" spans="1:26" s="29" customFormat="1" outlineLevel="1" collapsed="1" x14ac:dyDescent="0.25">
      <c r="A80" s="27"/>
      <c r="B80" s="14" t="str">
        <f>CONCATENATE("     ","Inventory Adjustment                              ")</f>
        <v xml:space="preserve">     Inventory Adjustment                              </v>
      </c>
      <c r="C80" s="14"/>
      <c r="D80" s="1">
        <f>SUM(OSRRefD22_7x_0)</f>
        <v>0</v>
      </c>
      <c r="E80" s="1"/>
      <c r="F80" s="5">
        <f t="shared" si="35"/>
        <v>0</v>
      </c>
      <c r="G80" s="1"/>
      <c r="H80" s="1">
        <f>SUM(OSRRefH22_7x_0)</f>
        <v>1250</v>
      </c>
      <c r="I80" s="1"/>
      <c r="J80" s="5">
        <f t="shared" si="36"/>
        <v>4.8960179784913608E-3</v>
      </c>
      <c r="K80" s="1"/>
      <c r="L80" s="1">
        <f t="shared" si="37"/>
        <v>-1250</v>
      </c>
      <c r="M80" s="1"/>
      <c r="N80" s="5">
        <f t="shared" si="38"/>
        <v>-1</v>
      </c>
      <c r="O80" s="14"/>
      <c r="P80" s="1">
        <f>SUM(OSRRefP22_7x_0)</f>
        <v>0</v>
      </c>
      <c r="Q80" s="1"/>
      <c r="R80" s="5">
        <f t="shared" si="39"/>
        <v>0</v>
      </c>
      <c r="S80" s="1"/>
      <c r="T80" s="1">
        <f>SUM(OSRRefT22_7x_0)</f>
        <v>3750</v>
      </c>
      <c r="U80" s="1"/>
      <c r="V80" s="5">
        <f t="shared" si="40"/>
        <v>3.7563827704759378E-3</v>
      </c>
      <c r="W80" s="1"/>
      <c r="X80" s="1">
        <f t="shared" si="41"/>
        <v>-3750</v>
      </c>
      <c r="Y80" s="1"/>
      <c r="Z80" s="5">
        <f t="shared" si="42"/>
        <v>-1</v>
      </c>
    </row>
    <row r="81" spans="1:26" s="24" customFormat="1" hidden="1" outlineLevel="2" x14ac:dyDescent="0.25">
      <c r="A81" s="28"/>
      <c r="B81" s="11" t="str">
        <f>CONCATENATE("          ", "6408", " - ", "INVENTORY ADJUSTMENT")</f>
        <v xml:space="preserve">          6408 - INVENTORY ADJUSTMENT</v>
      </c>
      <c r="C81" s="11"/>
      <c r="D81" s="6"/>
      <c r="E81" s="2"/>
      <c r="F81" s="7">
        <f t="shared" si="35"/>
        <v>0</v>
      </c>
      <c r="G81" s="2"/>
      <c r="H81" s="6">
        <v>1250</v>
      </c>
      <c r="I81" s="2"/>
      <c r="J81" s="7">
        <f t="shared" si="36"/>
        <v>4.8960179784913608E-3</v>
      </c>
      <c r="K81" s="2"/>
      <c r="L81" s="6">
        <f t="shared" si="37"/>
        <v>-1250</v>
      </c>
      <c r="M81" s="2"/>
      <c r="N81" s="7">
        <f t="shared" si="38"/>
        <v>-1</v>
      </c>
      <c r="O81" s="11"/>
      <c r="P81" s="6"/>
      <c r="Q81" s="2"/>
      <c r="R81" s="7">
        <f t="shared" si="39"/>
        <v>0</v>
      </c>
      <c r="S81" s="2"/>
      <c r="T81" s="6">
        <v>3750</v>
      </c>
      <c r="U81" s="2"/>
      <c r="V81" s="7">
        <f t="shared" si="40"/>
        <v>3.7563827704759378E-3</v>
      </c>
      <c r="W81" s="2"/>
      <c r="X81" s="6">
        <f t="shared" si="41"/>
        <v>-3750</v>
      </c>
      <c r="Y81" s="2"/>
      <c r="Z81" s="7">
        <f t="shared" si="42"/>
        <v>-1</v>
      </c>
    </row>
    <row r="82" spans="1:26" s="29" customFormat="1" outlineLevel="1" collapsed="1" x14ac:dyDescent="0.25">
      <c r="A82" s="27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SUM(OSRRefD22_8x_0)</f>
        <v>0</v>
      </c>
      <c r="E82" s="1"/>
      <c r="F82" s="5">
        <f t="shared" si="35"/>
        <v>0</v>
      </c>
      <c r="G82" s="1"/>
      <c r="H82" s="1">
        <f>SUM(OSRRefH22_8x_0)</f>
        <v>0</v>
      </c>
      <c r="I82" s="1"/>
      <c r="J82" s="5">
        <f t="shared" si="36"/>
        <v>0</v>
      </c>
      <c r="K82" s="1"/>
      <c r="L82" s="1">
        <f t="shared" si="37"/>
        <v>0</v>
      </c>
      <c r="M82" s="1"/>
      <c r="N82" s="5">
        <f t="shared" si="38"/>
        <v>0</v>
      </c>
      <c r="O82" s="14"/>
      <c r="P82" s="1">
        <f>SUM(OSRRefP22_8x_0)</f>
        <v>-5000</v>
      </c>
      <c r="Q82" s="1"/>
      <c r="R82" s="5">
        <f t="shared" si="39"/>
        <v>-4.194004305128644E-3</v>
      </c>
      <c r="S82" s="1"/>
      <c r="T82" s="1">
        <f>SUM(OSRRefT22_8x_0)</f>
        <v>0</v>
      </c>
      <c r="U82" s="1"/>
      <c r="V82" s="5">
        <f t="shared" si="40"/>
        <v>0</v>
      </c>
      <c r="W82" s="1"/>
      <c r="X82" s="1">
        <f t="shared" si="41"/>
        <v>-5000</v>
      </c>
      <c r="Y82" s="1"/>
      <c r="Z82" s="5">
        <f t="shared" si="42"/>
        <v>0</v>
      </c>
    </row>
    <row r="83" spans="1:26" s="24" customFormat="1" hidden="1" outlineLevel="2" x14ac:dyDescent="0.25">
      <c r="A83" s="28"/>
      <c r="B83" s="11" t="str">
        <f>CONCATENATE("          ", "6258", " - ", "MEMBERSHIP DUES")</f>
        <v xml:space="preserve">          6258 - MEMBERSHIP DUES</v>
      </c>
      <c r="C83" s="11"/>
      <c r="D83" s="6"/>
      <c r="E83" s="2"/>
      <c r="F83" s="7">
        <f t="shared" si="35"/>
        <v>0</v>
      </c>
      <c r="G83" s="2"/>
      <c r="H83" s="6"/>
      <c r="I83" s="2"/>
      <c r="J83" s="7">
        <f t="shared" si="36"/>
        <v>0</v>
      </c>
      <c r="K83" s="2"/>
      <c r="L83" s="6">
        <f t="shared" si="37"/>
        <v>0</v>
      </c>
      <c r="M83" s="2"/>
      <c r="N83" s="7">
        <f t="shared" si="38"/>
        <v>0</v>
      </c>
      <c r="O83" s="11"/>
      <c r="P83" s="6">
        <v>-5000</v>
      </c>
      <c r="Q83" s="2"/>
      <c r="R83" s="7">
        <f t="shared" si="39"/>
        <v>-4.194004305128644E-3</v>
      </c>
      <c r="S83" s="2"/>
      <c r="T83" s="6"/>
      <c r="U83" s="2"/>
      <c r="V83" s="7">
        <f t="shared" si="40"/>
        <v>0</v>
      </c>
      <c r="W83" s="2"/>
      <c r="X83" s="6">
        <f t="shared" si="41"/>
        <v>-5000</v>
      </c>
      <c r="Y83" s="2"/>
      <c r="Z83" s="7">
        <f t="shared" si="42"/>
        <v>0</v>
      </c>
    </row>
    <row r="84" spans="1:26" s="29" customFormat="1" outlineLevel="1" collapsed="1" x14ac:dyDescent="0.25">
      <c r="A84" s="27"/>
      <c r="B84" s="14" t="str">
        <f>CONCATENATE("     ","Supplies                                          ")</f>
        <v xml:space="preserve">     Supplies                                          </v>
      </c>
      <c r="C84" s="14"/>
      <c r="D84" s="1">
        <f>SUM(OSRRefD22_9x_0)</f>
        <v>600.75</v>
      </c>
      <c r="E84" s="1"/>
      <c r="F84" s="5">
        <f t="shared" si="35"/>
        <v>1.8754354358366792E-3</v>
      </c>
      <c r="G84" s="1"/>
      <c r="H84" s="1">
        <f>SUM(OSRRefH22_9x_0)</f>
        <v>54.19</v>
      </c>
      <c r="I84" s="1"/>
      <c r="J84" s="5">
        <f t="shared" si="36"/>
        <v>2.1225217140355746E-4</v>
      </c>
      <c r="K84" s="1"/>
      <c r="L84" s="1">
        <f t="shared" si="37"/>
        <v>546.55999999999995</v>
      </c>
      <c r="M84" s="1"/>
      <c r="N84" s="5">
        <f t="shared" si="38"/>
        <v>10.085993725779664</v>
      </c>
      <c r="O84" s="14"/>
      <c r="P84" s="1">
        <f>SUM(OSRRefP22_9x_0)</f>
        <v>1364.19</v>
      </c>
      <c r="Q84" s="1"/>
      <c r="R84" s="5">
        <f t="shared" si="39"/>
        <v>1.144283746602689E-3</v>
      </c>
      <c r="S84" s="1"/>
      <c r="T84" s="1">
        <f>SUM(OSRRefT22_9x_0)</f>
        <v>910.68</v>
      </c>
      <c r="U84" s="1"/>
      <c r="V84" s="5">
        <f t="shared" si="40"/>
        <v>9.1223004304454057E-4</v>
      </c>
      <c r="W84" s="1"/>
      <c r="X84" s="1">
        <f t="shared" si="41"/>
        <v>453.5100000000001</v>
      </c>
      <c r="Y84" s="1"/>
      <c r="Z84" s="5">
        <f t="shared" si="42"/>
        <v>0.49799051258400329</v>
      </c>
    </row>
    <row r="85" spans="1:26" s="24" customFormat="1" hidden="1" outlineLevel="2" x14ac:dyDescent="0.25">
      <c r="A85" s="28"/>
      <c r="B85" s="11" t="str">
        <f>CONCATENATE("          ", "6241", " - ", "OFFICE EXPENSE")</f>
        <v xml:space="preserve">          6241 - OFFICE EXPENSE</v>
      </c>
      <c r="C85" s="11"/>
      <c r="D85" s="6">
        <v>242.54</v>
      </c>
      <c r="E85" s="2"/>
      <c r="F85" s="7">
        <f t="shared" si="35"/>
        <v>7.5716705885614348E-4</v>
      </c>
      <c r="G85" s="2"/>
      <c r="H85" s="6"/>
      <c r="I85" s="2"/>
      <c r="J85" s="7">
        <f t="shared" si="36"/>
        <v>0</v>
      </c>
      <c r="K85" s="2"/>
      <c r="L85" s="6">
        <f t="shared" si="37"/>
        <v>242.54</v>
      </c>
      <c r="M85" s="2"/>
      <c r="N85" s="7">
        <f t="shared" si="38"/>
        <v>0</v>
      </c>
      <c r="O85" s="11"/>
      <c r="P85" s="6">
        <v>423.54</v>
      </c>
      <c r="Q85" s="2"/>
      <c r="R85" s="7">
        <f t="shared" si="39"/>
        <v>3.5526571667883716E-4</v>
      </c>
      <c r="S85" s="2"/>
      <c r="T85" s="6">
        <v>724.81</v>
      </c>
      <c r="U85" s="2"/>
      <c r="V85" s="7">
        <f t="shared" si="40"/>
        <v>7.2604367889831051E-4</v>
      </c>
      <c r="W85" s="2"/>
      <c r="X85" s="6">
        <f t="shared" si="41"/>
        <v>-301.26999999999992</v>
      </c>
      <c r="Y85" s="2"/>
      <c r="Z85" s="7">
        <f t="shared" si="42"/>
        <v>-0.41565375753645778</v>
      </c>
    </row>
    <row r="86" spans="1:26" s="24" customFormat="1" hidden="1" outlineLevel="2" x14ac:dyDescent="0.25">
      <c r="A86" s="28"/>
      <c r="B86" s="11" t="str">
        <f>CONCATENATE("          ", "6247", " - ", "STORE SUPPLIES")</f>
        <v xml:space="preserve">          6247 - STORE SUPPLIES</v>
      </c>
      <c r="C86" s="11"/>
      <c r="D86" s="6">
        <v>358.21</v>
      </c>
      <c r="E86" s="2"/>
      <c r="F86" s="7">
        <f t="shared" si="35"/>
        <v>1.1182683769805357E-3</v>
      </c>
      <c r="G86" s="2"/>
      <c r="H86" s="6">
        <v>54.19</v>
      </c>
      <c r="I86" s="2"/>
      <c r="J86" s="7">
        <f t="shared" si="36"/>
        <v>2.1225217140355746E-4</v>
      </c>
      <c r="K86" s="2"/>
      <c r="L86" s="6">
        <f t="shared" si="37"/>
        <v>304.02</v>
      </c>
      <c r="M86" s="2"/>
      <c r="N86" s="7">
        <f t="shared" si="38"/>
        <v>5.6102601956080456</v>
      </c>
      <c r="O86" s="11"/>
      <c r="P86" s="6">
        <v>940.65</v>
      </c>
      <c r="Q86" s="2"/>
      <c r="R86" s="7">
        <f t="shared" si="39"/>
        <v>7.8901802992385175E-4</v>
      </c>
      <c r="S86" s="2"/>
      <c r="T86" s="6">
        <v>185.87</v>
      </c>
      <c r="U86" s="2"/>
      <c r="V86" s="7">
        <f t="shared" si="40"/>
        <v>1.8618636414623004E-4</v>
      </c>
      <c r="W86" s="2"/>
      <c r="X86" s="6">
        <f t="shared" si="41"/>
        <v>754.78</v>
      </c>
      <c r="Y86" s="2"/>
      <c r="Z86" s="7">
        <f t="shared" si="42"/>
        <v>4.0607951794264805</v>
      </c>
    </row>
    <row r="87" spans="1:26" s="29" customFormat="1" outlineLevel="1" collapsed="1" x14ac:dyDescent="0.25">
      <c r="A87" s="27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SUM(OSRRefD22_10x_0)</f>
        <v>330</v>
      </c>
      <c r="E87" s="1"/>
      <c r="F87" s="5">
        <f t="shared" ref="F87:F88" si="43">IF(D$12=0,0,D87/D$12)</f>
        <v>1.0302017375382509E-3</v>
      </c>
      <c r="G87" s="1"/>
      <c r="H87" s="1">
        <f>SUM(OSRRefH22_10x_0)</f>
        <v>340</v>
      </c>
      <c r="I87" s="1"/>
      <c r="J87" s="5">
        <f t="shared" ref="J87:J88" si="44">IF(H$12=0,0,H87/H$12)</f>
        <v>1.3317168901496501E-3</v>
      </c>
      <c r="K87" s="1"/>
      <c r="L87" s="1">
        <f t="shared" ref="L87:L88" si="45">+D87-H87</f>
        <v>-10</v>
      </c>
      <c r="M87" s="1"/>
      <c r="N87" s="5">
        <f t="shared" ref="N87:N88" si="46">IF(H87=0,0,L87/H87)</f>
        <v>-2.9411764705882353E-2</v>
      </c>
      <c r="O87" s="14"/>
      <c r="P87" s="1">
        <f>SUM(OSRRefP22_10x_0)</f>
        <v>761.3</v>
      </c>
      <c r="Q87" s="1"/>
      <c r="R87" s="5">
        <f t="shared" ref="R87:R88" si="47">IF(P$12=0,0,P87/P$12)</f>
        <v>6.3857909549888724E-4</v>
      </c>
      <c r="S87" s="1"/>
      <c r="T87" s="1">
        <f>SUM(OSRRefT22_10x_0)</f>
        <v>1292.55</v>
      </c>
      <c r="U87" s="1"/>
      <c r="V87" s="5">
        <f t="shared" ref="V87:V88" si="48">IF(T$12=0,0,T87/T$12)</f>
        <v>1.2947500133276462E-3</v>
      </c>
      <c r="W87" s="1"/>
      <c r="X87" s="1">
        <f t="shared" ref="X87:X88" si="49">+P87-T87</f>
        <v>-531.25</v>
      </c>
      <c r="Y87" s="1"/>
      <c r="Z87" s="5">
        <f t="shared" ref="Z87:Z88" si="50">IF(T87=0,0,X87/T87)</f>
        <v>-0.41100924529031763</v>
      </c>
    </row>
    <row r="88" spans="1:26" s="24" customFormat="1" hidden="1" outlineLevel="2" x14ac:dyDescent="0.25">
      <c r="A88" s="28"/>
      <c r="B88" s="11" t="str">
        <f>CONCATENATE("          ", "6309", " - ", "TELEPHONE")</f>
        <v xml:space="preserve">          6309 - TELEPHONE</v>
      </c>
      <c r="C88" s="11"/>
      <c r="D88" s="6">
        <v>330</v>
      </c>
      <c r="E88" s="2"/>
      <c r="F88" s="7">
        <f t="shared" si="43"/>
        <v>1.0302017375382509E-3</v>
      </c>
      <c r="G88" s="2"/>
      <c r="H88" s="6">
        <v>340</v>
      </c>
      <c r="I88" s="2"/>
      <c r="J88" s="7">
        <f t="shared" si="44"/>
        <v>1.3317168901496501E-3</v>
      </c>
      <c r="K88" s="2"/>
      <c r="L88" s="6">
        <f t="shared" si="45"/>
        <v>-10</v>
      </c>
      <c r="M88" s="2"/>
      <c r="N88" s="7">
        <f t="shared" si="46"/>
        <v>-2.9411764705882353E-2</v>
      </c>
      <c r="O88" s="11"/>
      <c r="P88" s="6">
        <v>761.3</v>
      </c>
      <c r="Q88" s="2"/>
      <c r="R88" s="7">
        <f t="shared" si="47"/>
        <v>6.3857909549888724E-4</v>
      </c>
      <c r="S88" s="2"/>
      <c r="T88" s="6">
        <v>1292.55</v>
      </c>
      <c r="U88" s="2"/>
      <c r="V88" s="7">
        <f t="shared" si="48"/>
        <v>1.2947500133276462E-3</v>
      </c>
      <c r="W88" s="2"/>
      <c r="X88" s="6">
        <f t="shared" si="49"/>
        <v>-531.25</v>
      </c>
      <c r="Y88" s="2"/>
      <c r="Z88" s="7">
        <f t="shared" si="50"/>
        <v>-0.41100924529031763</v>
      </c>
    </row>
    <row r="89" spans="1:26" s="53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collapsed="1" x14ac:dyDescent="0.25">
      <c r="A90" s="10"/>
      <c r="B90" s="25" t="s">
        <v>0</v>
      </c>
      <c r="C90" s="10"/>
      <c r="D90" s="4">
        <f>SUM(OSRRefD25x_0)</f>
        <v>5155.6499999999996</v>
      </c>
      <c r="E90" s="4"/>
      <c r="F90" s="12">
        <f t="shared" ref="F90:F93" si="51">IF(D$12=0,0,D90/D$12)</f>
        <v>1.6095029054966917E-2</v>
      </c>
      <c r="G90" s="4"/>
      <c r="H90" s="4">
        <f>SUM(OSRRefH25x_0)</f>
        <v>2931.75</v>
      </c>
      <c r="I90" s="4"/>
      <c r="J90" s="12">
        <f t="shared" ref="J90:J93" si="52">IF(H$12=0,0,H90/H$12)</f>
        <v>1.1483120566753637E-2</v>
      </c>
      <c r="K90" s="4"/>
      <c r="L90" s="4">
        <f t="shared" ref="L90:L93" si="53">+D90-H90</f>
        <v>2223.8999999999996</v>
      </c>
      <c r="M90" s="4"/>
      <c r="N90" s="12">
        <f t="shared" ref="N90:N93" si="54">IF(H90=0,0,L90/H90)</f>
        <v>0.75855717574827308</v>
      </c>
      <c r="O90" s="10"/>
      <c r="P90" s="4">
        <f>SUM(OSRRefP25x_0)</f>
        <v>2146.1100000000006</v>
      </c>
      <c r="Q90" s="4"/>
      <c r="R90" s="12">
        <f t="shared" ref="R90:R93" si="55">IF(P$12=0,0,P90/P$12)</f>
        <v>1.8001589158559272E-3</v>
      </c>
      <c r="S90" s="4"/>
      <c r="T90" s="4">
        <f>SUM(OSRRefT25x_0)</f>
        <v>3181.25</v>
      </c>
      <c r="U90" s="4"/>
      <c r="V90" s="12">
        <f t="shared" ref="V90:V93" si="56">IF(T$12=0,0,T90/T$12)</f>
        <v>3.1866647169537538E-3</v>
      </c>
      <c r="W90" s="4"/>
      <c r="X90" s="4">
        <f t="shared" ref="X90:X93" si="57">+P90-T90</f>
        <v>-1035.1399999999994</v>
      </c>
      <c r="Y90" s="4"/>
      <c r="Z90" s="12">
        <f t="shared" ref="Z90:Z93" si="58">IF(T90=0,0,X90/T90)</f>
        <v>-0.3253878192534379</v>
      </c>
    </row>
    <row r="91" spans="1:26" s="24" customFormat="1" hidden="1" outlineLevel="1" x14ac:dyDescent="0.25">
      <c r="A91" s="44"/>
      <c r="B91" s="11" t="str">
        <f>CONCATENATE("          ", "4187", " - ", "NON-TAXABLE SALES-COMPUTER REP")</f>
        <v xml:space="preserve">          4187 - NON-TAXABLE SALES-COMPUTER REP</v>
      </c>
      <c r="C91" s="11"/>
      <c r="D91" s="2">
        <f>--4892.54</f>
        <v>4892.54</v>
      </c>
      <c r="E91" s="2"/>
      <c r="F91" s="19">
        <f t="shared" si="51"/>
        <v>1.5273646087804222E-2</v>
      </c>
      <c r="G91" s="2"/>
      <c r="H91" s="2">
        <f>--3252.66</f>
        <v>3252.66</v>
      </c>
      <c r="I91" s="2"/>
      <c r="J91" s="19">
        <f t="shared" si="52"/>
        <v>1.2740065470335767E-2</v>
      </c>
      <c r="K91" s="2"/>
      <c r="L91" s="2">
        <f t="shared" si="53"/>
        <v>1639.88</v>
      </c>
      <c r="M91" s="2"/>
      <c r="N91" s="19">
        <f t="shared" si="54"/>
        <v>0.50416582120479858</v>
      </c>
      <c r="O91" s="11"/>
      <c r="P91" s="2">
        <f>--7374.8</f>
        <v>7374.8</v>
      </c>
      <c r="Q91" s="2"/>
      <c r="R91" s="19">
        <f t="shared" si="55"/>
        <v>6.1859885898925444E-3</v>
      </c>
      <c r="S91" s="2"/>
      <c r="T91" s="2">
        <f>--4001.34</f>
        <v>4001.34</v>
      </c>
      <c r="U91" s="2"/>
      <c r="V91" s="19">
        <f t="shared" si="56"/>
        <v>4.008150569284317E-3</v>
      </c>
      <c r="W91" s="2"/>
      <c r="X91" s="2">
        <f t="shared" si="57"/>
        <v>3373.46</v>
      </c>
      <c r="Y91" s="2"/>
      <c r="Z91" s="19">
        <f t="shared" si="58"/>
        <v>0.84308256733994114</v>
      </c>
    </row>
    <row r="92" spans="1:26" s="24" customFormat="1" hidden="1" outlineLevel="1" x14ac:dyDescent="0.25">
      <c r="A92" s="44"/>
      <c r="B92" s="11" t="str">
        <f>CONCATENATE("          ", "4387", " - ", "SALES RETURN NON TAXABLE-COMPU")</f>
        <v xml:space="preserve">          4387 - SALES RETURN NON TAXABLE-COMPU</v>
      </c>
      <c r="C92" s="11"/>
      <c r="D92" s="2">
        <f>-2989.2</f>
        <v>-2989.2</v>
      </c>
      <c r="E92" s="2"/>
      <c r="F92" s="19">
        <f t="shared" si="51"/>
        <v>-9.3317546480283006E-3</v>
      </c>
      <c r="G92" s="2"/>
      <c r="H92" s="2">
        <f>0</f>
        <v>0</v>
      </c>
      <c r="I92" s="2"/>
      <c r="J92" s="19">
        <f t="shared" si="52"/>
        <v>0</v>
      </c>
      <c r="K92" s="2"/>
      <c r="L92" s="2">
        <f t="shared" si="53"/>
        <v>-2989.2</v>
      </c>
      <c r="M92" s="2"/>
      <c r="N92" s="19">
        <f t="shared" si="54"/>
        <v>0</v>
      </c>
      <c r="O92" s="11"/>
      <c r="P92" s="2">
        <f>-6440.7</f>
        <v>-6440.7</v>
      </c>
      <c r="Q92" s="2"/>
      <c r="R92" s="19">
        <f t="shared" si="55"/>
        <v>-5.4024647056084112E-3</v>
      </c>
      <c r="S92" s="2"/>
      <c r="T92" s="2">
        <f>0</f>
        <v>0</v>
      </c>
      <c r="U92" s="2"/>
      <c r="V92" s="19">
        <f t="shared" si="56"/>
        <v>0</v>
      </c>
      <c r="W92" s="2"/>
      <c r="X92" s="2">
        <f t="shared" si="57"/>
        <v>-6440.7</v>
      </c>
      <c r="Y92" s="2"/>
      <c r="Z92" s="19">
        <f t="shared" si="58"/>
        <v>0</v>
      </c>
    </row>
    <row r="93" spans="1:26" s="24" customFormat="1" hidden="1" outlineLevel="1" x14ac:dyDescent="0.25">
      <c r="A93" s="44"/>
      <c r="B93" s="11" t="str">
        <f>CONCATENATE("          ", "9150", " - ", "MISC. INCOME")</f>
        <v xml:space="preserve">          9150 - MISC. INCOME</v>
      </c>
      <c r="C93" s="11"/>
      <c r="D93" s="2">
        <f>--3252.31</f>
        <v>3252.31</v>
      </c>
      <c r="E93" s="2"/>
      <c r="F93" s="19">
        <f t="shared" si="51"/>
        <v>1.0153137615190995E-2</v>
      </c>
      <c r="G93" s="2"/>
      <c r="H93" s="2">
        <f>-320.91</f>
        <v>-320.91000000000003</v>
      </c>
      <c r="I93" s="2"/>
      <c r="J93" s="19">
        <f t="shared" si="52"/>
        <v>-1.2569449035821302E-3</v>
      </c>
      <c r="K93" s="2"/>
      <c r="L93" s="2">
        <f t="shared" si="53"/>
        <v>3573.22</v>
      </c>
      <c r="M93" s="2"/>
      <c r="N93" s="19">
        <f t="shared" si="54"/>
        <v>-11.134648343772396</v>
      </c>
      <c r="O93" s="11"/>
      <c r="P93" s="2">
        <f>--1212.01</f>
        <v>1212.01</v>
      </c>
      <c r="Q93" s="2"/>
      <c r="R93" s="19">
        <f t="shared" si="55"/>
        <v>1.0166350315717935E-3</v>
      </c>
      <c r="S93" s="2"/>
      <c r="T93" s="2">
        <f>-820.09</f>
        <v>-820.09</v>
      </c>
      <c r="U93" s="2"/>
      <c r="V93" s="19">
        <f t="shared" si="56"/>
        <v>-8.2148585233056317E-4</v>
      </c>
      <c r="W93" s="2"/>
      <c r="X93" s="2">
        <f t="shared" si="57"/>
        <v>2032.1</v>
      </c>
      <c r="Y93" s="2"/>
      <c r="Z93" s="19">
        <f t="shared" si="58"/>
        <v>-2.4778987672084769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6" t="s">
        <v>3</v>
      </c>
      <c r="C95" s="26"/>
      <c r="D95" s="21">
        <f>+D52-D54+D90</f>
        <v>34417.529999999912</v>
      </c>
      <c r="E95" s="13"/>
      <c r="F95" s="20">
        <f>IF(D$12=0,0,D95/D$12)</f>
        <v>0.10744545214477207</v>
      </c>
      <c r="G95" s="13"/>
      <c r="H95" s="21">
        <f>+H52-H54+H90</f>
        <v>5243.1500000000524</v>
      </c>
      <c r="I95" s="13"/>
      <c r="J95" s="20">
        <f>IF(H$12=0,0,H95/H$12)</f>
        <v>2.0536445331141788E-2</v>
      </c>
      <c r="K95" s="15"/>
      <c r="L95" s="21">
        <f>+D95-H95</f>
        <v>29174.379999999859</v>
      </c>
      <c r="M95" s="15"/>
      <c r="N95" s="20">
        <f>IF(H95=0,0,L95/H95)</f>
        <v>5.5642848287765121</v>
      </c>
      <c r="O95" s="25"/>
      <c r="P95" s="21">
        <f>+P52-P54+P90</f>
        <v>15970.819999999716</v>
      </c>
      <c r="Q95" s="13"/>
      <c r="R95" s="20">
        <f>IF(P$12=0,0,P95/P$12)</f>
        <v>1.3396337567286691E-2</v>
      </c>
      <c r="S95" s="13"/>
      <c r="T95" s="21">
        <f>+T52-T54+T90</f>
        <v>26915.999999999811</v>
      </c>
      <c r="U95" s="13"/>
      <c r="V95" s="20">
        <f>IF(T$12=0,0,T95/T$12)</f>
        <v>2.6961812973367902E-2</v>
      </c>
      <c r="W95" s="15"/>
      <c r="X95" s="21">
        <f>+P95-T95</f>
        <v>-10945.180000000095</v>
      </c>
      <c r="Y95" s="15"/>
      <c r="Z95" s="20">
        <f>IF(T95=0,0,X95/T95)</f>
        <v>-0.4066421459355094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1"/>
      <c r="B97" s="10" t="s">
        <v>13</v>
      </c>
      <c r="C97" s="10"/>
      <c r="D97" s="4">
        <v>19351.62</v>
      </c>
      <c r="E97" s="4"/>
      <c r="F97" s="12">
        <f>IF(D$12=0,0,D97/D$12)</f>
        <v>6.0412341055090794E-2</v>
      </c>
      <c r="G97" s="4"/>
      <c r="H97" s="4">
        <v>12840.23</v>
      </c>
      <c r="I97" s="4"/>
      <c r="J97" s="12">
        <f>IF(H$12=0,0,H97/H$12)</f>
        <v>5.0292797542371301E-2</v>
      </c>
      <c r="K97" s="4"/>
      <c r="L97" s="4">
        <f>+D97-H97</f>
        <v>6511.3899999999994</v>
      </c>
      <c r="M97" s="4"/>
      <c r="N97" s="12">
        <f>IF(H97=0,0,L97/H97)</f>
        <v>0.50710851752655517</v>
      </c>
      <c r="O97" s="10"/>
      <c r="P97" s="4">
        <v>128055.71999999999</v>
      </c>
      <c r="Q97" s="4"/>
      <c r="R97" s="12">
        <f>IF(P$12=0,0,P97/P$12)</f>
        <v>0.10741324819526962</v>
      </c>
      <c r="S97" s="4"/>
      <c r="T97" s="4">
        <v>88696.14</v>
      </c>
      <c r="U97" s="4"/>
      <c r="V97" s="12">
        <f>IF(T$12=0,0,T97/T$12)</f>
        <v>8.8847107227659108E-2</v>
      </c>
      <c r="W97" s="4"/>
      <c r="X97" s="4">
        <f>+P97-T97</f>
        <v>39359.579999999987</v>
      </c>
      <c r="Y97" s="4"/>
      <c r="Z97" s="12">
        <f>IF(T97=0,0,X97/T97)</f>
        <v>0.4437575299218206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4</v>
      </c>
      <c r="C99" s="26"/>
      <c r="D99" s="35">
        <f>+D95-D97</f>
        <v>15065.909999999913</v>
      </c>
      <c r="E99" s="13"/>
      <c r="F99" s="30">
        <f>IF(D$12=0,0,D99/D$12)</f>
        <v>4.7033111089681265E-2</v>
      </c>
      <c r="G99" s="13"/>
      <c r="H99" s="35">
        <f>+H95-H97</f>
        <v>-7597.0799999999472</v>
      </c>
      <c r="I99" s="13"/>
      <c r="J99" s="30">
        <f>IF(H$12=0,0,H99/H$12)</f>
        <v>-2.9756352211229509E-2</v>
      </c>
      <c r="K99" s="15"/>
      <c r="L99" s="35">
        <f>D99-H99</f>
        <v>22662.98999999986</v>
      </c>
      <c r="M99" s="15"/>
      <c r="N99" s="30">
        <f>IF(H99=0,0,L99/H99)</f>
        <v>-2.9831185139553642</v>
      </c>
      <c r="O99" s="25"/>
      <c r="P99" s="35">
        <f>+P95-P97</f>
        <v>-112084.90000000027</v>
      </c>
      <c r="Q99" s="13"/>
      <c r="R99" s="30">
        <f>IF(P$12=0,0,P99/P$12)</f>
        <v>-9.4016910627982925E-2</v>
      </c>
      <c r="S99" s="13"/>
      <c r="T99" s="35">
        <f>+T95-T97</f>
        <v>-61780.140000000189</v>
      </c>
      <c r="U99" s="13"/>
      <c r="V99" s="30">
        <f>IF(T$12=0,0,T99/T$12)</f>
        <v>-6.1885294254291207E-2</v>
      </c>
      <c r="W99" s="15"/>
      <c r="X99" s="35">
        <f>P99-T99</f>
        <v>-50304.760000000082</v>
      </c>
      <c r="Y99" s="15"/>
      <c r="Z99" s="30">
        <f>IF(T99=0,0,X99/T99)</f>
        <v>0.81425454846816359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6" t="s">
        <v>5</v>
      </c>
      <c r="C102" s="26"/>
      <c r="D102" s="36">
        <f>SUM(D99:D101)</f>
        <v>15065.909999999913</v>
      </c>
      <c r="E102" s="13"/>
      <c r="F102" s="31">
        <f>IF(D$12=0,0,D102/D$12)</f>
        <v>4.7033111089681265E-2</v>
      </c>
      <c r="G102" s="13"/>
      <c r="H102" s="36">
        <f>SUM(H99:H101)</f>
        <v>-7597.0799999999472</v>
      </c>
      <c r="I102" s="13"/>
      <c r="J102" s="31">
        <f>IF(H$12=0,0,H102/H$12)</f>
        <v>-2.9756352211229509E-2</v>
      </c>
      <c r="K102" s="15"/>
      <c r="L102" s="36">
        <f>+D102-H102</f>
        <v>22662.98999999986</v>
      </c>
      <c r="M102" s="15"/>
      <c r="N102" s="31">
        <f>IF(H102=0,0,L102/H102)</f>
        <v>-2.9831185139553642</v>
      </c>
      <c r="O102" s="25"/>
      <c r="P102" s="36">
        <f>SUM(P99:P101)</f>
        <v>-112084.90000000027</v>
      </c>
      <c r="Q102" s="13"/>
      <c r="R102" s="31">
        <f>IF(P$12=0,0,P102/P$12)</f>
        <v>-9.4016910627982925E-2</v>
      </c>
      <c r="S102" s="13"/>
      <c r="T102" s="36">
        <f>SUM(T99:T101)</f>
        <v>-61780.140000000189</v>
      </c>
      <c r="U102" s="13"/>
      <c r="V102" s="31">
        <f>IF(T$12=0,0,T102/T$12)</f>
        <v>-6.1885294254291207E-2</v>
      </c>
      <c r="W102" s="15"/>
      <c r="X102" s="36">
        <f>+P102-T102</f>
        <v>-50304.760000000082</v>
      </c>
      <c r="Y102" s="15"/>
      <c r="Z102" s="31">
        <f>IF(T102=0,0,X102/T102)</f>
        <v>0.81425454846816359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A104" s="9"/>
      <c r="B104" s="55">
        <v>43756.463082210648</v>
      </c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A105" s="9"/>
      <c r="B105" s="56" t="s">
        <v>313</v>
      </c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57"/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305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400942.54000000004</v>
      </c>
      <c r="E12" s="4"/>
      <c r="F12" s="12"/>
      <c r="G12" s="4"/>
      <c r="H12" s="4">
        <f>SUM(OSRRefH13x_0)</f>
        <v>387128.57</v>
      </c>
      <c r="I12" s="4"/>
      <c r="J12" s="12"/>
      <c r="K12" s="4"/>
      <c r="L12" s="4">
        <f t="shared" ref="L12:L21" si="0">+D12-H12</f>
        <v>13813.97000000003</v>
      </c>
      <c r="M12" s="4"/>
      <c r="N12" s="12">
        <f t="shared" ref="N12:N21" si="1">IF(H12=0,0,L12/H12)</f>
        <v>3.5683158181789659E-2</v>
      </c>
      <c r="O12" s="10"/>
      <c r="P12" s="4">
        <f>SUM(OSRRefP13x_0)</f>
        <v>588485.84000000008</v>
      </c>
      <c r="Q12" s="4"/>
      <c r="R12" s="12"/>
      <c r="S12" s="4"/>
      <c r="T12" s="4">
        <f>SUM(OSRRefT13x_0)</f>
        <v>579978.02000000014</v>
      </c>
      <c r="U12" s="4"/>
      <c r="V12" s="12"/>
      <c r="W12" s="4"/>
      <c r="X12" s="4">
        <f t="shared" ref="X12:X21" si="2">+P12-T12</f>
        <v>8507.8199999999488</v>
      </c>
      <c r="Y12" s="4"/>
      <c r="Z12" s="12">
        <f t="shared" ref="Z12:Z21" si="3">IF(T12=0,0,X12/T12)</f>
        <v>1.4669211084930333E-2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--47906.96</f>
        <v>47906.96</v>
      </c>
      <c r="E13" s="2"/>
      <c r="F13" s="19"/>
      <c r="G13" s="2"/>
      <c r="H13" s="2">
        <f>--50328.31</f>
        <v>50328.31</v>
      </c>
      <c r="I13" s="2"/>
      <c r="J13" s="19"/>
      <c r="K13" s="2"/>
      <c r="L13" s="2">
        <f t="shared" si="0"/>
        <v>-2421.3499999999985</v>
      </c>
      <c r="M13" s="2"/>
      <c r="N13" s="19">
        <f t="shared" si="1"/>
        <v>-4.8111092941527316E-2</v>
      </c>
      <c r="O13" s="11"/>
      <c r="P13" s="2">
        <f>--72656.34</f>
        <v>72656.34</v>
      </c>
      <c r="Q13" s="2"/>
      <c r="R13" s="19"/>
      <c r="S13" s="2"/>
      <c r="T13" s="2">
        <f>--76541.12</f>
        <v>76541.119999999995</v>
      </c>
      <c r="U13" s="2"/>
      <c r="V13" s="19"/>
      <c r="W13" s="2"/>
      <c r="X13" s="2">
        <f t="shared" si="2"/>
        <v>-3884.7799999999988</v>
      </c>
      <c r="Y13" s="2"/>
      <c r="Z13" s="19">
        <f t="shared" si="3"/>
        <v>-5.0754156719943461E-2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>--503.93</f>
        <v>503.93</v>
      </c>
      <c r="E14" s="2"/>
      <c r="F14" s="19"/>
      <c r="G14" s="2"/>
      <c r="H14" s="2">
        <f>--252.51</f>
        <v>252.51</v>
      </c>
      <c r="I14" s="2"/>
      <c r="J14" s="19"/>
      <c r="K14" s="2"/>
      <c r="L14" s="2">
        <f t="shared" si="0"/>
        <v>251.42000000000002</v>
      </c>
      <c r="M14" s="2"/>
      <c r="N14" s="19">
        <f t="shared" si="1"/>
        <v>0.99568333927369224</v>
      </c>
      <c r="O14" s="11"/>
      <c r="P14" s="2">
        <f>--1150.33</f>
        <v>1150.33</v>
      </c>
      <c r="Q14" s="2"/>
      <c r="R14" s="19"/>
      <c r="S14" s="2"/>
      <c r="T14" s="2">
        <f>--749.37</f>
        <v>749.37</v>
      </c>
      <c r="U14" s="2"/>
      <c r="V14" s="19"/>
      <c r="W14" s="2"/>
      <c r="X14" s="2">
        <f t="shared" si="2"/>
        <v>400.95999999999992</v>
      </c>
      <c r="Y14" s="2"/>
      <c r="Z14" s="19">
        <f t="shared" si="3"/>
        <v>0.53506278607363511</v>
      </c>
    </row>
    <row r="15" spans="1:26" s="24" customFormat="1" hidden="1" outlineLevel="1" x14ac:dyDescent="0.25">
      <c r="A15" s="44"/>
      <c r="B15" s="11" t="str">
        <f>CONCATENATE("          ", "4051", " - ", "TAXABLE SALES-FOOD")</f>
        <v xml:space="preserve">          4051 - TAXABLE SALES-FOOD</v>
      </c>
      <c r="C15" s="11"/>
      <c r="D15" s="2">
        <f>--27751.99</f>
        <v>27751.99</v>
      </c>
      <c r="E15" s="2"/>
      <c r="F15" s="19"/>
      <c r="G15" s="2"/>
      <c r="H15" s="2">
        <f>--32722.26</f>
        <v>32722.26</v>
      </c>
      <c r="I15" s="2"/>
      <c r="J15" s="19"/>
      <c r="K15" s="2"/>
      <c r="L15" s="2">
        <f t="shared" si="0"/>
        <v>-4970.2699999999968</v>
      </c>
      <c r="M15" s="2"/>
      <c r="N15" s="19">
        <f t="shared" si="1"/>
        <v>-0.15189262599832642</v>
      </c>
      <c r="O15" s="11"/>
      <c r="P15" s="2">
        <f>--38918.87</f>
        <v>38918.870000000003</v>
      </c>
      <c r="Q15" s="2"/>
      <c r="R15" s="19"/>
      <c r="S15" s="2"/>
      <c r="T15" s="2">
        <f>--46825.98</f>
        <v>46825.98</v>
      </c>
      <c r="U15" s="2"/>
      <c r="V15" s="19"/>
      <c r="W15" s="2"/>
      <c r="X15" s="2">
        <f t="shared" si="2"/>
        <v>-7907.1100000000006</v>
      </c>
      <c r="Y15" s="2"/>
      <c r="Z15" s="19">
        <f t="shared" si="3"/>
        <v>-0.16886160204228506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--181943.15</f>
        <v>181943.15</v>
      </c>
      <c r="E16" s="2"/>
      <c r="F16" s="19"/>
      <c r="G16" s="2"/>
      <c r="H16" s="2">
        <f>--172393.43</f>
        <v>172393.43</v>
      </c>
      <c r="I16" s="2"/>
      <c r="J16" s="19"/>
      <c r="K16" s="2"/>
      <c r="L16" s="2">
        <f t="shared" si="0"/>
        <v>9549.7200000000012</v>
      </c>
      <c r="M16" s="2"/>
      <c r="N16" s="19">
        <f t="shared" si="1"/>
        <v>5.5394918472241095E-2</v>
      </c>
      <c r="O16" s="11"/>
      <c r="P16" s="2">
        <f>--275941.99</f>
        <v>275941.99</v>
      </c>
      <c r="Q16" s="2"/>
      <c r="R16" s="19"/>
      <c r="S16" s="2"/>
      <c r="T16" s="2">
        <f>--265254.3</f>
        <v>265254.3</v>
      </c>
      <c r="U16" s="2"/>
      <c r="V16" s="19"/>
      <c r="W16" s="2"/>
      <c r="X16" s="2">
        <f t="shared" si="2"/>
        <v>10687.690000000002</v>
      </c>
      <c r="Y16" s="2"/>
      <c r="Z16" s="19">
        <f t="shared" si="3"/>
        <v>4.0292240314294632E-2</v>
      </c>
    </row>
    <row r="17" spans="1:26" s="24" customFormat="1" hidden="1" outlineLevel="1" x14ac:dyDescent="0.25">
      <c r="A17" s="44"/>
      <c r="B17" s="11" t="str">
        <f>CONCATENATE("          ", "4134", " - ", "NON-TAXABLE SALES-SODA")</f>
        <v xml:space="preserve">          4134 - NON-TAXABLE SALES-SODA</v>
      </c>
      <c r="C17" s="11"/>
      <c r="D17" s="2">
        <f>--3.78</f>
        <v>3.78</v>
      </c>
      <c r="E17" s="2"/>
      <c r="F17" s="19"/>
      <c r="G17" s="2"/>
      <c r="H17" s="2">
        <f>--5.2</f>
        <v>5.2</v>
      </c>
      <c r="I17" s="2"/>
      <c r="J17" s="19"/>
      <c r="K17" s="2"/>
      <c r="L17" s="2">
        <f t="shared" si="0"/>
        <v>-1.4200000000000004</v>
      </c>
      <c r="M17" s="2"/>
      <c r="N17" s="19">
        <f t="shared" si="1"/>
        <v>-0.27307692307692316</v>
      </c>
      <c r="O17" s="11"/>
      <c r="P17" s="2">
        <f>--0.39</f>
        <v>0.39</v>
      </c>
      <c r="Q17" s="2"/>
      <c r="R17" s="19"/>
      <c r="S17" s="2"/>
      <c r="T17" s="2">
        <f>--53.94</f>
        <v>53.94</v>
      </c>
      <c r="U17" s="2"/>
      <c r="V17" s="19"/>
      <c r="W17" s="2"/>
      <c r="X17" s="2">
        <f t="shared" si="2"/>
        <v>-53.55</v>
      </c>
      <c r="Y17" s="2"/>
      <c r="Z17" s="19">
        <f t="shared" si="3"/>
        <v>-0.99276974416017794</v>
      </c>
    </row>
    <row r="18" spans="1:26" s="24" customFormat="1" hidden="1" outlineLevel="1" x14ac:dyDescent="0.25">
      <c r="A18" s="44"/>
      <c r="B18" s="11" t="str">
        <f>CONCATENATE("          ", "4137", " - ", "NON-TAXABLE SALES-WATER")</f>
        <v xml:space="preserve">          4137 - NON-TAXABLE SALES-WATER</v>
      </c>
      <c r="C18" s="11"/>
      <c r="D18" s="2">
        <f>--237.57</f>
        <v>237.57</v>
      </c>
      <c r="E18" s="2"/>
      <c r="F18" s="19"/>
      <c r="G18" s="2"/>
      <c r="H18" s="2">
        <f>--241.99</f>
        <v>241.99</v>
      </c>
      <c r="I18" s="2"/>
      <c r="J18" s="19"/>
      <c r="K18" s="2"/>
      <c r="L18" s="2">
        <f t="shared" si="0"/>
        <v>-4.4200000000000159</v>
      </c>
      <c r="M18" s="2"/>
      <c r="N18" s="19">
        <f t="shared" si="1"/>
        <v>-1.8265217570974074E-2</v>
      </c>
      <c r="O18" s="11"/>
      <c r="P18" s="2">
        <f>--621.09</f>
        <v>621.09</v>
      </c>
      <c r="Q18" s="2"/>
      <c r="R18" s="19"/>
      <c r="S18" s="2"/>
      <c r="T18" s="2">
        <f>--777.71</f>
        <v>777.71</v>
      </c>
      <c r="U18" s="2"/>
      <c r="V18" s="19"/>
      <c r="W18" s="2"/>
      <c r="X18" s="2">
        <f t="shared" si="2"/>
        <v>-156.62</v>
      </c>
      <c r="Y18" s="2"/>
      <c r="Z18" s="19">
        <f t="shared" si="3"/>
        <v>-0.20138612079052604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--140653.16</f>
        <v>140653.16</v>
      </c>
      <c r="E19" s="2"/>
      <c r="F19" s="19"/>
      <c r="G19" s="2"/>
      <c r="H19" s="2">
        <f>--129699.37</f>
        <v>129699.37</v>
      </c>
      <c r="I19" s="2"/>
      <c r="J19" s="19"/>
      <c r="K19" s="2"/>
      <c r="L19" s="2">
        <f t="shared" si="0"/>
        <v>10953.790000000008</v>
      </c>
      <c r="M19" s="2"/>
      <c r="N19" s="19">
        <f t="shared" si="1"/>
        <v>8.4455229042361649E-2</v>
      </c>
      <c r="O19" s="11"/>
      <c r="P19" s="2">
        <f>--196790.33</f>
        <v>196790.33</v>
      </c>
      <c r="Q19" s="2"/>
      <c r="R19" s="19"/>
      <c r="S19" s="2"/>
      <c r="T19" s="2">
        <f>--187791.29</f>
        <v>187791.29</v>
      </c>
      <c r="U19" s="2"/>
      <c r="V19" s="19"/>
      <c r="W19" s="2"/>
      <c r="X19" s="2">
        <f t="shared" si="2"/>
        <v>8999.039999999979</v>
      </c>
      <c r="Y19" s="2"/>
      <c r="Z19" s="19">
        <f t="shared" si="3"/>
        <v>4.7920433370471964E-2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--1942</f>
        <v>1942</v>
      </c>
      <c r="E20" s="2"/>
      <c r="F20" s="19"/>
      <c r="G20" s="2"/>
      <c r="H20" s="2">
        <f>--1485.5</f>
        <v>1485.5</v>
      </c>
      <c r="I20" s="2"/>
      <c r="J20" s="19"/>
      <c r="K20" s="2"/>
      <c r="L20" s="2">
        <f t="shared" si="0"/>
        <v>456.5</v>
      </c>
      <c r="M20" s="2"/>
      <c r="N20" s="19">
        <f t="shared" si="1"/>
        <v>0.30730393806799056</v>
      </c>
      <c r="O20" s="11"/>
      <c r="P20" s="2">
        <f>--2406.5</f>
        <v>2406.5</v>
      </c>
      <c r="Q20" s="2"/>
      <c r="R20" s="19"/>
      <c r="S20" s="2"/>
      <c r="T20" s="2">
        <f>--1986</f>
        <v>1986</v>
      </c>
      <c r="U20" s="2"/>
      <c r="V20" s="19"/>
      <c r="W20" s="2"/>
      <c r="X20" s="2">
        <f t="shared" si="2"/>
        <v>420.5</v>
      </c>
      <c r="Y20" s="2"/>
      <c r="Z20" s="19">
        <f t="shared" si="3"/>
        <v>0.21173212487411883</v>
      </c>
    </row>
    <row r="21" spans="1:26" s="24" customFormat="1" hidden="1" outlineLevel="1" x14ac:dyDescent="0.25">
      <c r="A21" s="44"/>
      <c r="B21" s="11" t="str">
        <f>CONCATENATE("          ", "4233", " - ", "SALES RETURN TAXABLE-CANDY")</f>
        <v xml:space="preserve">          4233 - SALES RETURN TAXABLE-CANDY</v>
      </c>
      <c r="C21" s="11"/>
      <c r="D21" s="2">
        <f>0</f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0</f>
        <v>0</v>
      </c>
      <c r="Q21" s="2"/>
      <c r="R21" s="19"/>
      <c r="S21" s="2"/>
      <c r="T21" s="2">
        <f>-1.69</f>
        <v>-1.69</v>
      </c>
      <c r="U21" s="2"/>
      <c r="V21" s="19"/>
      <c r="W21" s="2"/>
      <c r="X21" s="2">
        <f t="shared" si="2"/>
        <v>1.69</v>
      </c>
      <c r="Y21" s="2"/>
      <c r="Z21" s="19">
        <f t="shared" si="3"/>
        <v>-1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5" t="s">
        <v>8</v>
      </c>
      <c r="C23" s="10"/>
      <c r="D23" s="4">
        <f>SUM(OSRRefD16x_0)</f>
        <v>182572.67</v>
      </c>
      <c r="E23" s="4"/>
      <c r="F23" s="12">
        <f t="shared" ref="F23:F25" si="4">IF(D$12=0,0,D23/D$12)</f>
        <v>0.4553586905495236</v>
      </c>
      <c r="G23" s="4"/>
      <c r="H23" s="4">
        <f>SUM(OSRRefH16x_0)</f>
        <v>181963.26</v>
      </c>
      <c r="I23" s="4"/>
      <c r="J23" s="12">
        <f t="shared" ref="J23:J25" si="5">IF(H$12=0,0,H23/H$12)</f>
        <v>0.47003314686901049</v>
      </c>
      <c r="K23" s="4"/>
      <c r="L23" s="4">
        <f t="shared" ref="L23:L25" si="6">+D23-H23</f>
        <v>609.41000000000349</v>
      </c>
      <c r="M23" s="4"/>
      <c r="N23" s="12">
        <f t="shared" ref="N23:N25" si="7">IF(H23=0,0,L23/H23)</f>
        <v>3.3490826664679643E-3</v>
      </c>
      <c r="O23" s="10"/>
      <c r="P23" s="4">
        <f>SUM(OSRRefP16x_0)</f>
        <v>274037.49</v>
      </c>
      <c r="Q23" s="4"/>
      <c r="R23" s="12">
        <f t="shared" ref="R23:R25" si="8">IF(P$12=0,0,P23/P$12)</f>
        <v>0.46566539307046018</v>
      </c>
      <c r="S23" s="4"/>
      <c r="T23" s="4">
        <f>SUM(OSRRefT16x_0)</f>
        <v>265143.98</v>
      </c>
      <c r="U23" s="4"/>
      <c r="V23" s="12">
        <f t="shared" ref="V23:V25" si="9">IF(T$12=0,0,T23/T$12)</f>
        <v>0.45716211797129813</v>
      </c>
      <c r="W23" s="4"/>
      <c r="X23" s="4">
        <f t="shared" ref="X23:X25" si="10">+P23-T23</f>
        <v>8893.5100000000093</v>
      </c>
      <c r="Y23" s="4"/>
      <c r="Z23" s="12">
        <f t="shared" ref="Z23:Z25" si="11">IF(T23=0,0,X23/T23)</f>
        <v>3.3542190925850965E-2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195283.21000000002</v>
      </c>
      <c r="E24" s="2"/>
      <c r="F24" s="19">
        <f t="shared" si="4"/>
        <v>0.48706034036697626</v>
      </c>
      <c r="G24" s="2"/>
      <c r="H24" s="2">
        <v>182833.75</v>
      </c>
      <c r="I24" s="2"/>
      <c r="J24" s="19">
        <f t="shared" si="5"/>
        <v>0.47228172800576301</v>
      </c>
      <c r="K24" s="2"/>
      <c r="L24" s="2">
        <f t="shared" si="6"/>
        <v>12449.460000000021</v>
      </c>
      <c r="M24" s="2"/>
      <c r="N24" s="19">
        <f t="shared" si="7"/>
        <v>6.8091695324304299E-2</v>
      </c>
      <c r="O24" s="11"/>
      <c r="P24" s="2">
        <v>332788.87</v>
      </c>
      <c r="Q24" s="2"/>
      <c r="R24" s="19">
        <f t="shared" si="8"/>
        <v>0.56550021662373384</v>
      </c>
      <c r="S24" s="2"/>
      <c r="T24" s="2">
        <v>318007.3</v>
      </c>
      <c r="U24" s="2"/>
      <c r="V24" s="19">
        <f t="shared" si="9"/>
        <v>0.54830922730485532</v>
      </c>
      <c r="W24" s="2"/>
      <c r="X24" s="2">
        <f t="shared" si="10"/>
        <v>14781.570000000007</v>
      </c>
      <c r="Y24" s="2"/>
      <c r="Z24" s="19">
        <f t="shared" si="11"/>
        <v>4.6481857491950683E-2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-12710.54</v>
      </c>
      <c r="E25" s="2"/>
      <c r="F25" s="19">
        <f t="shared" si="4"/>
        <v>-3.1701649817452646E-2</v>
      </c>
      <c r="G25" s="2"/>
      <c r="H25" s="2">
        <v>-870.49</v>
      </c>
      <c r="I25" s="2"/>
      <c r="J25" s="19">
        <f t="shared" si="5"/>
        <v>-2.2485811367525779E-3</v>
      </c>
      <c r="K25" s="2"/>
      <c r="L25" s="2">
        <f t="shared" si="6"/>
        <v>-11840.050000000001</v>
      </c>
      <c r="M25" s="2"/>
      <c r="N25" s="19">
        <f t="shared" si="7"/>
        <v>13.601592206688188</v>
      </c>
      <c r="O25" s="11"/>
      <c r="P25" s="2">
        <v>-58751.38</v>
      </c>
      <c r="Q25" s="2"/>
      <c r="R25" s="19">
        <f t="shared" si="8"/>
        <v>-9.9834823553273583E-2</v>
      </c>
      <c r="S25" s="2"/>
      <c r="T25" s="2">
        <v>-52863.32</v>
      </c>
      <c r="U25" s="2"/>
      <c r="V25" s="19">
        <f t="shared" si="9"/>
        <v>-9.114710933355713E-2</v>
      </c>
      <c r="W25" s="2"/>
      <c r="X25" s="2">
        <f t="shared" si="10"/>
        <v>-5888.0599999999977</v>
      </c>
      <c r="Y25" s="2"/>
      <c r="Z25" s="19">
        <f t="shared" si="11"/>
        <v>0.11138271300402619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6</v>
      </c>
      <c r="C27" s="26"/>
      <c r="D27" s="21">
        <f>D12-D23</f>
        <v>218369.87000000002</v>
      </c>
      <c r="E27" s="13"/>
      <c r="F27" s="20">
        <f>IF(D$12=0,0,D27/D$12)</f>
        <v>0.5446413094504764</v>
      </c>
      <c r="G27" s="13"/>
      <c r="H27" s="21">
        <f>H12-H23</f>
        <v>205165.31</v>
      </c>
      <c r="I27" s="13"/>
      <c r="J27" s="20">
        <f>IF(H$12=0,0,H27/H$12)</f>
        <v>0.52996685313098957</v>
      </c>
      <c r="K27" s="15"/>
      <c r="L27" s="21">
        <f>+D27-H27</f>
        <v>13204.560000000027</v>
      </c>
      <c r="M27" s="15"/>
      <c r="N27" s="20">
        <f>IF(H27=0,0,L27/H27)</f>
        <v>6.4360588054579143E-2</v>
      </c>
      <c r="O27" s="25"/>
      <c r="P27" s="21">
        <f>P12-P23</f>
        <v>314448.35000000009</v>
      </c>
      <c r="Q27" s="13"/>
      <c r="R27" s="20">
        <f>IF(P$12=0,0,P27/P$12)</f>
        <v>0.53433460692953982</v>
      </c>
      <c r="S27" s="13"/>
      <c r="T27" s="21">
        <f>T12-T23</f>
        <v>314834.04000000015</v>
      </c>
      <c r="U27" s="13"/>
      <c r="V27" s="20">
        <f>IF(T$12=0,0,T27/T$12)</f>
        <v>0.54283788202870187</v>
      </c>
      <c r="W27" s="15"/>
      <c r="X27" s="21">
        <f>+P27-T27</f>
        <v>-385.69000000006054</v>
      </c>
      <c r="Y27" s="15"/>
      <c r="Z27" s="20">
        <f>IF(T27=0,0,X27/T27)</f>
        <v>-1.2250581290385893E-3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5" t="s">
        <v>9</v>
      </c>
      <c r="C29" s="10"/>
      <c r="D29" s="22">
        <f>SUM(OSRRefD22x_0)</f>
        <v>125154.67999999995</v>
      </c>
      <c r="E29" s="22"/>
      <c r="F29" s="34">
        <f t="shared" ref="F29:F38" si="12">IF(D$12=0,0,D29/D$12)</f>
        <v>0.31215116260798853</v>
      </c>
      <c r="G29" s="22"/>
      <c r="H29" s="22">
        <f>SUM(OSRRefH22x_0)</f>
        <v>112295.47999999998</v>
      </c>
      <c r="I29" s="22"/>
      <c r="J29" s="34">
        <f t="shared" ref="J29:J38" si="13">IF(H$12=0,0,H29/H$12)</f>
        <v>0.29007283032611098</v>
      </c>
      <c r="K29" s="4"/>
      <c r="L29" s="22">
        <f t="shared" ref="L29:L38" si="14">+D29-H29</f>
        <v>12859.199999999968</v>
      </c>
      <c r="M29" s="4"/>
      <c r="N29" s="34">
        <f t="shared" ref="N29:N38" si="15">IF(H29=0,0,L29/H29)</f>
        <v>0.11451217805026498</v>
      </c>
      <c r="O29" s="10"/>
      <c r="P29" s="22">
        <f>SUM(OSRRefP22x_0)</f>
        <v>297624.13</v>
      </c>
      <c r="Q29" s="22"/>
      <c r="R29" s="34">
        <f t="shared" ref="R29:R38" si="16">IF(P$12=0,0,P29/P$12)</f>
        <v>0.50574560978391592</v>
      </c>
      <c r="S29" s="22"/>
      <c r="T29" s="22">
        <f>SUM(OSRRefT22x_0)</f>
        <v>274888.62999999989</v>
      </c>
      <c r="U29" s="22"/>
      <c r="V29" s="34">
        <f t="shared" ref="V29:V38" si="17">IF(T$12=0,0,T29/T$12)</f>
        <v>0.4739638753896222</v>
      </c>
      <c r="W29" s="4"/>
      <c r="X29" s="22">
        <f t="shared" ref="X29:X38" si="18">+P29-T29</f>
        <v>22735.500000000116</v>
      </c>
      <c r="Y29" s="4"/>
      <c r="Z29" s="34">
        <f t="shared" ref="Z29:Z38" si="19">IF(T29=0,0,X29/T29)</f>
        <v>8.2708040707249783E-2</v>
      </c>
    </row>
    <row r="30" spans="1:26" s="29" customFormat="1" outlineLevel="1" collapsed="1" x14ac:dyDescent="0.25">
      <c r="A30" s="27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13747.109999999999</v>
      </c>
      <c r="E30" s="1"/>
      <c r="F30" s="5">
        <f t="shared" si="12"/>
        <v>3.4286982867919175E-2</v>
      </c>
      <c r="G30" s="1"/>
      <c r="H30" s="1">
        <f>SUM(OSRRefH22_0x_0)</f>
        <v>12473.199999999999</v>
      </c>
      <c r="I30" s="1"/>
      <c r="J30" s="5">
        <f t="shared" si="13"/>
        <v>3.2219786826893193E-2</v>
      </c>
      <c r="K30" s="1"/>
      <c r="L30" s="1">
        <f t="shared" si="14"/>
        <v>1273.9099999999999</v>
      </c>
      <c r="M30" s="1"/>
      <c r="N30" s="5">
        <f t="shared" si="15"/>
        <v>0.10213177051598628</v>
      </c>
      <c r="O30" s="14"/>
      <c r="P30" s="1">
        <f>SUM(OSRRefP22_0x_0)</f>
        <v>41935.19</v>
      </c>
      <c r="Q30" s="1"/>
      <c r="R30" s="5">
        <f t="shared" si="16"/>
        <v>7.1259471595782151E-2</v>
      </c>
      <c r="S30" s="1"/>
      <c r="T30" s="1">
        <f>SUM(OSRRefT22_0x_0)</f>
        <v>36068.130000000005</v>
      </c>
      <c r="U30" s="1"/>
      <c r="V30" s="5">
        <f t="shared" si="17"/>
        <v>6.2188787775095331E-2</v>
      </c>
      <c r="W30" s="1"/>
      <c r="X30" s="1">
        <f t="shared" si="18"/>
        <v>5867.0599999999977</v>
      </c>
      <c r="Y30" s="1"/>
      <c r="Z30" s="5">
        <f t="shared" si="19"/>
        <v>0.16266604340175098</v>
      </c>
    </row>
    <row r="31" spans="1:26" s="24" customFormat="1" hidden="1" outlineLevel="2" x14ac:dyDescent="0.25">
      <c r="A31" s="28"/>
      <c r="B31" s="11" t="str">
        <f>CONCATENATE("          ", "6111", " - ", "F.I.C.A.")</f>
        <v xml:space="preserve">          6111 - F.I.C.A.</v>
      </c>
      <c r="C31" s="11"/>
      <c r="D31" s="6">
        <v>2002.48</v>
      </c>
      <c r="E31" s="2"/>
      <c r="F31" s="7">
        <f t="shared" si="12"/>
        <v>4.9944313716374419E-3</v>
      </c>
      <c r="G31" s="2"/>
      <c r="H31" s="6">
        <v>2014.27</v>
      </c>
      <c r="I31" s="2"/>
      <c r="J31" s="7">
        <f t="shared" si="13"/>
        <v>5.2031034547514792E-3</v>
      </c>
      <c r="K31" s="2"/>
      <c r="L31" s="6">
        <f t="shared" si="14"/>
        <v>-11.789999999999964</v>
      </c>
      <c r="M31" s="2"/>
      <c r="N31" s="7">
        <f t="shared" si="15"/>
        <v>-5.8532371529139409E-3</v>
      </c>
      <c r="O31" s="11"/>
      <c r="P31" s="6">
        <v>6747.54</v>
      </c>
      <c r="Q31" s="2"/>
      <c r="R31" s="7">
        <f t="shared" si="16"/>
        <v>1.1465934337519487E-2</v>
      </c>
      <c r="S31" s="2"/>
      <c r="T31" s="6">
        <v>6522.81</v>
      </c>
      <c r="U31" s="2"/>
      <c r="V31" s="7">
        <f t="shared" si="17"/>
        <v>1.1246650347197639E-2</v>
      </c>
      <c r="W31" s="2"/>
      <c r="X31" s="6">
        <f t="shared" si="18"/>
        <v>224.72999999999956</v>
      </c>
      <c r="Y31" s="2"/>
      <c r="Z31" s="7">
        <f t="shared" si="19"/>
        <v>3.445294282678777E-2</v>
      </c>
    </row>
    <row r="32" spans="1:26" s="24" customFormat="1" hidden="1" outlineLevel="2" x14ac:dyDescent="0.25">
      <c r="A32" s="28"/>
      <c r="B32" s="11" t="str">
        <f>CONCATENATE("          ", "6112", " - ", "COMPENSATION INSURANCE")</f>
        <v xml:space="preserve">          6112 - COMPENSATION INSURANCE</v>
      </c>
      <c r="C32" s="11"/>
      <c r="D32" s="6">
        <v>1171.1500000000001</v>
      </c>
      <c r="E32" s="2"/>
      <c r="F32" s="7">
        <f t="shared" si="12"/>
        <v>2.9209921202175255E-3</v>
      </c>
      <c r="G32" s="2"/>
      <c r="H32" s="6"/>
      <c r="I32" s="2"/>
      <c r="J32" s="7">
        <f t="shared" si="13"/>
        <v>0</v>
      </c>
      <c r="K32" s="2"/>
      <c r="L32" s="6">
        <f t="shared" si="14"/>
        <v>1171.1500000000001</v>
      </c>
      <c r="M32" s="2"/>
      <c r="N32" s="7">
        <f t="shared" si="15"/>
        <v>0</v>
      </c>
      <c r="O32" s="11"/>
      <c r="P32" s="6">
        <v>2660.27</v>
      </c>
      <c r="Q32" s="2"/>
      <c r="R32" s="7">
        <f t="shared" si="16"/>
        <v>4.5205335781741147E-3</v>
      </c>
      <c r="S32" s="2"/>
      <c r="T32" s="6">
        <v>1123.3</v>
      </c>
      <c r="U32" s="2"/>
      <c r="V32" s="7">
        <f t="shared" si="17"/>
        <v>1.9367975358790316E-3</v>
      </c>
      <c r="W32" s="2"/>
      <c r="X32" s="6">
        <f t="shared" si="18"/>
        <v>1536.97</v>
      </c>
      <c r="Y32" s="2"/>
      <c r="Z32" s="7">
        <f t="shared" si="19"/>
        <v>1.3682631532092941</v>
      </c>
    </row>
    <row r="33" spans="1:26" s="24" customFormat="1" hidden="1" outlineLevel="2" x14ac:dyDescent="0.25">
      <c r="A33" s="28"/>
      <c r="B33" s="11" t="str">
        <f>CONCATENATE("          ", "6113", " - ", "GROUP INSURANCE")</f>
        <v xml:space="preserve">          6113 - GROUP INSURANCE</v>
      </c>
      <c r="C33" s="11"/>
      <c r="D33" s="6">
        <v>6378.17</v>
      </c>
      <c r="E33" s="2"/>
      <c r="F33" s="7">
        <f t="shared" si="12"/>
        <v>1.5907940324815618E-2</v>
      </c>
      <c r="G33" s="2"/>
      <c r="H33" s="6">
        <v>6724.22</v>
      </c>
      <c r="I33" s="2"/>
      <c r="J33" s="7">
        <f t="shared" si="13"/>
        <v>1.7369474952468635E-2</v>
      </c>
      <c r="K33" s="2"/>
      <c r="L33" s="6">
        <f t="shared" si="14"/>
        <v>-346.05000000000018</v>
      </c>
      <c r="M33" s="2"/>
      <c r="N33" s="7">
        <f t="shared" si="15"/>
        <v>-5.1463218038672168E-2</v>
      </c>
      <c r="O33" s="11"/>
      <c r="P33" s="6">
        <v>19602.16</v>
      </c>
      <c r="Q33" s="2"/>
      <c r="R33" s="7">
        <f t="shared" si="16"/>
        <v>3.3309484557861237E-2</v>
      </c>
      <c r="S33" s="2"/>
      <c r="T33" s="6">
        <v>15936.36</v>
      </c>
      <c r="U33" s="2"/>
      <c r="V33" s="7">
        <f t="shared" si="17"/>
        <v>2.7477524062032552E-2</v>
      </c>
      <c r="W33" s="2"/>
      <c r="X33" s="6">
        <f t="shared" si="18"/>
        <v>3665.7999999999993</v>
      </c>
      <c r="Y33" s="2"/>
      <c r="Z33" s="7">
        <f t="shared" si="19"/>
        <v>0.23002743411920909</v>
      </c>
    </row>
    <row r="34" spans="1:26" s="24" customFormat="1" hidden="1" outlineLevel="2" x14ac:dyDescent="0.25">
      <c r="A34" s="28"/>
      <c r="B34" s="11" t="str">
        <f>CONCATENATE("          ", "6114", " - ", "STATE UNEMPLOYMENT INSURANCE")</f>
        <v xml:space="preserve">          6114 - STATE UNEMPLOYMENT INSURANCE</v>
      </c>
      <c r="C34" s="11"/>
      <c r="D34" s="6">
        <v>160.25</v>
      </c>
      <c r="E34" s="2"/>
      <c r="F34" s="7">
        <f t="shared" si="12"/>
        <v>3.9968320647641926E-4</v>
      </c>
      <c r="G34" s="2"/>
      <c r="H34" s="6">
        <v>157.30000000000001</v>
      </c>
      <c r="I34" s="2"/>
      <c r="J34" s="7">
        <f t="shared" si="13"/>
        <v>4.0632495813987588E-4</v>
      </c>
      <c r="K34" s="2"/>
      <c r="L34" s="6">
        <f t="shared" si="14"/>
        <v>2.9499999999999886</v>
      </c>
      <c r="M34" s="2"/>
      <c r="N34" s="7">
        <f t="shared" si="15"/>
        <v>1.8753973299427771E-2</v>
      </c>
      <c r="O34" s="11"/>
      <c r="P34" s="6">
        <v>326.64999999999998</v>
      </c>
      <c r="Q34" s="2"/>
      <c r="R34" s="7">
        <f t="shared" si="16"/>
        <v>5.5506858074953844E-4</v>
      </c>
      <c r="S34" s="2"/>
      <c r="T34" s="6">
        <v>372.34</v>
      </c>
      <c r="U34" s="2"/>
      <c r="V34" s="7">
        <f t="shared" si="17"/>
        <v>6.4198984644280119E-4</v>
      </c>
      <c r="W34" s="2"/>
      <c r="X34" s="6">
        <f t="shared" si="18"/>
        <v>-45.69</v>
      </c>
      <c r="Y34" s="2"/>
      <c r="Z34" s="7">
        <f t="shared" si="19"/>
        <v>-0.12271042595477252</v>
      </c>
    </row>
    <row r="35" spans="1:26" s="24" customFormat="1" hidden="1" outlineLevel="2" x14ac:dyDescent="0.25">
      <c r="A35" s="28"/>
      <c r="B35" s="11" t="str">
        <f>CONCATENATE("          ", "6115", " - ", "P.E.R.S.")</f>
        <v xml:space="preserve">          6115 - P.E.R.S.</v>
      </c>
      <c r="C35" s="11"/>
      <c r="D35" s="6">
        <v>1497.9</v>
      </c>
      <c r="E35" s="2"/>
      <c r="F35" s="7">
        <f t="shared" si="12"/>
        <v>3.7359468017536877E-3</v>
      </c>
      <c r="G35" s="2"/>
      <c r="H35" s="6">
        <v>1355.66</v>
      </c>
      <c r="I35" s="2"/>
      <c r="J35" s="7">
        <f t="shared" si="13"/>
        <v>3.5018340289377247E-3</v>
      </c>
      <c r="K35" s="2"/>
      <c r="L35" s="6">
        <f t="shared" si="14"/>
        <v>142.24</v>
      </c>
      <c r="M35" s="2"/>
      <c r="N35" s="7">
        <f t="shared" si="15"/>
        <v>0.10492306330495847</v>
      </c>
      <c r="O35" s="11"/>
      <c r="P35" s="6">
        <v>4493.7</v>
      </c>
      <c r="Q35" s="2"/>
      <c r="R35" s="7">
        <f t="shared" si="16"/>
        <v>7.6360375977780519E-3</v>
      </c>
      <c r="S35" s="2"/>
      <c r="T35" s="6">
        <v>4730.18</v>
      </c>
      <c r="U35" s="2"/>
      <c r="V35" s="7">
        <f t="shared" si="17"/>
        <v>8.1557918350078154E-3</v>
      </c>
      <c r="W35" s="2"/>
      <c r="X35" s="6">
        <f t="shared" si="18"/>
        <v>-236.48000000000047</v>
      </c>
      <c r="Y35" s="2"/>
      <c r="Z35" s="7">
        <f t="shared" si="19"/>
        <v>-4.9993869155085101E-2</v>
      </c>
    </row>
    <row r="36" spans="1:26" s="24" customFormat="1" hidden="1" outlineLevel="2" x14ac:dyDescent="0.25">
      <c r="A36" s="28"/>
      <c r="B36" s="11" t="str">
        <f>CONCATENATE("          ", "6118", " - ", "VACATION")</f>
        <v xml:space="preserve">          6118 - VACATION</v>
      </c>
      <c r="C36" s="11"/>
      <c r="D36" s="6">
        <v>1056.98</v>
      </c>
      <c r="E36" s="2"/>
      <c r="F36" s="7">
        <f t="shared" si="12"/>
        <v>2.6362381003522347E-3</v>
      </c>
      <c r="G36" s="2"/>
      <c r="H36" s="6">
        <v>1016.52</v>
      </c>
      <c r="I36" s="2"/>
      <c r="J36" s="7">
        <f t="shared" si="13"/>
        <v>2.6257943194427629E-3</v>
      </c>
      <c r="K36" s="2"/>
      <c r="L36" s="6">
        <f t="shared" si="14"/>
        <v>40.460000000000036</v>
      </c>
      <c r="M36" s="2"/>
      <c r="N36" s="7">
        <f t="shared" si="15"/>
        <v>3.9802463306181909E-2</v>
      </c>
      <c r="O36" s="11"/>
      <c r="P36" s="6">
        <v>3479.83</v>
      </c>
      <c r="Q36" s="2"/>
      <c r="R36" s="7">
        <f t="shared" si="16"/>
        <v>5.9131924057849875E-3</v>
      </c>
      <c r="S36" s="2"/>
      <c r="T36" s="6">
        <v>3331.55</v>
      </c>
      <c r="U36" s="2"/>
      <c r="V36" s="7">
        <f t="shared" si="17"/>
        <v>5.7442694121408247E-3</v>
      </c>
      <c r="W36" s="2"/>
      <c r="X36" s="6">
        <f t="shared" si="18"/>
        <v>148.27999999999975</v>
      </c>
      <c r="Y36" s="2"/>
      <c r="Z36" s="7">
        <f t="shared" si="19"/>
        <v>4.4507811679248319E-2</v>
      </c>
    </row>
    <row r="37" spans="1:26" s="24" customFormat="1" hidden="1" outlineLevel="2" x14ac:dyDescent="0.25">
      <c r="A37" s="28"/>
      <c r="B37" s="11" t="str">
        <f>CONCATENATE("          ", "6119", " - ", "SICK LEAVE")</f>
        <v xml:space="preserve">          6119 - SICK LEAVE</v>
      </c>
      <c r="C37" s="11"/>
      <c r="D37" s="6">
        <v>788.12</v>
      </c>
      <c r="E37" s="2"/>
      <c r="F37" s="7">
        <f t="shared" si="12"/>
        <v>1.9656681977422499E-3</v>
      </c>
      <c r="G37" s="2"/>
      <c r="H37" s="6">
        <v>755.84</v>
      </c>
      <c r="I37" s="2"/>
      <c r="J37" s="7">
        <f t="shared" si="13"/>
        <v>1.9524262959977354E-3</v>
      </c>
      <c r="K37" s="2"/>
      <c r="L37" s="6">
        <f t="shared" si="14"/>
        <v>32.279999999999973</v>
      </c>
      <c r="M37" s="2"/>
      <c r="N37" s="7">
        <f t="shared" si="15"/>
        <v>4.2707451312447041E-2</v>
      </c>
      <c r="O37" s="11"/>
      <c r="P37" s="6">
        <v>2768.78</v>
      </c>
      <c r="Q37" s="2"/>
      <c r="R37" s="7">
        <f t="shared" si="16"/>
        <v>4.7049220419645094E-3</v>
      </c>
      <c r="S37" s="2"/>
      <c r="T37" s="6">
        <v>2706.59</v>
      </c>
      <c r="U37" s="2"/>
      <c r="V37" s="7">
        <f t="shared" si="17"/>
        <v>4.6667113350261089E-3</v>
      </c>
      <c r="W37" s="2"/>
      <c r="X37" s="6">
        <f t="shared" si="18"/>
        <v>62.190000000000055</v>
      </c>
      <c r="Y37" s="2"/>
      <c r="Z37" s="7">
        <f t="shared" si="19"/>
        <v>2.2977251818709171E-2</v>
      </c>
    </row>
    <row r="38" spans="1:26" s="24" customFormat="1" hidden="1" outlineLevel="2" x14ac:dyDescent="0.25">
      <c r="A38" s="28"/>
      <c r="B38" s="11" t="str">
        <f>CONCATENATE("          ", "6156", " - ", "EMPLOYEE MEALS")</f>
        <v xml:space="preserve">          6156 - EMPLOYEE MEALS</v>
      </c>
      <c r="C38" s="11"/>
      <c r="D38" s="6">
        <v>692.06</v>
      </c>
      <c r="E38" s="2"/>
      <c r="F38" s="7">
        <f t="shared" si="12"/>
        <v>1.726082744923998E-3</v>
      </c>
      <c r="G38" s="2"/>
      <c r="H38" s="6">
        <v>449.39</v>
      </c>
      <c r="I38" s="2"/>
      <c r="J38" s="7">
        <f t="shared" si="13"/>
        <v>1.1608288171549828E-3</v>
      </c>
      <c r="K38" s="2"/>
      <c r="L38" s="6">
        <f t="shared" si="14"/>
        <v>242.66999999999996</v>
      </c>
      <c r="M38" s="2"/>
      <c r="N38" s="7">
        <f t="shared" si="15"/>
        <v>0.53999866485680581</v>
      </c>
      <c r="O38" s="11"/>
      <c r="P38" s="6">
        <v>1856.26</v>
      </c>
      <c r="Q38" s="2"/>
      <c r="R38" s="7">
        <f t="shared" si="16"/>
        <v>3.1542984959502165E-3</v>
      </c>
      <c r="S38" s="2"/>
      <c r="T38" s="6">
        <v>1345</v>
      </c>
      <c r="U38" s="2"/>
      <c r="V38" s="7">
        <f t="shared" si="17"/>
        <v>2.3190534013685549E-3</v>
      </c>
      <c r="W38" s="2"/>
      <c r="X38" s="6">
        <f t="shared" si="18"/>
        <v>511.26</v>
      </c>
      <c r="Y38" s="2"/>
      <c r="Z38" s="7">
        <f t="shared" si="19"/>
        <v>0.38011895910780669</v>
      </c>
    </row>
    <row r="39" spans="1:26" s="29" customFormat="1" outlineLevel="1" collapsed="1" x14ac:dyDescent="0.25">
      <c r="A39" s="27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61301.69</v>
      </c>
      <c r="E39" s="1"/>
      <c r="F39" s="5">
        <f t="shared" ref="F39:F45" si="20">IF(D$12=0,0,D39/D$12)</f>
        <v>0.15289395333306363</v>
      </c>
      <c r="G39" s="1"/>
      <c r="H39" s="1">
        <f>SUM(OSRRefH22_1x_0)</f>
        <v>57789.66</v>
      </c>
      <c r="I39" s="1"/>
      <c r="J39" s="5">
        <f t="shared" ref="J39:J45" si="21">IF(H$12=0,0,H39/H$12)</f>
        <v>0.14927769345465772</v>
      </c>
      <c r="K39" s="1"/>
      <c r="L39" s="1">
        <f t="shared" ref="L39:L45" si="22">+D39-H39</f>
        <v>3512.0299999999988</v>
      </c>
      <c r="M39" s="1"/>
      <c r="N39" s="5">
        <f t="shared" ref="N39:N45" si="23">IF(H39=0,0,L39/H39)</f>
        <v>6.0772636488949733E-2</v>
      </c>
      <c r="O39" s="14"/>
      <c r="P39" s="1">
        <f>SUM(OSRRefP22_1x_0)</f>
        <v>141245.05000000002</v>
      </c>
      <c r="Q39" s="1"/>
      <c r="R39" s="5">
        <f t="shared" ref="R39:R45" si="24">IF(P$12=0,0,P39/P$12)</f>
        <v>0.24001435616530722</v>
      </c>
      <c r="S39" s="1"/>
      <c r="T39" s="1">
        <f>SUM(OSRRefT22_1x_0)</f>
        <v>134198.96</v>
      </c>
      <c r="U39" s="1"/>
      <c r="V39" s="5">
        <f t="shared" ref="V39:V45" si="25">IF(T$12=0,0,T39/T$12)</f>
        <v>0.23138628598373429</v>
      </c>
      <c r="W39" s="1"/>
      <c r="X39" s="1">
        <f t="shared" ref="X39:X45" si="26">+P39-T39</f>
        <v>7046.0900000000256</v>
      </c>
      <c r="Y39" s="1"/>
      <c r="Z39" s="5">
        <f t="shared" ref="Z39:Z45" si="27">IF(T39=0,0,X39/T39)</f>
        <v>5.2504803315912625E-2</v>
      </c>
    </row>
    <row r="40" spans="1:26" s="24" customFormat="1" hidden="1" outlineLevel="2" x14ac:dyDescent="0.25">
      <c r="A40" s="28"/>
      <c r="B40" s="11" t="str">
        <f>CONCATENATE("          ", "6002", " - ", "STAFF SALARIES")</f>
        <v xml:space="preserve">          6002 - STAFF SALARIES</v>
      </c>
      <c r="C40" s="11"/>
      <c r="D40" s="6">
        <v>16145.990000000002</v>
      </c>
      <c r="E40" s="2"/>
      <c r="F40" s="7">
        <f t="shared" si="20"/>
        <v>4.0270084586185341E-2</v>
      </c>
      <c r="G40" s="2"/>
      <c r="H40" s="6">
        <v>15302.21</v>
      </c>
      <c r="I40" s="2"/>
      <c r="J40" s="7">
        <f t="shared" si="21"/>
        <v>3.9527462413843542E-2</v>
      </c>
      <c r="K40" s="2"/>
      <c r="L40" s="6">
        <f t="shared" si="22"/>
        <v>843.78000000000247</v>
      </c>
      <c r="M40" s="2"/>
      <c r="N40" s="7">
        <f t="shared" si="23"/>
        <v>5.5141054788818249E-2</v>
      </c>
      <c r="O40" s="11"/>
      <c r="P40" s="6">
        <v>51172.689999999995</v>
      </c>
      <c r="Q40" s="2"/>
      <c r="R40" s="7">
        <f t="shared" si="24"/>
        <v>8.6956535776629706E-2</v>
      </c>
      <c r="S40" s="2"/>
      <c r="T40" s="6">
        <v>48819.21</v>
      </c>
      <c r="U40" s="2"/>
      <c r="V40" s="7">
        <f t="shared" si="25"/>
        <v>8.4174241637639965E-2</v>
      </c>
      <c r="W40" s="2"/>
      <c r="X40" s="6">
        <f t="shared" si="26"/>
        <v>2353.4799999999959</v>
      </c>
      <c r="Y40" s="2"/>
      <c r="Z40" s="7">
        <f t="shared" si="27"/>
        <v>4.8208072191254142E-2</v>
      </c>
    </row>
    <row r="41" spans="1:26" s="24" customFormat="1" hidden="1" outlineLevel="2" x14ac:dyDescent="0.25">
      <c r="A41" s="28"/>
      <c r="B41" s="11" t="str">
        <f>CONCATENATE("          ", "6004", " - ", "STAFF HOURLY")</f>
        <v xml:space="preserve">          6004 - STAFF HOURLY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254.64</v>
      </c>
      <c r="Q41" s="2"/>
      <c r="R41" s="7">
        <f t="shared" si="24"/>
        <v>4.3270369937873092E-4</v>
      </c>
      <c r="S41" s="2"/>
      <c r="T41" s="6"/>
      <c r="U41" s="2"/>
      <c r="V41" s="7">
        <f t="shared" si="25"/>
        <v>0</v>
      </c>
      <c r="W41" s="2"/>
      <c r="X41" s="6">
        <f t="shared" si="26"/>
        <v>254.64</v>
      </c>
      <c r="Y41" s="2"/>
      <c r="Z41" s="7">
        <f t="shared" si="27"/>
        <v>0</v>
      </c>
    </row>
    <row r="42" spans="1:26" s="24" customFormat="1" hidden="1" outlineLevel="2" x14ac:dyDescent="0.25">
      <c r="A42" s="28"/>
      <c r="B42" s="11" t="str">
        <f>CONCATENATE("          ", "6005", " - ", "TEMPORARY WAGES-HOURLY")</f>
        <v xml:space="preserve">          6005 - TEMPORARY WAGES-HOURLY</v>
      </c>
      <c r="C42" s="11"/>
      <c r="D42" s="6">
        <v>7700.47</v>
      </c>
      <c r="E42" s="2"/>
      <c r="F42" s="7">
        <f t="shared" si="20"/>
        <v>1.9205919132452245E-2</v>
      </c>
      <c r="G42" s="2"/>
      <c r="H42" s="6">
        <v>5895.42</v>
      </c>
      <c r="I42" s="2"/>
      <c r="J42" s="7">
        <f t="shared" si="21"/>
        <v>1.5228584136789491E-2</v>
      </c>
      <c r="K42" s="2"/>
      <c r="L42" s="6">
        <f t="shared" si="22"/>
        <v>1805.0500000000002</v>
      </c>
      <c r="M42" s="2"/>
      <c r="N42" s="7">
        <f t="shared" si="23"/>
        <v>0.30617835540131155</v>
      </c>
      <c r="O42" s="11"/>
      <c r="P42" s="6">
        <v>16391.310000000001</v>
      </c>
      <c r="Q42" s="2"/>
      <c r="R42" s="7">
        <f t="shared" si="24"/>
        <v>2.7853363472602838E-2</v>
      </c>
      <c r="S42" s="2"/>
      <c r="T42" s="6">
        <v>15802.689999999999</v>
      </c>
      <c r="U42" s="2"/>
      <c r="V42" s="7">
        <f t="shared" si="25"/>
        <v>2.7247049810611781E-2</v>
      </c>
      <c r="W42" s="2"/>
      <c r="X42" s="6">
        <f t="shared" si="26"/>
        <v>588.62000000000262</v>
      </c>
      <c r="Y42" s="2"/>
      <c r="Z42" s="7">
        <f t="shared" si="27"/>
        <v>3.7248088774759401E-2</v>
      </c>
    </row>
    <row r="43" spans="1:26" s="24" customFormat="1" hidden="1" outlineLevel="2" x14ac:dyDescent="0.25">
      <c r="A43" s="28"/>
      <c r="B43" s="11" t="str">
        <f>CONCATENATE("          ", "6006", " - ", "TEMPORARY PART TIME")</f>
        <v xml:space="preserve">          6006 - TEMPORARY PART TIME</v>
      </c>
      <c r="C43" s="11"/>
      <c r="D43" s="6">
        <v>2162.35</v>
      </c>
      <c r="E43" s="2"/>
      <c r="F43" s="7">
        <f t="shared" si="20"/>
        <v>5.3931668113839943E-3</v>
      </c>
      <c r="G43" s="2"/>
      <c r="H43" s="6">
        <v>4938.58</v>
      </c>
      <c r="I43" s="2"/>
      <c r="J43" s="7">
        <f t="shared" si="21"/>
        <v>1.2756950488051037E-2</v>
      </c>
      <c r="K43" s="2"/>
      <c r="L43" s="6">
        <f t="shared" si="22"/>
        <v>-2776.23</v>
      </c>
      <c r="M43" s="2"/>
      <c r="N43" s="7">
        <f t="shared" si="23"/>
        <v>-0.56215146864078336</v>
      </c>
      <c r="O43" s="11"/>
      <c r="P43" s="6">
        <v>3343.6</v>
      </c>
      <c r="Q43" s="2"/>
      <c r="R43" s="7">
        <f t="shared" si="24"/>
        <v>5.6817000048803206E-3</v>
      </c>
      <c r="S43" s="2"/>
      <c r="T43" s="6">
        <v>8332.7099999999991</v>
      </c>
      <c r="U43" s="2"/>
      <c r="V43" s="7">
        <f t="shared" si="25"/>
        <v>1.4367285849901686E-2</v>
      </c>
      <c r="W43" s="2"/>
      <c r="X43" s="6">
        <f t="shared" si="26"/>
        <v>-4989.1099999999988</v>
      </c>
      <c r="Y43" s="2"/>
      <c r="Z43" s="7">
        <f t="shared" si="27"/>
        <v>-0.59873798560132285</v>
      </c>
    </row>
    <row r="44" spans="1:26" s="24" customFormat="1" hidden="1" outlineLevel="2" x14ac:dyDescent="0.25">
      <c r="A44" s="28"/>
      <c r="B44" s="11" t="str">
        <f>CONCATENATE("          ", "6007", " - ", "STUDENT HOURLY")</f>
        <v xml:space="preserve">          6007 - STUDENT HOURLY</v>
      </c>
      <c r="C44" s="11"/>
      <c r="D44" s="6">
        <v>33496.630000000005</v>
      </c>
      <c r="E44" s="2"/>
      <c r="F44" s="7">
        <f t="shared" si="20"/>
        <v>8.3544714412194826E-2</v>
      </c>
      <c r="G44" s="2"/>
      <c r="H44" s="6">
        <v>29745.759999999998</v>
      </c>
      <c r="I44" s="2"/>
      <c r="J44" s="7">
        <f t="shared" si="21"/>
        <v>7.6836902014232628E-2</v>
      </c>
      <c r="K44" s="2"/>
      <c r="L44" s="6">
        <f t="shared" si="22"/>
        <v>3750.8700000000063</v>
      </c>
      <c r="M44" s="2"/>
      <c r="N44" s="7">
        <f t="shared" si="23"/>
        <v>0.12609763542770488</v>
      </c>
      <c r="O44" s="11"/>
      <c r="P44" s="6">
        <v>64795.020000000004</v>
      </c>
      <c r="Q44" s="2"/>
      <c r="R44" s="7">
        <f t="shared" si="24"/>
        <v>0.11010463735202192</v>
      </c>
      <c r="S44" s="2"/>
      <c r="T44" s="6">
        <v>55708.28</v>
      </c>
      <c r="U44" s="2"/>
      <c r="V44" s="7">
        <f t="shared" si="25"/>
        <v>9.605239867538426E-2</v>
      </c>
      <c r="W44" s="2"/>
      <c r="X44" s="6">
        <f t="shared" si="26"/>
        <v>9086.7400000000052</v>
      </c>
      <c r="Y44" s="2"/>
      <c r="Z44" s="7">
        <f t="shared" si="27"/>
        <v>0.16311291606920919</v>
      </c>
    </row>
    <row r="45" spans="1:26" s="24" customFormat="1" hidden="1" outlineLevel="2" x14ac:dyDescent="0.25">
      <c r="A45" s="28"/>
      <c r="B45" s="11" t="str">
        <f>CONCATENATE("          ", "6008", " - ", "STUDENT HOURLY-FICA EXEMPT")</f>
        <v xml:space="preserve">          6008 - STUDENT HOURLY-FICA EXEMPT</v>
      </c>
      <c r="C45" s="11"/>
      <c r="D45" s="6">
        <v>1796.25</v>
      </c>
      <c r="E45" s="2"/>
      <c r="F45" s="7">
        <f t="shared" si="20"/>
        <v>4.4800683908472264E-3</v>
      </c>
      <c r="G45" s="2"/>
      <c r="H45" s="6">
        <v>1907.69</v>
      </c>
      <c r="I45" s="2"/>
      <c r="J45" s="7">
        <f t="shared" si="21"/>
        <v>4.9277944017410034E-3</v>
      </c>
      <c r="K45" s="2"/>
      <c r="L45" s="6">
        <f t="shared" si="22"/>
        <v>-111.44000000000005</v>
      </c>
      <c r="M45" s="2"/>
      <c r="N45" s="7">
        <f t="shared" si="23"/>
        <v>-5.8416199697015787E-2</v>
      </c>
      <c r="O45" s="11"/>
      <c r="P45" s="6">
        <v>5287.79</v>
      </c>
      <c r="Q45" s="2"/>
      <c r="R45" s="7">
        <f t="shared" si="24"/>
        <v>8.9854158597936686E-3</v>
      </c>
      <c r="S45" s="2"/>
      <c r="T45" s="6">
        <v>5536.07</v>
      </c>
      <c r="U45" s="2"/>
      <c r="V45" s="7">
        <f t="shared" si="25"/>
        <v>9.5453100101965914E-3</v>
      </c>
      <c r="W45" s="2"/>
      <c r="X45" s="6">
        <f t="shared" si="26"/>
        <v>-248.27999999999975</v>
      </c>
      <c r="Y45" s="2"/>
      <c r="Z45" s="7">
        <f t="shared" si="27"/>
        <v>-4.4847698818837149E-2</v>
      </c>
    </row>
    <row r="46" spans="1:26" s="29" customFormat="1" outlineLevel="1" collapsed="1" x14ac:dyDescent="0.25">
      <c r="A46" s="27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26.51</v>
      </c>
      <c r="E46" s="1"/>
      <c r="F46" s="5">
        <f t="shared" ref="F46:F54" si="28">IF(D$12=0,0,D46/D$12)</f>
        <v>6.6119200023025739E-5</v>
      </c>
      <c r="G46" s="1"/>
      <c r="H46" s="1">
        <f>SUM(OSRRefH22_2x_0)</f>
        <v>613.5</v>
      </c>
      <c r="I46" s="1"/>
      <c r="J46" s="5">
        <f t="shared" ref="J46:J54" si="29">IF(H$12=0,0,H46/H$12)</f>
        <v>1.5847448303802532E-3</v>
      </c>
      <c r="K46" s="1"/>
      <c r="L46" s="1">
        <f t="shared" ref="L46:L54" si="30">+D46-H46</f>
        <v>-586.99</v>
      </c>
      <c r="M46" s="1"/>
      <c r="N46" s="5">
        <f t="shared" ref="N46:N54" si="31">IF(H46=0,0,L46/H46)</f>
        <v>-0.95678891605541971</v>
      </c>
      <c r="O46" s="14"/>
      <c r="P46" s="1">
        <f>SUM(OSRRefP22_2x_0)</f>
        <v>618.52</v>
      </c>
      <c r="Q46" s="1"/>
      <c r="R46" s="5">
        <f t="shared" ref="R46:R54" si="32">IF(P$12=0,0,P46/P$12)</f>
        <v>1.0510363341962484E-3</v>
      </c>
      <c r="S46" s="1"/>
      <c r="T46" s="1">
        <f>SUM(OSRRefT22_2x_0)</f>
        <v>1024</v>
      </c>
      <c r="U46" s="1"/>
      <c r="V46" s="5">
        <f t="shared" ref="V46:V54" si="33">IF(T$12=0,0,T46/T$12)</f>
        <v>1.765584150930409E-3</v>
      </c>
      <c r="W46" s="1"/>
      <c r="X46" s="1">
        <f t="shared" ref="X46:X54" si="34">+P46-T46</f>
        <v>-405.48</v>
      </c>
      <c r="Y46" s="1"/>
      <c r="Z46" s="5">
        <f t="shared" ref="Z46:Z54" si="35">IF(T46=0,0,X46/T46)</f>
        <v>-0.39597656250000002</v>
      </c>
    </row>
    <row r="47" spans="1:26" s="24" customFormat="1" hidden="1" outlineLevel="2" x14ac:dyDescent="0.25">
      <c r="A47" s="28"/>
      <c r="B47" s="11" t="str">
        <f>CONCATENATE("          ", "6362", " - ", "ADVERTISING EXPENSE")</f>
        <v xml:space="preserve">          6362 - ADVERTISING EXPENSE</v>
      </c>
      <c r="C47" s="11"/>
      <c r="D47" s="6">
        <v>26.51</v>
      </c>
      <c r="E47" s="2"/>
      <c r="F47" s="7">
        <f t="shared" si="28"/>
        <v>6.6119200023025739E-5</v>
      </c>
      <c r="G47" s="2"/>
      <c r="H47" s="6">
        <v>613.5</v>
      </c>
      <c r="I47" s="2"/>
      <c r="J47" s="7">
        <f t="shared" si="29"/>
        <v>1.5847448303802532E-3</v>
      </c>
      <c r="K47" s="2"/>
      <c r="L47" s="6">
        <f t="shared" si="30"/>
        <v>-586.99</v>
      </c>
      <c r="M47" s="2"/>
      <c r="N47" s="7">
        <f t="shared" si="31"/>
        <v>-0.95678891605541971</v>
      </c>
      <c r="O47" s="11"/>
      <c r="P47" s="6">
        <v>618.52</v>
      </c>
      <c r="Q47" s="2"/>
      <c r="R47" s="7">
        <f t="shared" si="32"/>
        <v>1.0510363341962484E-3</v>
      </c>
      <c r="S47" s="2"/>
      <c r="T47" s="6">
        <v>1024</v>
      </c>
      <c r="U47" s="2"/>
      <c r="V47" s="7">
        <f t="shared" si="33"/>
        <v>1.765584150930409E-3</v>
      </c>
      <c r="W47" s="2"/>
      <c r="X47" s="6">
        <f t="shared" si="34"/>
        <v>-405.48</v>
      </c>
      <c r="Y47" s="2"/>
      <c r="Z47" s="7">
        <f t="shared" si="35"/>
        <v>-0.39597656250000002</v>
      </c>
    </row>
    <row r="48" spans="1:26" s="29" customFormat="1" outlineLevel="1" collapsed="1" x14ac:dyDescent="0.25">
      <c r="A48" s="27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SUM(OSRRefD22_3x_0)</f>
        <v>-129.32</v>
      </c>
      <c r="E48" s="1"/>
      <c r="F48" s="5">
        <f t="shared" si="28"/>
        <v>-3.2253998291126697E-4</v>
      </c>
      <c r="G48" s="1"/>
      <c r="H48" s="1">
        <f>SUM(OSRRefH22_3x_0)</f>
        <v>-252.6</v>
      </c>
      <c r="I48" s="1"/>
      <c r="J48" s="5">
        <f t="shared" si="29"/>
        <v>-6.5249640448908222E-4</v>
      </c>
      <c r="K48" s="1"/>
      <c r="L48" s="1">
        <f t="shared" si="30"/>
        <v>123.28</v>
      </c>
      <c r="M48" s="1"/>
      <c r="N48" s="5">
        <f t="shared" si="31"/>
        <v>-0.48804433887569282</v>
      </c>
      <c r="O48" s="14"/>
      <c r="P48" s="1">
        <f>SUM(OSRRefP22_3x_0)</f>
        <v>-136.84</v>
      </c>
      <c r="Q48" s="1"/>
      <c r="R48" s="5">
        <f t="shared" si="32"/>
        <v>-2.3252895940537835E-4</v>
      </c>
      <c r="S48" s="1"/>
      <c r="T48" s="1">
        <f>SUM(OSRRefT22_3x_0)</f>
        <v>-335.48</v>
      </c>
      <c r="U48" s="1"/>
      <c r="V48" s="5">
        <f t="shared" si="33"/>
        <v>-5.7843571382239613E-4</v>
      </c>
      <c r="W48" s="1"/>
      <c r="X48" s="1">
        <f t="shared" si="34"/>
        <v>198.64000000000001</v>
      </c>
      <c r="Y48" s="1"/>
      <c r="Z48" s="5">
        <f t="shared" si="35"/>
        <v>-0.59210683200190772</v>
      </c>
    </row>
    <row r="49" spans="1:26" s="24" customFormat="1" hidden="1" outlineLevel="2" x14ac:dyDescent="0.25">
      <c r="A49" s="28"/>
      <c r="B49" s="11" t="str">
        <f>CONCATENATE("          ", "6272", " - ", "CASH (OVER/SHORT)")</f>
        <v xml:space="preserve">          6272 - CASH (OVER/SHORT)</v>
      </c>
      <c r="C49" s="11"/>
      <c r="D49" s="6">
        <v>-129.32</v>
      </c>
      <c r="E49" s="2"/>
      <c r="F49" s="7">
        <f t="shared" si="28"/>
        <v>-3.2253998291126697E-4</v>
      </c>
      <c r="G49" s="2"/>
      <c r="H49" s="6">
        <v>-252.6</v>
      </c>
      <c r="I49" s="2"/>
      <c r="J49" s="7">
        <f t="shared" si="29"/>
        <v>-6.5249640448908222E-4</v>
      </c>
      <c r="K49" s="2"/>
      <c r="L49" s="6">
        <f t="shared" si="30"/>
        <v>123.28</v>
      </c>
      <c r="M49" s="2"/>
      <c r="N49" s="7">
        <f t="shared" si="31"/>
        <v>-0.48804433887569282</v>
      </c>
      <c r="O49" s="11"/>
      <c r="P49" s="6">
        <v>-136.84</v>
      </c>
      <c r="Q49" s="2"/>
      <c r="R49" s="7">
        <f t="shared" si="32"/>
        <v>-2.3252895940537835E-4</v>
      </c>
      <c r="S49" s="2"/>
      <c r="T49" s="6">
        <v>-335.48</v>
      </c>
      <c r="U49" s="2"/>
      <c r="V49" s="7">
        <f t="shared" si="33"/>
        <v>-5.7843571382239613E-4</v>
      </c>
      <c r="W49" s="2"/>
      <c r="X49" s="6">
        <f t="shared" si="34"/>
        <v>198.64000000000001</v>
      </c>
      <c r="Y49" s="2"/>
      <c r="Z49" s="7">
        <f t="shared" si="35"/>
        <v>-0.59210683200190772</v>
      </c>
    </row>
    <row r="50" spans="1:26" s="29" customFormat="1" outlineLevel="1" collapsed="1" x14ac:dyDescent="0.25">
      <c r="A50" s="27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SUM(OSRRefD22_4x_0)</f>
        <v>13892.93</v>
      </c>
      <c r="E50" s="1"/>
      <c r="F50" s="5">
        <f t="shared" si="28"/>
        <v>3.4650675879890416E-2</v>
      </c>
      <c r="G50" s="1"/>
      <c r="H50" s="1">
        <f>SUM(OSRRefH22_4x_0)</f>
        <v>13178.92</v>
      </c>
      <c r="I50" s="1"/>
      <c r="J50" s="5">
        <f t="shared" si="29"/>
        <v>3.404274709045628E-2</v>
      </c>
      <c r="K50" s="1"/>
      <c r="L50" s="1">
        <f t="shared" si="30"/>
        <v>714.01000000000022</v>
      </c>
      <c r="M50" s="1"/>
      <c r="N50" s="5">
        <f t="shared" si="31"/>
        <v>5.4178187590485427E-2</v>
      </c>
      <c r="O50" s="14"/>
      <c r="P50" s="1">
        <f>SUM(OSRRefP22_4x_0)</f>
        <v>19860.05</v>
      </c>
      <c r="Q50" s="1"/>
      <c r="R50" s="5">
        <f t="shared" si="32"/>
        <v>3.3747710904989653E-2</v>
      </c>
      <c r="S50" s="1"/>
      <c r="T50" s="1">
        <f>SUM(OSRRefT22_4x_0)</f>
        <v>18691.38</v>
      </c>
      <c r="U50" s="1"/>
      <c r="V50" s="5">
        <f t="shared" si="33"/>
        <v>3.2227738561540653E-2</v>
      </c>
      <c r="W50" s="1"/>
      <c r="X50" s="1">
        <f t="shared" si="34"/>
        <v>1168.6699999999983</v>
      </c>
      <c r="Y50" s="1"/>
      <c r="Z50" s="5">
        <f t="shared" si="35"/>
        <v>6.2524543399149674E-2</v>
      </c>
    </row>
    <row r="51" spans="1:26" s="24" customFormat="1" hidden="1" outlineLevel="2" x14ac:dyDescent="0.25">
      <c r="A51" s="28"/>
      <c r="B51" s="11" t="str">
        <f>CONCATENATE("          ", "6381", " - ", "BANK/CREDIT CARD FEES")</f>
        <v xml:space="preserve">          6381 - BANK/CREDIT CARD FEES</v>
      </c>
      <c r="C51" s="11"/>
      <c r="D51" s="6">
        <v>13892.93</v>
      </c>
      <c r="E51" s="2"/>
      <c r="F51" s="7">
        <f t="shared" si="28"/>
        <v>3.4650675879890416E-2</v>
      </c>
      <c r="G51" s="2"/>
      <c r="H51" s="6">
        <v>13178.92</v>
      </c>
      <c r="I51" s="2"/>
      <c r="J51" s="7">
        <f t="shared" si="29"/>
        <v>3.404274709045628E-2</v>
      </c>
      <c r="K51" s="2"/>
      <c r="L51" s="6">
        <f t="shared" si="30"/>
        <v>714.01000000000022</v>
      </c>
      <c r="M51" s="2"/>
      <c r="N51" s="7">
        <f t="shared" si="31"/>
        <v>5.4178187590485427E-2</v>
      </c>
      <c r="O51" s="11"/>
      <c r="P51" s="6">
        <v>19860.05</v>
      </c>
      <c r="Q51" s="2"/>
      <c r="R51" s="7">
        <f t="shared" si="32"/>
        <v>3.3747710904989653E-2</v>
      </c>
      <c r="S51" s="2"/>
      <c r="T51" s="6">
        <v>18691.38</v>
      </c>
      <c r="U51" s="2"/>
      <c r="V51" s="7">
        <f t="shared" si="33"/>
        <v>3.2227738561540653E-2</v>
      </c>
      <c r="W51" s="2"/>
      <c r="X51" s="6">
        <f t="shared" si="34"/>
        <v>1168.6699999999983</v>
      </c>
      <c r="Y51" s="2"/>
      <c r="Z51" s="7">
        <f t="shared" si="35"/>
        <v>6.2524543399149674E-2</v>
      </c>
    </row>
    <row r="52" spans="1:26" s="29" customFormat="1" outlineLevel="1" collapsed="1" x14ac:dyDescent="0.25">
      <c r="A52" s="27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SUM(OSRRefD22_5x_0)</f>
        <v>8403.48</v>
      </c>
      <c r="E52" s="1"/>
      <c r="F52" s="5">
        <f t="shared" si="28"/>
        <v>2.0959312523934223E-2</v>
      </c>
      <c r="G52" s="1"/>
      <c r="H52" s="1">
        <f>SUM(OSRRefH22_5x_0)</f>
        <v>8364.08</v>
      </c>
      <c r="I52" s="1"/>
      <c r="J52" s="5">
        <f t="shared" si="29"/>
        <v>2.1605432014485521E-2</v>
      </c>
      <c r="K52" s="1"/>
      <c r="L52" s="1">
        <f t="shared" si="30"/>
        <v>39.399999999999636</v>
      </c>
      <c r="M52" s="1"/>
      <c r="N52" s="5">
        <f t="shared" si="31"/>
        <v>4.7106196975638245E-3</v>
      </c>
      <c r="O52" s="14"/>
      <c r="P52" s="1">
        <f>SUM(OSRRefP22_5x_0)</f>
        <v>25210.44</v>
      </c>
      <c r="Q52" s="1"/>
      <c r="R52" s="5">
        <f t="shared" si="32"/>
        <v>4.2839501456823491E-2</v>
      </c>
      <c r="S52" s="1"/>
      <c r="T52" s="1">
        <f>SUM(OSRRefT22_5x_0)</f>
        <v>25092.239999999998</v>
      </c>
      <c r="U52" s="1"/>
      <c r="V52" s="5">
        <f t="shared" si="33"/>
        <v>4.3264122319669966E-2</v>
      </c>
      <c r="W52" s="1"/>
      <c r="X52" s="1">
        <f t="shared" si="34"/>
        <v>118.20000000000073</v>
      </c>
      <c r="Y52" s="1"/>
      <c r="Z52" s="5">
        <f t="shared" si="35"/>
        <v>4.7106196975638974E-3</v>
      </c>
    </row>
    <row r="53" spans="1:26" s="24" customFormat="1" hidden="1" outlineLevel="2" x14ac:dyDescent="0.25">
      <c r="A53" s="28"/>
      <c r="B53" s="11" t="str">
        <f>CONCATENATE("          ", "6321", " - ", "BUILDING DEPRECIATION")</f>
        <v xml:space="preserve">          6321 - BUILDING DEPRECIATION</v>
      </c>
      <c r="C53" s="11"/>
      <c r="D53" s="6">
        <v>5080.51</v>
      </c>
      <c r="E53" s="2"/>
      <c r="F53" s="7">
        <f t="shared" si="28"/>
        <v>1.267141670724189E-2</v>
      </c>
      <c r="G53" s="2"/>
      <c r="H53" s="6">
        <v>5080.51</v>
      </c>
      <c r="I53" s="2"/>
      <c r="J53" s="7">
        <f t="shared" si="29"/>
        <v>1.3123572873993775E-2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>
        <v>15241.529999999999</v>
      </c>
      <c r="Q53" s="2"/>
      <c r="R53" s="7">
        <f t="shared" si="32"/>
        <v>2.5899569648098919E-2</v>
      </c>
      <c r="S53" s="2"/>
      <c r="T53" s="6">
        <v>15241.529999999999</v>
      </c>
      <c r="U53" s="2"/>
      <c r="V53" s="7">
        <f t="shared" si="33"/>
        <v>2.6279495902275737E-2</v>
      </c>
      <c r="W53" s="2"/>
      <c r="X53" s="6">
        <f t="shared" si="34"/>
        <v>0</v>
      </c>
      <c r="Y53" s="2"/>
      <c r="Z53" s="7">
        <f t="shared" si="35"/>
        <v>0</v>
      </c>
    </row>
    <row r="54" spans="1:26" s="24" customFormat="1" hidden="1" outlineLevel="2" x14ac:dyDescent="0.25">
      <c r="A54" s="28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3322.97</v>
      </c>
      <c r="E54" s="2"/>
      <c r="F54" s="7">
        <f t="shared" si="28"/>
        <v>8.2878958166923353E-3</v>
      </c>
      <c r="G54" s="2"/>
      <c r="H54" s="6">
        <v>3283.57</v>
      </c>
      <c r="I54" s="2"/>
      <c r="J54" s="7">
        <f t="shared" si="29"/>
        <v>8.4818591404917498E-3</v>
      </c>
      <c r="K54" s="2"/>
      <c r="L54" s="6">
        <f t="shared" si="30"/>
        <v>39.399999999999636</v>
      </c>
      <c r="M54" s="2"/>
      <c r="N54" s="7">
        <f t="shared" si="31"/>
        <v>1.199913508772453E-2</v>
      </c>
      <c r="O54" s="11"/>
      <c r="P54" s="6">
        <v>9968.91</v>
      </c>
      <c r="Q54" s="2"/>
      <c r="R54" s="7">
        <f t="shared" si="32"/>
        <v>1.6939931808724572E-2</v>
      </c>
      <c r="S54" s="2"/>
      <c r="T54" s="6">
        <v>9850.7099999999991</v>
      </c>
      <c r="U54" s="2"/>
      <c r="V54" s="7">
        <f t="shared" si="33"/>
        <v>1.6984626417394226E-2</v>
      </c>
      <c r="W54" s="2"/>
      <c r="X54" s="6">
        <f t="shared" si="34"/>
        <v>118.20000000000073</v>
      </c>
      <c r="Y54" s="2"/>
      <c r="Z54" s="7">
        <f t="shared" si="35"/>
        <v>1.1999135087724716E-2</v>
      </c>
    </row>
    <row r="55" spans="1:26" s="29" customFormat="1" outlineLevel="1" collapsed="1" x14ac:dyDescent="0.25">
      <c r="A55" s="27"/>
      <c r="B55" s="14" t="str">
        <f>CONCATENATE("     ","Discounts and Markdowns                           ")</f>
        <v xml:space="preserve">     Discounts and Markdowns                           </v>
      </c>
      <c r="C55" s="14"/>
      <c r="D55" s="1">
        <f>SUM(OSRRefD22_6x_0)</f>
        <v>11.81</v>
      </c>
      <c r="E55" s="1"/>
      <c r="F55" s="5">
        <f t="shared" ref="F55:F74" si="36">IF(D$12=0,0,D55/D$12)</f>
        <v>2.9455592315048434E-5</v>
      </c>
      <c r="G55" s="1"/>
      <c r="H55" s="1">
        <f>SUM(OSRRefH22_6x_0)</f>
        <v>8.4499999999999993</v>
      </c>
      <c r="I55" s="1"/>
      <c r="J55" s="5">
        <f t="shared" ref="J55:J74" si="37">IF(H$12=0,0,H55/H$12)</f>
        <v>2.1827373784373495E-5</v>
      </c>
      <c r="K55" s="1"/>
      <c r="L55" s="1">
        <f t="shared" ref="L55:L74" si="38">+D55-H55</f>
        <v>3.3600000000000012</v>
      </c>
      <c r="M55" s="1"/>
      <c r="N55" s="5">
        <f t="shared" ref="N55:N74" si="39">IF(H55=0,0,L55/H55)</f>
        <v>0.39763313609467471</v>
      </c>
      <c r="O55" s="14"/>
      <c r="P55" s="1">
        <f>SUM(OSRRefP22_6x_0)</f>
        <v>31.9</v>
      </c>
      <c r="Q55" s="1"/>
      <c r="R55" s="5">
        <f t="shared" ref="R55:R74" si="40">IF(P$12=0,0,P55/P$12)</f>
        <v>5.4206911758488522E-5</v>
      </c>
      <c r="S55" s="1"/>
      <c r="T55" s="1">
        <f>SUM(OSRRefT22_6x_0)</f>
        <v>30.81</v>
      </c>
      <c r="U55" s="1"/>
      <c r="V55" s="5">
        <f t="shared" ref="V55:V74" si="41">IF(T$12=0,0,T55/T$12)</f>
        <v>5.3122702822427634E-5</v>
      </c>
      <c r="W55" s="1"/>
      <c r="X55" s="1">
        <f t="shared" ref="X55:X74" si="42">+P55-T55</f>
        <v>1.0899999999999999</v>
      </c>
      <c r="Y55" s="1"/>
      <c r="Z55" s="5">
        <f t="shared" ref="Z55:Z74" si="43">IF(T55=0,0,X55/T55)</f>
        <v>3.5378123985718921E-2</v>
      </c>
    </row>
    <row r="56" spans="1:26" s="24" customFormat="1" hidden="1" outlineLevel="2" x14ac:dyDescent="0.25">
      <c r="A56" s="28"/>
      <c r="B56" s="11" t="str">
        <f>CONCATENATE("          ", "6382", " - ", "DISCOUNTS/MARK DOWNS")</f>
        <v xml:space="preserve">          6382 - DISCOUNTS/MARK DOWNS</v>
      </c>
      <c r="C56" s="11"/>
      <c r="D56" s="6">
        <v>11.81</v>
      </c>
      <c r="E56" s="2"/>
      <c r="F56" s="7">
        <f t="shared" si="36"/>
        <v>2.9455592315048434E-5</v>
      </c>
      <c r="G56" s="2"/>
      <c r="H56" s="6">
        <v>8.4499999999999993</v>
      </c>
      <c r="I56" s="2"/>
      <c r="J56" s="7">
        <f t="shared" si="37"/>
        <v>2.1827373784373495E-5</v>
      </c>
      <c r="K56" s="2"/>
      <c r="L56" s="6">
        <f t="shared" si="38"/>
        <v>3.3600000000000012</v>
      </c>
      <c r="M56" s="2"/>
      <c r="N56" s="7">
        <f t="shared" si="39"/>
        <v>0.39763313609467471</v>
      </c>
      <c r="O56" s="11"/>
      <c r="P56" s="6">
        <v>31.9</v>
      </c>
      <c r="Q56" s="2"/>
      <c r="R56" s="7">
        <f t="shared" si="40"/>
        <v>5.4206911758488522E-5</v>
      </c>
      <c r="S56" s="2"/>
      <c r="T56" s="6">
        <v>30.81</v>
      </c>
      <c r="U56" s="2"/>
      <c r="V56" s="7">
        <f t="shared" si="41"/>
        <v>5.3122702822427634E-5</v>
      </c>
      <c r="W56" s="2"/>
      <c r="X56" s="6">
        <f t="shared" si="42"/>
        <v>1.0899999999999999</v>
      </c>
      <c r="Y56" s="2"/>
      <c r="Z56" s="7">
        <f t="shared" si="43"/>
        <v>3.5378123985718921E-2</v>
      </c>
    </row>
    <row r="57" spans="1:26" s="29" customFormat="1" outlineLevel="1" collapsed="1" x14ac:dyDescent="0.25">
      <c r="A57" s="27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SUM(OSRRefD22_7x_0)</f>
        <v>0</v>
      </c>
      <c r="E57" s="1"/>
      <c r="F57" s="5">
        <f t="shared" si="36"/>
        <v>0</v>
      </c>
      <c r="G57" s="1"/>
      <c r="H57" s="1">
        <f>SUM(OSRRefH22_7x_0)</f>
        <v>14.38</v>
      </c>
      <c r="I57" s="1"/>
      <c r="J57" s="5">
        <f t="shared" si="37"/>
        <v>3.7145282250803653E-5</v>
      </c>
      <c r="K57" s="1"/>
      <c r="L57" s="1">
        <f t="shared" si="38"/>
        <v>-14.38</v>
      </c>
      <c r="M57" s="1"/>
      <c r="N57" s="5">
        <f t="shared" si="39"/>
        <v>-1</v>
      </c>
      <c r="O57" s="14"/>
      <c r="P57" s="1">
        <f>SUM(OSRRefP22_7x_0)</f>
        <v>0</v>
      </c>
      <c r="Q57" s="1"/>
      <c r="R57" s="5">
        <f t="shared" si="40"/>
        <v>0</v>
      </c>
      <c r="S57" s="1"/>
      <c r="T57" s="1">
        <f>SUM(OSRRefT22_7x_0)</f>
        <v>76.180000000000007</v>
      </c>
      <c r="U57" s="1"/>
      <c r="V57" s="5">
        <f t="shared" si="41"/>
        <v>1.3134980529089704E-4</v>
      </c>
      <c r="W57" s="1"/>
      <c r="X57" s="1">
        <f t="shared" si="42"/>
        <v>-76.180000000000007</v>
      </c>
      <c r="Y57" s="1"/>
      <c r="Z57" s="5">
        <f t="shared" si="43"/>
        <v>-1</v>
      </c>
    </row>
    <row r="58" spans="1:26" s="24" customFormat="1" hidden="1" outlineLevel="2" x14ac:dyDescent="0.25">
      <c r="A58" s="28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36"/>
        <v>0</v>
      </c>
      <c r="G58" s="2"/>
      <c r="H58" s="6">
        <v>14.38</v>
      </c>
      <c r="I58" s="2"/>
      <c r="J58" s="7">
        <f t="shared" si="37"/>
        <v>3.7145282250803653E-5</v>
      </c>
      <c r="K58" s="2"/>
      <c r="L58" s="6">
        <f t="shared" si="38"/>
        <v>-14.38</v>
      </c>
      <c r="M58" s="2"/>
      <c r="N58" s="7">
        <f t="shared" si="39"/>
        <v>-1</v>
      </c>
      <c r="O58" s="11"/>
      <c r="P58" s="6"/>
      <c r="Q58" s="2"/>
      <c r="R58" s="7">
        <f t="shared" si="40"/>
        <v>0</v>
      </c>
      <c r="S58" s="2"/>
      <c r="T58" s="6">
        <v>76.180000000000007</v>
      </c>
      <c r="U58" s="2"/>
      <c r="V58" s="7">
        <f t="shared" si="41"/>
        <v>1.3134980529089704E-4</v>
      </c>
      <c r="W58" s="2"/>
      <c r="X58" s="6">
        <f t="shared" si="42"/>
        <v>-76.180000000000007</v>
      </c>
      <c r="Y58" s="2"/>
      <c r="Z58" s="7">
        <f t="shared" si="43"/>
        <v>-1</v>
      </c>
    </row>
    <row r="59" spans="1:26" s="29" customFormat="1" outlineLevel="1" collapsed="1" x14ac:dyDescent="0.25">
      <c r="A59" s="27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SUM(OSRRefD22_8x_0)</f>
        <v>56.69</v>
      </c>
      <c r="E59" s="1"/>
      <c r="F59" s="5">
        <f t="shared" si="36"/>
        <v>1.4139183135817915E-4</v>
      </c>
      <c r="G59" s="1"/>
      <c r="H59" s="1">
        <f>SUM(OSRRefH22_8x_0)</f>
        <v>123.88</v>
      </c>
      <c r="I59" s="1"/>
      <c r="J59" s="5">
        <f t="shared" si="37"/>
        <v>3.1999704904238916E-4</v>
      </c>
      <c r="K59" s="1"/>
      <c r="L59" s="1">
        <f t="shared" si="38"/>
        <v>-67.19</v>
      </c>
      <c r="M59" s="1"/>
      <c r="N59" s="5">
        <f t="shared" si="39"/>
        <v>-0.54237972231191478</v>
      </c>
      <c r="O59" s="14"/>
      <c r="P59" s="1">
        <f>SUM(OSRRefP22_8x_0)</f>
        <v>349.21</v>
      </c>
      <c r="Q59" s="1"/>
      <c r="R59" s="5">
        <f t="shared" si="40"/>
        <v>5.9340425251353532E-4</v>
      </c>
      <c r="S59" s="1"/>
      <c r="T59" s="1">
        <f>SUM(OSRRefT22_8x_0)</f>
        <v>355.43</v>
      </c>
      <c r="U59" s="1"/>
      <c r="V59" s="5">
        <f t="shared" si="41"/>
        <v>6.1283356910663597E-4</v>
      </c>
      <c r="W59" s="1"/>
      <c r="X59" s="1">
        <f t="shared" si="42"/>
        <v>-6.2200000000000273</v>
      </c>
      <c r="Y59" s="1"/>
      <c r="Z59" s="5">
        <f t="shared" si="43"/>
        <v>-1.7499929662662204E-2</v>
      </c>
    </row>
    <row r="60" spans="1:26" s="24" customFormat="1" hidden="1" outlineLevel="2" x14ac:dyDescent="0.25">
      <c r="A60" s="28"/>
      <c r="B60" s="11" t="str">
        <f>CONCATENATE("          ", "6351", " - ", "EQUIPMENT RENTAL")</f>
        <v xml:space="preserve">          6351 - EQUIPMENT RENTAL</v>
      </c>
      <c r="C60" s="11"/>
      <c r="D60" s="6">
        <v>56.69</v>
      </c>
      <c r="E60" s="2"/>
      <c r="F60" s="7">
        <f t="shared" si="36"/>
        <v>1.4139183135817915E-4</v>
      </c>
      <c r="G60" s="2"/>
      <c r="H60" s="6">
        <v>123.88</v>
      </c>
      <c r="I60" s="2"/>
      <c r="J60" s="7">
        <f t="shared" si="37"/>
        <v>3.1999704904238916E-4</v>
      </c>
      <c r="K60" s="2"/>
      <c r="L60" s="6">
        <f t="shared" si="38"/>
        <v>-67.19</v>
      </c>
      <c r="M60" s="2"/>
      <c r="N60" s="7">
        <f t="shared" si="39"/>
        <v>-0.54237972231191478</v>
      </c>
      <c r="O60" s="11"/>
      <c r="P60" s="6">
        <v>349.21</v>
      </c>
      <c r="Q60" s="2"/>
      <c r="R60" s="7">
        <f t="shared" si="40"/>
        <v>5.9340425251353532E-4</v>
      </c>
      <c r="S60" s="2"/>
      <c r="T60" s="6">
        <v>355.43</v>
      </c>
      <c r="U60" s="2"/>
      <c r="V60" s="7">
        <f t="shared" si="41"/>
        <v>6.1283356910663597E-4</v>
      </c>
      <c r="W60" s="2"/>
      <c r="X60" s="6">
        <f t="shared" si="42"/>
        <v>-6.2200000000000273</v>
      </c>
      <c r="Y60" s="2"/>
      <c r="Z60" s="7">
        <f t="shared" si="43"/>
        <v>-1.7499929662662204E-2</v>
      </c>
    </row>
    <row r="61" spans="1:26" s="29" customFormat="1" outlineLevel="1" collapsed="1" x14ac:dyDescent="0.25">
      <c r="A61" s="27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SUM(OSRRefD22_9x_0)</f>
        <v>28.87</v>
      </c>
      <c r="E61" s="1"/>
      <c r="F61" s="5">
        <f t="shared" si="36"/>
        <v>7.200533024008876E-5</v>
      </c>
      <c r="G61" s="1"/>
      <c r="H61" s="1">
        <f>SUM(OSRRefH22_9x_0)</f>
        <v>22.01</v>
      </c>
      <c r="I61" s="1"/>
      <c r="J61" s="5">
        <f t="shared" si="37"/>
        <v>5.6854496685687657E-5</v>
      </c>
      <c r="K61" s="1"/>
      <c r="L61" s="1">
        <f t="shared" si="38"/>
        <v>6.8599999999999994</v>
      </c>
      <c r="M61" s="1"/>
      <c r="N61" s="5">
        <f t="shared" si="39"/>
        <v>0.31167651067696495</v>
      </c>
      <c r="O61" s="14"/>
      <c r="P61" s="1">
        <f>SUM(OSRRefP22_9x_0)</f>
        <v>145.52000000000001</v>
      </c>
      <c r="Q61" s="1"/>
      <c r="R61" s="5">
        <f t="shared" si="40"/>
        <v>2.4727867708762541E-4</v>
      </c>
      <c r="S61" s="1"/>
      <c r="T61" s="1">
        <f>SUM(OSRRefT22_9x_0)</f>
        <v>95.14</v>
      </c>
      <c r="U61" s="1"/>
      <c r="V61" s="5">
        <f t="shared" si="41"/>
        <v>1.6404069933546788E-4</v>
      </c>
      <c r="W61" s="1"/>
      <c r="X61" s="1">
        <f t="shared" si="42"/>
        <v>50.38000000000001</v>
      </c>
      <c r="Y61" s="1"/>
      <c r="Z61" s="5">
        <f t="shared" si="43"/>
        <v>0.5295354214841288</v>
      </c>
    </row>
    <row r="62" spans="1:26" s="24" customFormat="1" hidden="1" outlineLevel="2" x14ac:dyDescent="0.25">
      <c r="A62" s="28"/>
      <c r="B62" s="11" t="str">
        <f>CONCATENATE("          ", "6305", " - ", "FREIGHT OUT")</f>
        <v xml:space="preserve">          6305 - FREIGHT OUT</v>
      </c>
      <c r="C62" s="11"/>
      <c r="D62" s="6">
        <v>28.87</v>
      </c>
      <c r="E62" s="2"/>
      <c r="F62" s="7">
        <f t="shared" si="36"/>
        <v>7.200533024008876E-5</v>
      </c>
      <c r="G62" s="2"/>
      <c r="H62" s="6">
        <v>22.01</v>
      </c>
      <c r="I62" s="2"/>
      <c r="J62" s="7">
        <f t="shared" si="37"/>
        <v>5.6854496685687657E-5</v>
      </c>
      <c r="K62" s="2"/>
      <c r="L62" s="6">
        <f t="shared" si="38"/>
        <v>6.8599999999999994</v>
      </c>
      <c r="M62" s="2"/>
      <c r="N62" s="7">
        <f t="shared" si="39"/>
        <v>0.31167651067696495</v>
      </c>
      <c r="O62" s="11"/>
      <c r="P62" s="6">
        <v>145.52000000000001</v>
      </c>
      <c r="Q62" s="2"/>
      <c r="R62" s="7">
        <f t="shared" si="40"/>
        <v>2.4727867708762541E-4</v>
      </c>
      <c r="S62" s="2"/>
      <c r="T62" s="6">
        <v>95.14</v>
      </c>
      <c r="U62" s="2"/>
      <c r="V62" s="7">
        <f t="shared" si="41"/>
        <v>1.6404069933546788E-4</v>
      </c>
      <c r="W62" s="2"/>
      <c r="X62" s="6">
        <f t="shared" si="42"/>
        <v>50.38000000000001</v>
      </c>
      <c r="Y62" s="2"/>
      <c r="Z62" s="7">
        <f t="shared" si="43"/>
        <v>0.5295354214841288</v>
      </c>
    </row>
    <row r="63" spans="1:26" s="29" customFormat="1" outlineLevel="1" collapsed="1" x14ac:dyDescent="0.25">
      <c r="A63" s="27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SUM(OSRRefD22_10x_0)</f>
        <v>210.98</v>
      </c>
      <c r="E63" s="1"/>
      <c r="F63" s="5">
        <f t="shared" si="36"/>
        <v>5.2621006491354095E-4</v>
      </c>
      <c r="G63" s="1"/>
      <c r="H63" s="1">
        <f>SUM(OSRRefH22_10x_0)</f>
        <v>218.45</v>
      </c>
      <c r="I63" s="1"/>
      <c r="J63" s="5">
        <f t="shared" si="37"/>
        <v>5.6428281694631836E-4</v>
      </c>
      <c r="K63" s="1"/>
      <c r="L63" s="1">
        <f t="shared" si="38"/>
        <v>-7.4699999999999989</v>
      </c>
      <c r="M63" s="1"/>
      <c r="N63" s="5">
        <f t="shared" si="39"/>
        <v>-3.4195468070496678E-2</v>
      </c>
      <c r="O63" s="14"/>
      <c r="P63" s="1">
        <f>SUM(OSRRefP22_10x_0)</f>
        <v>4764.5200000000004</v>
      </c>
      <c r="Q63" s="1"/>
      <c r="R63" s="5">
        <f t="shared" si="40"/>
        <v>8.0962355865690835E-3</v>
      </c>
      <c r="S63" s="1"/>
      <c r="T63" s="1">
        <f>SUM(OSRRefT22_10x_0)</f>
        <v>5017.1499999999996</v>
      </c>
      <c r="U63" s="1"/>
      <c r="V63" s="5">
        <f t="shared" si="41"/>
        <v>8.6505864480864274E-3</v>
      </c>
      <c r="W63" s="1"/>
      <c r="X63" s="1">
        <f t="shared" si="42"/>
        <v>-252.6299999999992</v>
      </c>
      <c r="Y63" s="1"/>
      <c r="Z63" s="5">
        <f t="shared" si="43"/>
        <v>-5.0353288221400443E-2</v>
      </c>
    </row>
    <row r="64" spans="1:26" s="24" customFormat="1" hidden="1" outlineLevel="2" x14ac:dyDescent="0.25">
      <c r="A64" s="28"/>
      <c r="B64" s="11" t="str">
        <f>CONCATENATE("          ", "6279", " - ", "GENERAL EXPENSE")</f>
        <v xml:space="preserve">          6279 - GENERAL EXPENSE</v>
      </c>
      <c r="C64" s="11"/>
      <c r="D64" s="6">
        <v>210.98</v>
      </c>
      <c r="E64" s="2"/>
      <c r="F64" s="7">
        <f t="shared" si="36"/>
        <v>5.2621006491354095E-4</v>
      </c>
      <c r="G64" s="2"/>
      <c r="H64" s="6">
        <v>218.45</v>
      </c>
      <c r="I64" s="2"/>
      <c r="J64" s="7">
        <f t="shared" si="37"/>
        <v>5.6428281694631836E-4</v>
      </c>
      <c r="K64" s="2"/>
      <c r="L64" s="6">
        <f t="shared" si="38"/>
        <v>-7.4699999999999989</v>
      </c>
      <c r="M64" s="2"/>
      <c r="N64" s="7">
        <f t="shared" si="39"/>
        <v>-3.4195468070496678E-2</v>
      </c>
      <c r="O64" s="11"/>
      <c r="P64" s="6">
        <v>4764.5200000000004</v>
      </c>
      <c r="Q64" s="2"/>
      <c r="R64" s="7">
        <f t="shared" si="40"/>
        <v>8.0962355865690835E-3</v>
      </c>
      <c r="S64" s="2"/>
      <c r="T64" s="6">
        <v>5017.1499999999996</v>
      </c>
      <c r="U64" s="2"/>
      <c r="V64" s="7">
        <f t="shared" si="41"/>
        <v>8.6505864480864274E-3</v>
      </c>
      <c r="W64" s="2"/>
      <c r="X64" s="6">
        <f t="shared" si="42"/>
        <v>-252.6299999999992</v>
      </c>
      <c r="Y64" s="2"/>
      <c r="Z64" s="7">
        <f t="shared" si="43"/>
        <v>-5.0353288221400443E-2</v>
      </c>
    </row>
    <row r="65" spans="1:26" s="29" customFormat="1" outlineLevel="1" collapsed="1" x14ac:dyDescent="0.25">
      <c r="A65" s="27"/>
      <c r="B65" s="14" t="str">
        <f>CONCATENATE("     ","Insurance                                         ")</f>
        <v xml:space="preserve">     Insurance                                         </v>
      </c>
      <c r="C65" s="14"/>
      <c r="D65" s="1">
        <f>SUM(OSRRefD22_11x_0)</f>
        <v>243.54</v>
      </c>
      <c r="E65" s="1"/>
      <c r="F65" s="5">
        <f t="shared" si="36"/>
        <v>6.0741870892522395E-4</v>
      </c>
      <c r="G65" s="1"/>
      <c r="H65" s="1">
        <f>SUM(OSRRefH22_11x_0)</f>
        <v>229.44</v>
      </c>
      <c r="I65" s="1"/>
      <c r="J65" s="5">
        <f t="shared" si="37"/>
        <v>5.9267131847179344E-4</v>
      </c>
      <c r="K65" s="1"/>
      <c r="L65" s="1">
        <f t="shared" si="38"/>
        <v>14.099999999999994</v>
      </c>
      <c r="M65" s="1"/>
      <c r="N65" s="5">
        <f t="shared" si="39"/>
        <v>6.1453974895397466E-2</v>
      </c>
      <c r="O65" s="14"/>
      <c r="P65" s="1">
        <f>SUM(OSRRefP22_11x_0)</f>
        <v>730.62</v>
      </c>
      <c r="Q65" s="1"/>
      <c r="R65" s="5">
        <f t="shared" si="40"/>
        <v>1.2415251996547613E-3</v>
      </c>
      <c r="S65" s="1"/>
      <c r="T65" s="1">
        <f>SUM(OSRRefT22_11x_0)</f>
        <v>688.32</v>
      </c>
      <c r="U65" s="1"/>
      <c r="V65" s="5">
        <f t="shared" si="41"/>
        <v>1.1868035964535343E-3</v>
      </c>
      <c r="W65" s="1"/>
      <c r="X65" s="1">
        <f t="shared" si="42"/>
        <v>42.299999999999955</v>
      </c>
      <c r="Y65" s="1"/>
      <c r="Z65" s="5">
        <f t="shared" si="43"/>
        <v>6.1453974895397417E-2</v>
      </c>
    </row>
    <row r="66" spans="1:26" s="24" customFormat="1" hidden="1" outlineLevel="2" x14ac:dyDescent="0.25">
      <c r="A66" s="28"/>
      <c r="B66" s="11" t="str">
        <f>CONCATENATE("          ", "6314", " - ", "LIABILITY INSURANCE")</f>
        <v xml:space="preserve">          6314 - LIABILITY INSURANCE</v>
      </c>
      <c r="C66" s="11"/>
      <c r="D66" s="6">
        <v>243.54</v>
      </c>
      <c r="E66" s="2"/>
      <c r="F66" s="7">
        <f t="shared" si="36"/>
        <v>6.0741870892522395E-4</v>
      </c>
      <c r="G66" s="2"/>
      <c r="H66" s="6">
        <v>229.44</v>
      </c>
      <c r="I66" s="2"/>
      <c r="J66" s="7">
        <f t="shared" si="37"/>
        <v>5.9267131847179344E-4</v>
      </c>
      <c r="K66" s="2"/>
      <c r="L66" s="6">
        <f t="shared" si="38"/>
        <v>14.099999999999994</v>
      </c>
      <c r="M66" s="2"/>
      <c r="N66" s="7">
        <f t="shared" si="39"/>
        <v>6.1453974895397466E-2</v>
      </c>
      <c r="O66" s="11"/>
      <c r="P66" s="6">
        <v>730.62</v>
      </c>
      <c r="Q66" s="2"/>
      <c r="R66" s="7">
        <f t="shared" si="40"/>
        <v>1.2415251996547613E-3</v>
      </c>
      <c r="S66" s="2"/>
      <c r="T66" s="6">
        <v>688.32</v>
      </c>
      <c r="U66" s="2"/>
      <c r="V66" s="7">
        <f t="shared" si="41"/>
        <v>1.1868035964535343E-3</v>
      </c>
      <c r="W66" s="2"/>
      <c r="X66" s="6">
        <f t="shared" si="42"/>
        <v>42.299999999999955</v>
      </c>
      <c r="Y66" s="2"/>
      <c r="Z66" s="7">
        <f t="shared" si="43"/>
        <v>6.1453974895397417E-2</v>
      </c>
    </row>
    <row r="67" spans="1:26" s="29" customFormat="1" outlineLevel="1" collapsed="1" x14ac:dyDescent="0.25">
      <c r="A67" s="27"/>
      <c r="B67" s="14" t="str">
        <f>CONCATENATE("     ","Interest                                          ")</f>
        <v xml:space="preserve">     Interest                                          </v>
      </c>
      <c r="C67" s="14"/>
      <c r="D67" s="1">
        <f>SUM(OSRRefD22_12x_0)</f>
        <v>4110</v>
      </c>
      <c r="E67" s="1"/>
      <c r="F67" s="5">
        <f t="shared" si="36"/>
        <v>1.0250845420393654E-2</v>
      </c>
      <c r="G67" s="1"/>
      <c r="H67" s="1">
        <f>SUM(OSRRefH22_12x_0)</f>
        <v>4280</v>
      </c>
      <c r="I67" s="1"/>
      <c r="J67" s="5">
        <f t="shared" si="37"/>
        <v>1.1055758555872019E-2</v>
      </c>
      <c r="K67" s="1"/>
      <c r="L67" s="1">
        <f t="shared" si="38"/>
        <v>-170</v>
      </c>
      <c r="M67" s="1"/>
      <c r="N67" s="5">
        <f t="shared" si="39"/>
        <v>-3.9719626168224297E-2</v>
      </c>
      <c r="O67" s="14"/>
      <c r="P67" s="1">
        <f>SUM(OSRRefP22_12x_0)</f>
        <v>12330</v>
      </c>
      <c r="Q67" s="1"/>
      <c r="R67" s="5">
        <f t="shared" si="40"/>
        <v>2.0952075924205751E-2</v>
      </c>
      <c r="S67" s="1"/>
      <c r="T67" s="1">
        <f>SUM(OSRRefT22_12x_0)</f>
        <v>12840</v>
      </c>
      <c r="U67" s="1"/>
      <c r="V67" s="5">
        <f t="shared" si="41"/>
        <v>2.213877001752583E-2</v>
      </c>
      <c r="W67" s="1"/>
      <c r="X67" s="1">
        <f t="shared" si="42"/>
        <v>-510</v>
      </c>
      <c r="Y67" s="1"/>
      <c r="Z67" s="5">
        <f t="shared" si="43"/>
        <v>-3.9719626168224297E-2</v>
      </c>
    </row>
    <row r="68" spans="1:26" s="24" customFormat="1" hidden="1" outlineLevel="2" x14ac:dyDescent="0.25">
      <c r="A68" s="28"/>
      <c r="B68" s="11" t="str">
        <f>CONCATENATE("          ", "6401", " - ", "INTEREST EXPENSE")</f>
        <v xml:space="preserve">          6401 - INTEREST EXPENSE</v>
      </c>
      <c r="C68" s="11"/>
      <c r="D68" s="6">
        <v>4110</v>
      </c>
      <c r="E68" s="2"/>
      <c r="F68" s="7">
        <f t="shared" si="36"/>
        <v>1.0250845420393654E-2</v>
      </c>
      <c r="G68" s="2"/>
      <c r="H68" s="6">
        <v>4280</v>
      </c>
      <c r="I68" s="2"/>
      <c r="J68" s="7">
        <f t="shared" si="37"/>
        <v>1.1055758555872019E-2</v>
      </c>
      <c r="K68" s="2"/>
      <c r="L68" s="6">
        <f t="shared" si="38"/>
        <v>-170</v>
      </c>
      <c r="M68" s="2"/>
      <c r="N68" s="7">
        <f t="shared" si="39"/>
        <v>-3.9719626168224297E-2</v>
      </c>
      <c r="O68" s="11"/>
      <c r="P68" s="6">
        <v>12330</v>
      </c>
      <c r="Q68" s="2"/>
      <c r="R68" s="7">
        <f t="shared" si="40"/>
        <v>2.0952075924205751E-2</v>
      </c>
      <c r="S68" s="2"/>
      <c r="T68" s="6">
        <v>12840</v>
      </c>
      <c r="U68" s="2"/>
      <c r="V68" s="7">
        <f t="shared" si="41"/>
        <v>2.213877001752583E-2</v>
      </c>
      <c r="W68" s="2"/>
      <c r="X68" s="6">
        <f t="shared" si="42"/>
        <v>-510</v>
      </c>
      <c r="Y68" s="2"/>
      <c r="Z68" s="7">
        <f t="shared" si="43"/>
        <v>-3.9719626168224297E-2</v>
      </c>
    </row>
    <row r="69" spans="1:26" s="29" customFormat="1" outlineLevel="1" collapsed="1" x14ac:dyDescent="0.25">
      <c r="A69" s="27"/>
      <c r="B69" s="14" t="str">
        <f>CONCATENATE("     ","Rent                                              ")</f>
        <v xml:space="preserve">     Rent                                              </v>
      </c>
      <c r="C69" s="14"/>
      <c r="D69" s="1">
        <f>SUM(OSRRefD22_13x_0)</f>
        <v>1150</v>
      </c>
      <c r="E69" s="1"/>
      <c r="F69" s="5">
        <f t="shared" si="36"/>
        <v>2.8682414193315579E-3</v>
      </c>
      <c r="G69" s="1"/>
      <c r="H69" s="1">
        <f>SUM(OSRRefH22_13x_0)</f>
        <v>1150</v>
      </c>
      <c r="I69" s="1"/>
      <c r="J69" s="5">
        <f t="shared" si="37"/>
        <v>2.9705893316011268E-3</v>
      </c>
      <c r="K69" s="1"/>
      <c r="L69" s="1">
        <f t="shared" si="38"/>
        <v>0</v>
      </c>
      <c r="M69" s="1"/>
      <c r="N69" s="5">
        <f t="shared" si="39"/>
        <v>0</v>
      </c>
      <c r="O69" s="14"/>
      <c r="P69" s="1">
        <f>SUM(OSRRefP22_13x_0)</f>
        <v>3450</v>
      </c>
      <c r="Q69" s="1"/>
      <c r="R69" s="5">
        <f t="shared" si="40"/>
        <v>5.8625029958239939E-3</v>
      </c>
      <c r="S69" s="1"/>
      <c r="T69" s="1">
        <f>SUM(OSRRefT22_13x_0)</f>
        <v>3450</v>
      </c>
      <c r="U69" s="1"/>
      <c r="V69" s="5">
        <f t="shared" si="41"/>
        <v>5.9485012897557725E-3</v>
      </c>
      <c r="W69" s="1"/>
      <c r="X69" s="1">
        <f t="shared" si="42"/>
        <v>0</v>
      </c>
      <c r="Y69" s="1"/>
      <c r="Z69" s="5">
        <f t="shared" si="43"/>
        <v>0</v>
      </c>
    </row>
    <row r="70" spans="1:26" s="24" customFormat="1" hidden="1" outlineLevel="2" x14ac:dyDescent="0.25">
      <c r="A70" s="28"/>
      <c r="B70" s="11" t="str">
        <f>CONCATENATE("          ", "6273", " - ", "RENT")</f>
        <v xml:space="preserve">          6273 - RENT</v>
      </c>
      <c r="C70" s="11"/>
      <c r="D70" s="6">
        <v>1150</v>
      </c>
      <c r="E70" s="2"/>
      <c r="F70" s="7">
        <f t="shared" si="36"/>
        <v>2.8682414193315579E-3</v>
      </c>
      <c r="G70" s="2"/>
      <c r="H70" s="6">
        <v>1150</v>
      </c>
      <c r="I70" s="2"/>
      <c r="J70" s="7">
        <f t="shared" si="37"/>
        <v>2.9705893316011268E-3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3450</v>
      </c>
      <c r="Q70" s="2"/>
      <c r="R70" s="7">
        <f t="shared" si="40"/>
        <v>5.8625029958239939E-3</v>
      </c>
      <c r="S70" s="2"/>
      <c r="T70" s="6">
        <v>3450</v>
      </c>
      <c r="U70" s="2"/>
      <c r="V70" s="7">
        <f t="shared" si="41"/>
        <v>5.9485012897557725E-3</v>
      </c>
      <c r="W70" s="2"/>
      <c r="X70" s="6">
        <f t="shared" si="42"/>
        <v>0</v>
      </c>
      <c r="Y70" s="2"/>
      <c r="Z70" s="7">
        <f t="shared" si="43"/>
        <v>0</v>
      </c>
    </row>
    <row r="71" spans="1:26" s="29" customFormat="1" outlineLevel="1" collapsed="1" x14ac:dyDescent="0.25">
      <c r="A71" s="27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SUM(OSRRefD22_14x_0)</f>
        <v>5463.2300000000005</v>
      </c>
      <c r="E71" s="1"/>
      <c r="F71" s="5">
        <f t="shared" si="36"/>
        <v>1.3625967451595432E-2</v>
      </c>
      <c r="G71" s="1"/>
      <c r="H71" s="1">
        <f>SUM(OSRRefH22_14x_0)</f>
        <v>1514.1000000000001</v>
      </c>
      <c r="I71" s="1"/>
      <c r="J71" s="5">
        <f t="shared" si="37"/>
        <v>3.9111037451976232E-3</v>
      </c>
      <c r="K71" s="1"/>
      <c r="L71" s="1">
        <f t="shared" si="38"/>
        <v>3949.13</v>
      </c>
      <c r="M71" s="1"/>
      <c r="N71" s="5">
        <f t="shared" si="39"/>
        <v>2.6082359157255133</v>
      </c>
      <c r="O71" s="14"/>
      <c r="P71" s="1">
        <f>SUM(OSRRefP22_14x_0)</f>
        <v>8456.0300000000007</v>
      </c>
      <c r="Q71" s="1"/>
      <c r="R71" s="5">
        <f t="shared" si="40"/>
        <v>1.4369130784863064E-2</v>
      </c>
      <c r="S71" s="1"/>
      <c r="T71" s="1">
        <f>SUM(OSRRefT22_14x_0)</f>
        <v>2630.27</v>
      </c>
      <c r="U71" s="1"/>
      <c r="V71" s="5">
        <f t="shared" si="41"/>
        <v>4.535120141277077E-3</v>
      </c>
      <c r="W71" s="1"/>
      <c r="X71" s="1">
        <f t="shared" si="42"/>
        <v>5825.76</v>
      </c>
      <c r="Y71" s="1"/>
      <c r="Z71" s="5">
        <f t="shared" si="43"/>
        <v>2.2148904865279992</v>
      </c>
    </row>
    <row r="72" spans="1:26" s="24" customFormat="1" hidden="1" outlineLevel="2" x14ac:dyDescent="0.25">
      <c r="A72" s="28"/>
      <c r="B72" s="11" t="str">
        <f>CONCATENATE("          ", "6371", " - ", "COMPUTER SOFTWARE MAINTENANCE")</f>
        <v xml:space="preserve">          6371 - COMPUTER SOFTWARE MAINTENANCE</v>
      </c>
      <c r="C72" s="11"/>
      <c r="D72" s="6">
        <v>1311.93</v>
      </c>
      <c r="E72" s="2"/>
      <c r="F72" s="7">
        <f t="shared" si="36"/>
        <v>3.2721147524031745E-3</v>
      </c>
      <c r="G72" s="2"/>
      <c r="H72" s="6"/>
      <c r="I72" s="2"/>
      <c r="J72" s="7">
        <f t="shared" si="37"/>
        <v>0</v>
      </c>
      <c r="K72" s="2"/>
      <c r="L72" s="6">
        <f t="shared" si="38"/>
        <v>1311.93</v>
      </c>
      <c r="M72" s="2"/>
      <c r="N72" s="7">
        <f t="shared" si="39"/>
        <v>0</v>
      </c>
      <c r="O72" s="11"/>
      <c r="P72" s="6">
        <v>1311.93</v>
      </c>
      <c r="Q72" s="2"/>
      <c r="R72" s="7">
        <f t="shared" si="40"/>
        <v>2.2293314653076442E-3</v>
      </c>
      <c r="S72" s="2"/>
      <c r="T72" s="6"/>
      <c r="U72" s="2"/>
      <c r="V72" s="7">
        <f t="shared" si="41"/>
        <v>0</v>
      </c>
      <c r="W72" s="2"/>
      <c r="X72" s="6">
        <f t="shared" si="42"/>
        <v>1311.93</v>
      </c>
      <c r="Y72" s="2"/>
      <c r="Z72" s="7">
        <f t="shared" si="43"/>
        <v>0</v>
      </c>
    </row>
    <row r="73" spans="1:26" s="24" customFormat="1" hidden="1" outlineLevel="2" x14ac:dyDescent="0.25">
      <c r="A73" s="28"/>
      <c r="B73" s="11" t="str">
        <f>CONCATENATE("          ", "6373", " - ", "MAINTENANCE CONTRACTS")</f>
        <v xml:space="preserve">          6373 - MAINTENANCE CONTRACTS</v>
      </c>
      <c r="C73" s="11"/>
      <c r="D73" s="6"/>
      <c r="E73" s="2"/>
      <c r="F73" s="7">
        <f t="shared" si="36"/>
        <v>0</v>
      </c>
      <c r="G73" s="2"/>
      <c r="H73" s="6">
        <v>402.68</v>
      </c>
      <c r="I73" s="2"/>
      <c r="J73" s="7">
        <f t="shared" si="37"/>
        <v>1.040171227868819E-3</v>
      </c>
      <c r="K73" s="2"/>
      <c r="L73" s="6">
        <f t="shared" si="38"/>
        <v>-402.68</v>
      </c>
      <c r="M73" s="2"/>
      <c r="N73" s="7">
        <f t="shared" si="39"/>
        <v>-1</v>
      </c>
      <c r="O73" s="11"/>
      <c r="P73" s="6"/>
      <c r="Q73" s="2"/>
      <c r="R73" s="7">
        <f t="shared" si="40"/>
        <v>0</v>
      </c>
      <c r="S73" s="2"/>
      <c r="T73" s="6">
        <v>402.68</v>
      </c>
      <c r="U73" s="2"/>
      <c r="V73" s="7">
        <f t="shared" si="41"/>
        <v>6.9430217372720422E-4</v>
      </c>
      <c r="W73" s="2"/>
      <c r="X73" s="6">
        <f t="shared" si="42"/>
        <v>-402.68</v>
      </c>
      <c r="Y73" s="2"/>
      <c r="Z73" s="7">
        <f t="shared" si="43"/>
        <v>-1</v>
      </c>
    </row>
    <row r="74" spans="1:26" s="24" customFormat="1" hidden="1" outlineLevel="2" x14ac:dyDescent="0.25">
      <c r="A74" s="28"/>
      <c r="B74" s="11" t="str">
        <f>CONCATENATE("          ", "6375", " - ", "OUTSIDE REPAIRS &amp; MAINTENANCE")</f>
        <v xml:space="preserve">          6375 - OUTSIDE REPAIRS &amp; MAINTENANCE</v>
      </c>
      <c r="C74" s="11"/>
      <c r="D74" s="6">
        <v>4151.3</v>
      </c>
      <c r="E74" s="2"/>
      <c r="F74" s="7">
        <f t="shared" si="36"/>
        <v>1.0353852699192258E-2</v>
      </c>
      <c r="G74" s="2"/>
      <c r="H74" s="6">
        <v>1111.42</v>
      </c>
      <c r="I74" s="2"/>
      <c r="J74" s="7">
        <f t="shared" si="37"/>
        <v>2.870932517328804E-3</v>
      </c>
      <c r="K74" s="2"/>
      <c r="L74" s="6">
        <f t="shared" si="38"/>
        <v>3039.88</v>
      </c>
      <c r="M74" s="2"/>
      <c r="N74" s="7">
        <f t="shared" si="39"/>
        <v>2.735131633405913</v>
      </c>
      <c r="O74" s="11"/>
      <c r="P74" s="6">
        <v>7144.1</v>
      </c>
      <c r="Q74" s="2"/>
      <c r="R74" s="7">
        <f t="shared" si="40"/>
        <v>1.213979931955542E-2</v>
      </c>
      <c r="S74" s="2"/>
      <c r="T74" s="6">
        <v>2227.59</v>
      </c>
      <c r="U74" s="2"/>
      <c r="V74" s="7">
        <f t="shared" si="41"/>
        <v>3.840817967549873E-3</v>
      </c>
      <c r="W74" s="2"/>
      <c r="X74" s="6">
        <f t="shared" si="42"/>
        <v>4916.51</v>
      </c>
      <c r="Y74" s="2"/>
      <c r="Z74" s="7">
        <f t="shared" si="43"/>
        <v>2.2070982541670596</v>
      </c>
    </row>
    <row r="75" spans="1:26" s="29" customFormat="1" outlineLevel="1" collapsed="1" x14ac:dyDescent="0.25">
      <c r="A75" s="27"/>
      <c r="B75" s="14" t="str">
        <f>CONCATENATE("     ","Royalty &amp; Commissions                             ")</f>
        <v xml:space="preserve">     Royalty &amp; Commissions                             </v>
      </c>
      <c r="C75" s="14"/>
      <c r="D75" s="1">
        <f>SUM(OSRRefD22_15x_0)</f>
        <v>5673.45</v>
      </c>
      <c r="E75" s="1"/>
      <c r="F75" s="5">
        <f t="shared" ref="F75:F81" si="44">IF(D$12=0,0,D75/D$12)</f>
        <v>1.415028198304924E-2</v>
      </c>
      <c r="G75" s="1"/>
      <c r="H75" s="1">
        <f>SUM(OSRRefH22_15x_0)</f>
        <v>3675.6</v>
      </c>
      <c r="I75" s="1"/>
      <c r="J75" s="5">
        <f t="shared" ref="J75:J81" si="45">IF(H$12=0,0,H75/H$12)</f>
        <v>9.4945201280287831E-3</v>
      </c>
      <c r="K75" s="1"/>
      <c r="L75" s="1">
        <f t="shared" ref="L75:L81" si="46">+D75-H75</f>
        <v>1997.85</v>
      </c>
      <c r="M75" s="1"/>
      <c r="N75" s="5">
        <f t="shared" ref="N75:N81" si="47">IF(H75=0,0,L75/H75)</f>
        <v>0.54354391119817169</v>
      </c>
      <c r="O75" s="14"/>
      <c r="P75" s="1">
        <f>SUM(OSRRefP22_15x_0)</f>
        <v>5673.45</v>
      </c>
      <c r="Q75" s="1"/>
      <c r="R75" s="5">
        <f t="shared" ref="R75:R81" si="48">IF(P$12=0,0,P75/P$12)</f>
        <v>9.6407587309152564E-3</v>
      </c>
      <c r="S75" s="1"/>
      <c r="T75" s="1">
        <f>SUM(OSRRefT22_15x_0)</f>
        <v>5350.8</v>
      </c>
      <c r="U75" s="1"/>
      <c r="V75" s="5">
        <f t="shared" ref="V75:V81" si="49">IF(T$12=0,0,T75/T$12)</f>
        <v>9.2258668699203451E-3</v>
      </c>
      <c r="W75" s="1"/>
      <c r="X75" s="1">
        <f t="shared" ref="X75:X81" si="50">+P75-T75</f>
        <v>322.64999999999964</v>
      </c>
      <c r="Y75" s="1"/>
      <c r="Z75" s="5">
        <f t="shared" ref="Z75:Z81" si="51">IF(T75=0,0,X75/T75)</f>
        <v>6.0299394483067884E-2</v>
      </c>
    </row>
    <row r="76" spans="1:26" s="24" customFormat="1" hidden="1" outlineLevel="2" x14ac:dyDescent="0.25">
      <c r="A76" s="28"/>
      <c r="B76" s="11" t="str">
        <f>CONCATENATE("          ", "6254", " - ", "ROYALTY &amp; COMMISSIONS")</f>
        <v xml:space="preserve">          6254 - ROYALTY &amp; COMMISSIONS</v>
      </c>
      <c r="C76" s="11"/>
      <c r="D76" s="6">
        <v>5673.45</v>
      </c>
      <c r="E76" s="2"/>
      <c r="F76" s="7">
        <f t="shared" si="44"/>
        <v>1.415028198304924E-2</v>
      </c>
      <c r="G76" s="2"/>
      <c r="H76" s="6">
        <v>3675.6</v>
      </c>
      <c r="I76" s="2"/>
      <c r="J76" s="7">
        <f t="shared" si="45"/>
        <v>9.4945201280287831E-3</v>
      </c>
      <c r="K76" s="2"/>
      <c r="L76" s="6">
        <f t="shared" si="46"/>
        <v>1997.85</v>
      </c>
      <c r="M76" s="2"/>
      <c r="N76" s="7">
        <f t="shared" si="47"/>
        <v>0.54354391119817169</v>
      </c>
      <c r="O76" s="11"/>
      <c r="P76" s="6">
        <v>5673.45</v>
      </c>
      <c r="Q76" s="2"/>
      <c r="R76" s="7">
        <f t="shared" si="48"/>
        <v>9.6407587309152564E-3</v>
      </c>
      <c r="S76" s="2"/>
      <c r="T76" s="6">
        <v>5350.8</v>
      </c>
      <c r="U76" s="2"/>
      <c r="V76" s="7">
        <f t="shared" si="49"/>
        <v>9.2258668699203451E-3</v>
      </c>
      <c r="W76" s="2"/>
      <c r="X76" s="6">
        <f t="shared" si="50"/>
        <v>322.64999999999964</v>
      </c>
      <c r="Y76" s="2"/>
      <c r="Z76" s="7">
        <f t="shared" si="51"/>
        <v>6.0299394483067884E-2</v>
      </c>
    </row>
    <row r="77" spans="1:26" s="29" customFormat="1" outlineLevel="1" collapsed="1" x14ac:dyDescent="0.25">
      <c r="A77" s="27"/>
      <c r="B77" s="14" t="str">
        <f>CONCATENATE("     ","Services                                          ")</f>
        <v xml:space="preserve">     Services                                          </v>
      </c>
      <c r="C77" s="14"/>
      <c r="D77" s="1">
        <f>SUM(OSRRefD22_16x_0)</f>
        <v>1508.75</v>
      </c>
      <c r="E77" s="1"/>
      <c r="F77" s="5">
        <f t="shared" si="44"/>
        <v>3.7630080360143373E-3</v>
      </c>
      <c r="G77" s="1"/>
      <c r="H77" s="1">
        <f>SUM(OSRRefH22_16x_0)</f>
        <v>1819.1800000000003</v>
      </c>
      <c r="I77" s="1"/>
      <c r="J77" s="5">
        <f t="shared" si="45"/>
        <v>4.6991623480540333E-3</v>
      </c>
      <c r="K77" s="1"/>
      <c r="L77" s="1">
        <f t="shared" si="46"/>
        <v>-310.43000000000029</v>
      </c>
      <c r="M77" s="1"/>
      <c r="N77" s="5">
        <f t="shared" si="47"/>
        <v>-0.17064281709341586</v>
      </c>
      <c r="O77" s="14"/>
      <c r="P77" s="1">
        <f>SUM(OSRRefP22_16x_0)</f>
        <v>4961.7700000000004</v>
      </c>
      <c r="Q77" s="1"/>
      <c r="R77" s="5">
        <f t="shared" si="48"/>
        <v>8.4314178230694547E-3</v>
      </c>
      <c r="S77" s="1"/>
      <c r="T77" s="1">
        <f>SUM(OSRRefT22_16x_0)</f>
        <v>4841.7700000000004</v>
      </c>
      <c r="U77" s="1"/>
      <c r="V77" s="5">
        <f t="shared" si="49"/>
        <v>8.348195678174148E-3</v>
      </c>
      <c r="W77" s="1"/>
      <c r="X77" s="1">
        <f t="shared" si="50"/>
        <v>120</v>
      </c>
      <c r="Y77" s="1"/>
      <c r="Z77" s="5">
        <f t="shared" si="51"/>
        <v>2.4784324740745635E-2</v>
      </c>
    </row>
    <row r="78" spans="1:26" s="24" customFormat="1" hidden="1" outlineLevel="2" x14ac:dyDescent="0.25">
      <c r="A78" s="28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485.74</v>
      </c>
      <c r="E78" s="2"/>
      <c r="F78" s="7">
        <f t="shared" si="44"/>
        <v>1.2114952930661835E-3</v>
      </c>
      <c r="G78" s="2"/>
      <c r="H78" s="6">
        <v>640.59</v>
      </c>
      <c r="I78" s="2"/>
      <c r="J78" s="7">
        <f t="shared" si="45"/>
        <v>1.6547215825481441E-3</v>
      </c>
      <c r="K78" s="2"/>
      <c r="L78" s="6">
        <f t="shared" si="46"/>
        <v>-154.85000000000002</v>
      </c>
      <c r="M78" s="2"/>
      <c r="N78" s="7">
        <f t="shared" si="47"/>
        <v>-0.24173027989821885</v>
      </c>
      <c r="O78" s="11"/>
      <c r="P78" s="6">
        <v>2134.66</v>
      </c>
      <c r="Q78" s="2"/>
      <c r="R78" s="7">
        <f t="shared" si="48"/>
        <v>3.6273769985697524E-3</v>
      </c>
      <c r="S78" s="2"/>
      <c r="T78" s="6">
        <v>1844.77</v>
      </c>
      <c r="U78" s="2"/>
      <c r="V78" s="7">
        <f t="shared" si="49"/>
        <v>3.1807584708123931E-3</v>
      </c>
      <c r="W78" s="2"/>
      <c r="X78" s="6">
        <f t="shared" si="50"/>
        <v>289.88999999999987</v>
      </c>
      <c r="Y78" s="2"/>
      <c r="Z78" s="7">
        <f t="shared" si="51"/>
        <v>0.15714154067986788</v>
      </c>
    </row>
    <row r="79" spans="1:26" s="24" customFormat="1" hidden="1" outlineLevel="2" x14ac:dyDescent="0.25">
      <c r="A79" s="28"/>
      <c r="B79" s="11" t="str">
        <f>CONCATENATE("          ", "6284", " - ", "TRASH REMOVAL EXPENSE")</f>
        <v xml:space="preserve">          6284 - TRASH REMOVAL EXPENSE</v>
      </c>
      <c r="C79" s="11"/>
      <c r="D79" s="6">
        <v>237</v>
      </c>
      <c r="E79" s="2"/>
      <c r="F79" s="7">
        <f t="shared" si="44"/>
        <v>5.9110714467963405E-4</v>
      </c>
      <c r="G79" s="2"/>
      <c r="H79" s="6">
        <v>351</v>
      </c>
      <c r="I79" s="2"/>
      <c r="J79" s="7">
        <f t="shared" si="45"/>
        <v>9.0667552642782214E-4</v>
      </c>
      <c r="K79" s="2"/>
      <c r="L79" s="6">
        <f t="shared" si="46"/>
        <v>-114</v>
      </c>
      <c r="M79" s="2"/>
      <c r="N79" s="7">
        <f t="shared" si="47"/>
        <v>-0.3247863247863248</v>
      </c>
      <c r="O79" s="11"/>
      <c r="P79" s="6">
        <v>474</v>
      </c>
      <c r="Q79" s="2"/>
      <c r="R79" s="7">
        <f t="shared" si="48"/>
        <v>8.0545693333929655E-4</v>
      </c>
      <c r="S79" s="2"/>
      <c r="T79" s="6">
        <v>711</v>
      </c>
      <c r="U79" s="2"/>
      <c r="V79" s="7">
        <f t="shared" si="49"/>
        <v>1.225908526671407E-3</v>
      </c>
      <c r="W79" s="2"/>
      <c r="X79" s="6">
        <f t="shared" si="50"/>
        <v>-237</v>
      </c>
      <c r="Y79" s="2"/>
      <c r="Z79" s="7">
        <f t="shared" si="51"/>
        <v>-0.33333333333333331</v>
      </c>
    </row>
    <row r="80" spans="1:26" s="24" customFormat="1" hidden="1" outlineLevel="2" x14ac:dyDescent="0.25">
      <c r="A80" s="28"/>
      <c r="B80" s="11" t="str">
        <f>CONCATENATE("          ", "6285", " - ", "JANITORIAL SERVICES")</f>
        <v xml:space="preserve">          6285 - JANITORIAL SERVICES</v>
      </c>
      <c r="C80" s="11"/>
      <c r="D80" s="6">
        <v>25.23</v>
      </c>
      <c r="E80" s="2"/>
      <c r="F80" s="7">
        <f t="shared" si="44"/>
        <v>6.2926722617161042E-5</v>
      </c>
      <c r="G80" s="2"/>
      <c r="H80" s="6">
        <v>116.25</v>
      </c>
      <c r="I80" s="2"/>
      <c r="J80" s="7">
        <f t="shared" si="45"/>
        <v>3.0028783460750517E-4</v>
      </c>
      <c r="K80" s="2"/>
      <c r="L80" s="6">
        <f t="shared" si="46"/>
        <v>-91.02</v>
      </c>
      <c r="M80" s="2"/>
      <c r="N80" s="7">
        <f t="shared" si="47"/>
        <v>-0.7829677419354838</v>
      </c>
      <c r="O80" s="11"/>
      <c r="P80" s="6">
        <v>173.08</v>
      </c>
      <c r="Q80" s="2"/>
      <c r="R80" s="7">
        <f t="shared" si="48"/>
        <v>2.9411073000499042E-4</v>
      </c>
      <c r="S80" s="2"/>
      <c r="T80" s="6">
        <v>348.75</v>
      </c>
      <c r="U80" s="2"/>
      <c r="V80" s="7">
        <f t="shared" si="49"/>
        <v>6.0131589124705093E-4</v>
      </c>
      <c r="W80" s="2"/>
      <c r="X80" s="6">
        <f t="shared" si="50"/>
        <v>-175.67</v>
      </c>
      <c r="Y80" s="2"/>
      <c r="Z80" s="7">
        <f t="shared" si="51"/>
        <v>-0.50371326164874553</v>
      </c>
    </row>
    <row r="81" spans="1:26" s="24" customFormat="1" hidden="1" outlineLevel="2" x14ac:dyDescent="0.25">
      <c r="A81" s="28"/>
      <c r="B81" s="11" t="str">
        <f>CONCATENATE("          ", "6286", " - ", "LAUNDRY EXPENSE")</f>
        <v xml:space="preserve">          6286 - LAUNDRY EXPENSE</v>
      </c>
      <c r="C81" s="11"/>
      <c r="D81" s="6">
        <v>760.78</v>
      </c>
      <c r="E81" s="2"/>
      <c r="F81" s="7">
        <f t="shared" si="44"/>
        <v>1.8974788756513587E-3</v>
      </c>
      <c r="G81" s="2"/>
      <c r="H81" s="6">
        <v>711.34</v>
      </c>
      <c r="I81" s="2"/>
      <c r="J81" s="7">
        <f t="shared" si="45"/>
        <v>1.8374774044705613E-3</v>
      </c>
      <c r="K81" s="2"/>
      <c r="L81" s="6">
        <f t="shared" si="46"/>
        <v>49.439999999999941</v>
      </c>
      <c r="M81" s="2"/>
      <c r="N81" s="7">
        <f t="shared" si="47"/>
        <v>6.9502628841341604E-2</v>
      </c>
      <c r="O81" s="11"/>
      <c r="P81" s="6">
        <v>2180.0300000000002</v>
      </c>
      <c r="Q81" s="2"/>
      <c r="R81" s="7">
        <f t="shared" si="48"/>
        <v>3.7044731611554152E-3</v>
      </c>
      <c r="S81" s="2"/>
      <c r="T81" s="6">
        <v>1937.25</v>
      </c>
      <c r="U81" s="2"/>
      <c r="V81" s="7">
        <f t="shared" si="49"/>
        <v>3.3402127894432958E-3</v>
      </c>
      <c r="W81" s="2"/>
      <c r="X81" s="6">
        <f t="shared" si="50"/>
        <v>242.7800000000002</v>
      </c>
      <c r="Y81" s="2"/>
      <c r="Z81" s="7">
        <f t="shared" si="51"/>
        <v>0.12532197702929421</v>
      </c>
    </row>
    <row r="82" spans="1:26" s="29" customFormat="1" outlineLevel="1" collapsed="1" x14ac:dyDescent="0.25">
      <c r="A82" s="27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SUM(OSRRefD22_17x_0)</f>
        <v>176.4</v>
      </c>
      <c r="E82" s="1"/>
      <c r="F82" s="5">
        <f t="shared" ref="F82:F84" si="52">IF(D$12=0,0,D82/D$12)</f>
        <v>4.3996329249572765E-4</v>
      </c>
      <c r="G82" s="1"/>
      <c r="H82" s="1">
        <f>SUM(OSRRefH22_17x_0)</f>
        <v>0</v>
      </c>
      <c r="I82" s="1"/>
      <c r="J82" s="5">
        <f t="shared" ref="J82:J84" si="53">IF(H$12=0,0,H82/H$12)</f>
        <v>0</v>
      </c>
      <c r="K82" s="1"/>
      <c r="L82" s="1">
        <f t="shared" ref="L82:L84" si="54">+D82-H82</f>
        <v>176.4</v>
      </c>
      <c r="M82" s="1"/>
      <c r="N82" s="5">
        <f t="shared" ref="N82:N84" si="55">IF(H82=0,0,L82/H82)</f>
        <v>0</v>
      </c>
      <c r="O82" s="14"/>
      <c r="P82" s="1">
        <f>SUM(OSRRefP22_17x_0)</f>
        <v>529.20000000000005</v>
      </c>
      <c r="Q82" s="1"/>
      <c r="R82" s="5">
        <f t="shared" ref="R82:R84" si="56">IF(P$12=0,0,P82/P$12)</f>
        <v>8.9925698127248056E-4</v>
      </c>
      <c r="S82" s="1"/>
      <c r="T82" s="1">
        <f>SUM(OSRRefT22_17x_0)</f>
        <v>31.8</v>
      </c>
      <c r="U82" s="1"/>
      <c r="V82" s="5">
        <f t="shared" ref="V82:V84" si="57">IF(T$12=0,0,T82/T$12)</f>
        <v>5.4829664062096686E-5</v>
      </c>
      <c r="W82" s="1"/>
      <c r="X82" s="1">
        <f t="shared" ref="X82:X84" si="58">+P82-T82</f>
        <v>497.40000000000003</v>
      </c>
      <c r="Y82" s="1"/>
      <c r="Z82" s="5">
        <f t="shared" ref="Z82:Z84" si="59">IF(T82=0,0,X82/T82)</f>
        <v>15.641509433962264</v>
      </c>
    </row>
    <row r="83" spans="1:26" s="24" customFormat="1" hidden="1" outlineLevel="2" x14ac:dyDescent="0.25">
      <c r="A83" s="28"/>
      <c r="B83" s="11" t="str">
        <f>CONCATENATE("          ", "6258", " - ", "MEMBERSHIP DUES")</f>
        <v xml:space="preserve">          6258 - MEMBERSHIP DUES</v>
      </c>
      <c r="C83" s="11"/>
      <c r="D83" s="6"/>
      <c r="E83" s="2"/>
      <c r="F83" s="7">
        <f t="shared" si="52"/>
        <v>0</v>
      </c>
      <c r="G83" s="2"/>
      <c r="H83" s="6"/>
      <c r="I83" s="2"/>
      <c r="J83" s="7">
        <f t="shared" si="53"/>
        <v>0</v>
      </c>
      <c r="K83" s="2"/>
      <c r="L83" s="6">
        <f t="shared" si="54"/>
        <v>0</v>
      </c>
      <c r="M83" s="2"/>
      <c r="N83" s="7">
        <f t="shared" si="55"/>
        <v>0</v>
      </c>
      <c r="O83" s="11"/>
      <c r="P83" s="6"/>
      <c r="Q83" s="2"/>
      <c r="R83" s="7">
        <f t="shared" si="56"/>
        <v>0</v>
      </c>
      <c r="S83" s="2"/>
      <c r="T83" s="6">
        <v>31.8</v>
      </c>
      <c r="U83" s="2"/>
      <c r="V83" s="7">
        <f t="shared" si="57"/>
        <v>5.4829664062096686E-5</v>
      </c>
      <c r="W83" s="2"/>
      <c r="X83" s="6">
        <f t="shared" si="58"/>
        <v>-31.8</v>
      </c>
      <c r="Y83" s="2"/>
      <c r="Z83" s="7">
        <f t="shared" si="59"/>
        <v>-1</v>
      </c>
    </row>
    <row r="84" spans="1:26" s="24" customFormat="1" hidden="1" outlineLevel="2" x14ac:dyDescent="0.25">
      <c r="A84" s="28"/>
      <c r="B84" s="11" t="str">
        <f>CONCATENATE("          ", "6275", " - ", "SUBSCRIPTIONS")</f>
        <v xml:space="preserve">          6275 - SUBSCRIPTIONS</v>
      </c>
      <c r="C84" s="11"/>
      <c r="D84" s="6">
        <v>176.4</v>
      </c>
      <c r="E84" s="2"/>
      <c r="F84" s="7">
        <f t="shared" si="52"/>
        <v>4.3996329249572765E-4</v>
      </c>
      <c r="G84" s="2"/>
      <c r="H84" s="6"/>
      <c r="I84" s="2"/>
      <c r="J84" s="7">
        <f t="shared" si="53"/>
        <v>0</v>
      </c>
      <c r="K84" s="2"/>
      <c r="L84" s="6">
        <f t="shared" si="54"/>
        <v>176.4</v>
      </c>
      <c r="M84" s="2"/>
      <c r="N84" s="7">
        <f t="shared" si="55"/>
        <v>0</v>
      </c>
      <c r="O84" s="11"/>
      <c r="P84" s="6">
        <v>529.20000000000005</v>
      </c>
      <c r="Q84" s="2"/>
      <c r="R84" s="7">
        <f t="shared" si="56"/>
        <v>8.9925698127248056E-4</v>
      </c>
      <c r="S84" s="2"/>
      <c r="T84" s="6"/>
      <c r="U84" s="2"/>
      <c r="V84" s="7">
        <f t="shared" si="57"/>
        <v>0</v>
      </c>
      <c r="W84" s="2"/>
      <c r="X84" s="6">
        <f t="shared" si="58"/>
        <v>529.20000000000005</v>
      </c>
      <c r="Y84" s="2"/>
      <c r="Z84" s="7">
        <f t="shared" si="59"/>
        <v>0</v>
      </c>
    </row>
    <row r="85" spans="1:26" s="29" customFormat="1" outlineLevel="1" collapsed="1" x14ac:dyDescent="0.25">
      <c r="A85" s="27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SUM(OSRRefD22_18x_0)</f>
        <v>7755.55</v>
      </c>
      <c r="E85" s="1"/>
      <c r="F85" s="5">
        <f t="shared" ref="F85:F92" si="60">IF(D$12=0,0,D85/D$12)</f>
        <v>1.9343295425823359E-2</v>
      </c>
      <c r="G85" s="1"/>
      <c r="H85" s="1">
        <f>SUM(OSRRefH22_18x_0)</f>
        <v>6027</v>
      </c>
      <c r="I85" s="1"/>
      <c r="J85" s="5">
        <f t="shared" ref="J85:J92" si="61">IF(H$12=0,0,H85/H$12)</f>
        <v>1.5568471218747817E-2</v>
      </c>
      <c r="K85" s="1"/>
      <c r="L85" s="1">
        <f t="shared" ref="L85:L92" si="62">+D85-H85</f>
        <v>1728.5500000000002</v>
      </c>
      <c r="M85" s="1"/>
      <c r="N85" s="5">
        <f t="shared" ref="N85:N92" si="63">IF(H85=0,0,L85/H85)</f>
        <v>0.28680106188816995</v>
      </c>
      <c r="O85" s="14"/>
      <c r="P85" s="1">
        <f>SUM(OSRRefP22_18x_0)</f>
        <v>25308.799999999999</v>
      </c>
      <c r="Q85" s="1"/>
      <c r="R85" s="5">
        <f t="shared" ref="R85:R92" si="64">IF(P$12=0,0,P85/P$12)</f>
        <v>4.300664226687255E-2</v>
      </c>
      <c r="S85" s="1"/>
      <c r="T85" s="1">
        <f>SUM(OSRRefT22_18x_0)</f>
        <v>20768.36</v>
      </c>
      <c r="U85" s="1"/>
      <c r="V85" s="5">
        <f t="shared" ref="V85:V92" si="65">IF(T$12=0,0,T85/T$12)</f>
        <v>3.5808874274235417E-2</v>
      </c>
      <c r="W85" s="1"/>
      <c r="X85" s="1">
        <f t="shared" ref="X85:X92" si="66">+P85-T85</f>
        <v>4540.4399999999987</v>
      </c>
      <c r="Y85" s="1"/>
      <c r="Z85" s="5">
        <f t="shared" ref="Z85:Z92" si="67">IF(T85=0,0,X85/T85)</f>
        <v>0.21862294374712296</v>
      </c>
    </row>
    <row r="86" spans="1:26" s="24" customFormat="1" hidden="1" outlineLevel="2" x14ac:dyDescent="0.25">
      <c r="A86" s="28"/>
      <c r="B86" s="11" t="str">
        <f>CONCATENATE("          ", "6234", " - ", "EXPENDABLE SUPPLIES &amp; EQUIPMEN")</f>
        <v xml:space="preserve">          6234 - EXPENDABLE SUPPLIES &amp; EQUIPMEN</v>
      </c>
      <c r="C86" s="11"/>
      <c r="D86" s="6"/>
      <c r="E86" s="2"/>
      <c r="F86" s="7">
        <f t="shared" si="60"/>
        <v>0</v>
      </c>
      <c r="G86" s="2"/>
      <c r="H86" s="6">
        <v>777.26</v>
      </c>
      <c r="I86" s="2"/>
      <c r="J86" s="7">
        <f t="shared" si="61"/>
        <v>2.0077567512002538E-3</v>
      </c>
      <c r="K86" s="2"/>
      <c r="L86" s="6">
        <f t="shared" si="62"/>
        <v>-777.26</v>
      </c>
      <c r="M86" s="2"/>
      <c r="N86" s="7">
        <f t="shared" si="63"/>
        <v>-1</v>
      </c>
      <c r="O86" s="11"/>
      <c r="P86" s="6">
        <v>1064.24</v>
      </c>
      <c r="Q86" s="2"/>
      <c r="R86" s="7">
        <f t="shared" si="64"/>
        <v>1.8084377357320948E-3</v>
      </c>
      <c r="S86" s="2"/>
      <c r="T86" s="6">
        <v>939.33</v>
      </c>
      <c r="U86" s="2"/>
      <c r="V86" s="7">
        <f t="shared" si="65"/>
        <v>1.6195958598568957E-3</v>
      </c>
      <c r="W86" s="2"/>
      <c r="X86" s="6">
        <f t="shared" si="66"/>
        <v>124.90999999999997</v>
      </c>
      <c r="Y86" s="2"/>
      <c r="Z86" s="7">
        <f t="shared" si="67"/>
        <v>0.1329777607443603</v>
      </c>
    </row>
    <row r="87" spans="1:26" s="24" customFormat="1" hidden="1" outlineLevel="2" x14ac:dyDescent="0.25">
      <c r="A87" s="28"/>
      <c r="B87" s="11" t="str">
        <f>CONCATENATE("          ", "6237", " - ", "JANITORIAL SUPPLIES")</f>
        <v xml:space="preserve">          6237 - JANITORIAL SUPPLIES</v>
      </c>
      <c r="C87" s="11"/>
      <c r="D87" s="6">
        <v>171.96</v>
      </c>
      <c r="E87" s="2"/>
      <c r="F87" s="7">
        <f t="shared" si="60"/>
        <v>4.288893864941345E-4</v>
      </c>
      <c r="G87" s="2"/>
      <c r="H87" s="6">
        <v>642.16999999999996</v>
      </c>
      <c r="I87" s="2"/>
      <c r="J87" s="7">
        <f t="shared" si="61"/>
        <v>1.6588029139776481E-3</v>
      </c>
      <c r="K87" s="2"/>
      <c r="L87" s="6">
        <f t="shared" si="62"/>
        <v>-470.20999999999992</v>
      </c>
      <c r="M87" s="2"/>
      <c r="N87" s="7">
        <f t="shared" si="63"/>
        <v>-0.73222044007038622</v>
      </c>
      <c r="O87" s="11"/>
      <c r="P87" s="6">
        <v>1185.9000000000001</v>
      </c>
      <c r="Q87" s="2"/>
      <c r="R87" s="7">
        <f t="shared" si="64"/>
        <v>2.0151716819558478E-3</v>
      </c>
      <c r="S87" s="2"/>
      <c r="T87" s="6">
        <v>1258.71</v>
      </c>
      <c r="U87" s="2"/>
      <c r="V87" s="7">
        <f t="shared" si="65"/>
        <v>2.1702719009937649E-3</v>
      </c>
      <c r="W87" s="2"/>
      <c r="X87" s="6">
        <f t="shared" si="66"/>
        <v>-72.809999999999945</v>
      </c>
      <c r="Y87" s="2"/>
      <c r="Z87" s="7">
        <f t="shared" si="67"/>
        <v>-5.7844936482589274E-2</v>
      </c>
    </row>
    <row r="88" spans="1:26" s="24" customFormat="1" hidden="1" outlineLevel="2" x14ac:dyDescent="0.25">
      <c r="A88" s="28"/>
      <c r="B88" s="11" t="str">
        <f>CONCATENATE("          ", "6241", " - ", "OFFICE EXPENSE")</f>
        <v xml:space="preserve">          6241 - OFFICE EXPENSE</v>
      </c>
      <c r="C88" s="11"/>
      <c r="D88" s="6">
        <v>227.69</v>
      </c>
      <c r="E88" s="2"/>
      <c r="F88" s="7">
        <f t="shared" si="60"/>
        <v>5.6788685979791513E-4</v>
      </c>
      <c r="G88" s="2"/>
      <c r="H88" s="6">
        <v>294.99</v>
      </c>
      <c r="I88" s="2"/>
      <c r="J88" s="7">
        <f t="shared" si="61"/>
        <v>7.6199491037305775E-4</v>
      </c>
      <c r="K88" s="2"/>
      <c r="L88" s="6">
        <f t="shared" si="62"/>
        <v>-67.300000000000011</v>
      </c>
      <c r="M88" s="2"/>
      <c r="N88" s="7">
        <f t="shared" si="63"/>
        <v>-0.22814332689243708</v>
      </c>
      <c r="O88" s="11"/>
      <c r="P88" s="6">
        <v>958.26</v>
      </c>
      <c r="Q88" s="2"/>
      <c r="R88" s="7">
        <f t="shared" si="64"/>
        <v>1.6283484408053045E-3</v>
      </c>
      <c r="S88" s="2"/>
      <c r="T88" s="6">
        <v>3001.25</v>
      </c>
      <c r="U88" s="2"/>
      <c r="V88" s="7">
        <f t="shared" si="65"/>
        <v>5.174765071269424E-3</v>
      </c>
      <c r="W88" s="2"/>
      <c r="X88" s="6">
        <f t="shared" si="66"/>
        <v>-2042.99</v>
      </c>
      <c r="Y88" s="2"/>
      <c r="Z88" s="7">
        <f t="shared" si="67"/>
        <v>-0.68071303623490209</v>
      </c>
    </row>
    <row r="89" spans="1:26" s="24" customFormat="1" hidden="1" outlineLevel="2" x14ac:dyDescent="0.25">
      <c r="A89" s="28"/>
      <c r="B89" s="11" t="str">
        <f>CONCATENATE("          ", "6243", " - ", "PAPER SUPPLIES")</f>
        <v xml:space="preserve">          6243 - PAPER SUPPLIES</v>
      </c>
      <c r="C89" s="11"/>
      <c r="D89" s="6">
        <v>197.39</v>
      </c>
      <c r="E89" s="2"/>
      <c r="F89" s="7">
        <f t="shared" si="60"/>
        <v>4.9231493370596193E-4</v>
      </c>
      <c r="G89" s="2"/>
      <c r="H89" s="6">
        <v>2053.09</v>
      </c>
      <c r="I89" s="2"/>
      <c r="J89" s="7">
        <f t="shared" si="61"/>
        <v>5.3033802181017024E-3</v>
      </c>
      <c r="K89" s="2"/>
      <c r="L89" s="6">
        <f t="shared" si="62"/>
        <v>-1855.7000000000003</v>
      </c>
      <c r="M89" s="2"/>
      <c r="N89" s="7">
        <f t="shared" si="63"/>
        <v>-0.90385711293708515</v>
      </c>
      <c r="O89" s="11"/>
      <c r="P89" s="6">
        <v>799.06</v>
      </c>
      <c r="Q89" s="2"/>
      <c r="R89" s="7">
        <f t="shared" si="64"/>
        <v>1.3578236648820639E-3</v>
      </c>
      <c r="S89" s="2"/>
      <c r="T89" s="6">
        <v>3135.31</v>
      </c>
      <c r="U89" s="2"/>
      <c r="V89" s="7">
        <f t="shared" si="65"/>
        <v>5.4059117619664259E-3</v>
      </c>
      <c r="W89" s="2"/>
      <c r="X89" s="6">
        <f t="shared" si="66"/>
        <v>-2336.25</v>
      </c>
      <c r="Y89" s="2"/>
      <c r="Z89" s="7">
        <f t="shared" si="67"/>
        <v>-0.74514162873846601</v>
      </c>
    </row>
    <row r="90" spans="1:26" s="24" customFormat="1" hidden="1" outlineLevel="2" x14ac:dyDescent="0.25">
      <c r="A90" s="28"/>
      <c r="B90" s="11" t="str">
        <f>CONCATENATE("          ", "6245", " - ", "PRINTING")</f>
        <v xml:space="preserve">          6245 - PRINTING</v>
      </c>
      <c r="C90" s="11"/>
      <c r="D90" s="6">
        <v>35.54</v>
      </c>
      <c r="E90" s="2"/>
      <c r="F90" s="7">
        <f t="shared" si="60"/>
        <v>8.8641130472211791E-5</v>
      </c>
      <c r="G90" s="2"/>
      <c r="H90" s="6"/>
      <c r="I90" s="2"/>
      <c r="J90" s="7">
        <f t="shared" si="61"/>
        <v>0</v>
      </c>
      <c r="K90" s="2"/>
      <c r="L90" s="6">
        <f t="shared" si="62"/>
        <v>35.54</v>
      </c>
      <c r="M90" s="2"/>
      <c r="N90" s="7">
        <f t="shared" si="63"/>
        <v>0</v>
      </c>
      <c r="O90" s="11"/>
      <c r="P90" s="6">
        <v>35.54</v>
      </c>
      <c r="Q90" s="2"/>
      <c r="R90" s="7">
        <f t="shared" si="64"/>
        <v>6.0392277238140506E-5</v>
      </c>
      <c r="S90" s="2"/>
      <c r="T90" s="6">
        <v>51.82</v>
      </c>
      <c r="U90" s="2"/>
      <c r="V90" s="7">
        <f t="shared" si="65"/>
        <v>8.9348213575404092E-5</v>
      </c>
      <c r="W90" s="2"/>
      <c r="X90" s="6">
        <f t="shared" si="66"/>
        <v>-16.28</v>
      </c>
      <c r="Y90" s="2"/>
      <c r="Z90" s="7">
        <f t="shared" si="67"/>
        <v>-0.31416441528367428</v>
      </c>
    </row>
    <row r="91" spans="1:26" s="24" customFormat="1" hidden="1" outlineLevel="2" x14ac:dyDescent="0.25">
      <c r="A91" s="28"/>
      <c r="B91" s="11" t="str">
        <f>CONCATENATE("          ", "6247", " - ", "STORE SUPPLIES")</f>
        <v xml:space="preserve">          6247 - STORE SUPPLIES</v>
      </c>
      <c r="C91" s="11"/>
      <c r="D91" s="6">
        <v>7122.97</v>
      </c>
      <c r="E91" s="2"/>
      <c r="F91" s="7">
        <f t="shared" si="60"/>
        <v>1.7765563115353138E-2</v>
      </c>
      <c r="G91" s="2"/>
      <c r="H91" s="6">
        <v>2259.4899999999998</v>
      </c>
      <c r="I91" s="2"/>
      <c r="J91" s="7">
        <f t="shared" si="61"/>
        <v>5.8365364250951559E-3</v>
      </c>
      <c r="K91" s="2"/>
      <c r="L91" s="6">
        <f t="shared" si="62"/>
        <v>4863.4800000000005</v>
      </c>
      <c r="M91" s="2"/>
      <c r="N91" s="7">
        <f t="shared" si="63"/>
        <v>2.152468034822018</v>
      </c>
      <c r="O91" s="11"/>
      <c r="P91" s="6">
        <v>21265.8</v>
      </c>
      <c r="Q91" s="2"/>
      <c r="R91" s="7">
        <f t="shared" si="64"/>
        <v>3.6136468466259099E-2</v>
      </c>
      <c r="S91" s="2"/>
      <c r="T91" s="6">
        <v>11230.76</v>
      </c>
      <c r="U91" s="2"/>
      <c r="V91" s="7">
        <f t="shared" si="65"/>
        <v>1.9364113143460156E-2</v>
      </c>
      <c r="W91" s="2"/>
      <c r="X91" s="6">
        <f t="shared" si="66"/>
        <v>10035.039999999999</v>
      </c>
      <c r="Y91" s="2"/>
      <c r="Z91" s="7">
        <f t="shared" si="67"/>
        <v>0.8935316933137204</v>
      </c>
    </row>
    <row r="92" spans="1:26" s="24" customFormat="1" hidden="1" outlineLevel="2" x14ac:dyDescent="0.25">
      <c r="A92" s="28"/>
      <c r="B92" s="11" t="str">
        <f>CONCATENATE("          ", "6248", " - ", "UNIFORMS")</f>
        <v xml:space="preserve">          6248 - UNIFORMS</v>
      </c>
      <c r="C92" s="11"/>
      <c r="D92" s="6"/>
      <c r="E92" s="2"/>
      <c r="F92" s="7">
        <f t="shared" si="60"/>
        <v>0</v>
      </c>
      <c r="G92" s="2"/>
      <c r="H92" s="6"/>
      <c r="I92" s="2"/>
      <c r="J92" s="7">
        <f t="shared" si="61"/>
        <v>0</v>
      </c>
      <c r="K92" s="2"/>
      <c r="L92" s="6">
        <f t="shared" si="62"/>
        <v>0</v>
      </c>
      <c r="M92" s="2"/>
      <c r="N92" s="7">
        <f t="shared" si="63"/>
        <v>0</v>
      </c>
      <c r="O92" s="11"/>
      <c r="P92" s="6"/>
      <c r="Q92" s="2"/>
      <c r="R92" s="7">
        <f t="shared" si="64"/>
        <v>0</v>
      </c>
      <c r="S92" s="2"/>
      <c r="T92" s="6">
        <v>1151.18</v>
      </c>
      <c r="U92" s="2"/>
      <c r="V92" s="7">
        <f t="shared" si="65"/>
        <v>1.984868323113348E-3</v>
      </c>
      <c r="W92" s="2"/>
      <c r="X92" s="6">
        <f t="shared" si="66"/>
        <v>-1151.18</v>
      </c>
      <c r="Y92" s="2"/>
      <c r="Z92" s="7">
        <f t="shared" si="67"/>
        <v>-1</v>
      </c>
    </row>
    <row r="93" spans="1:26" s="29" customFormat="1" outlineLevel="1" collapsed="1" x14ac:dyDescent="0.25">
      <c r="A93" s="27"/>
      <c r="B93" s="14" t="str">
        <f>CONCATENATE("     ","Telephone/Data Lines                              ")</f>
        <v xml:space="preserve">     Telephone/Data Lines                              </v>
      </c>
      <c r="C93" s="14"/>
      <c r="D93" s="1">
        <f>SUM(OSRRefD22_19x_0)</f>
        <v>428.01</v>
      </c>
      <c r="E93" s="1"/>
      <c r="F93" s="5">
        <f t="shared" ref="F93:F98" si="68">IF(D$12=0,0,D93/D$12)</f>
        <v>1.0675095738157392E-3</v>
      </c>
      <c r="G93" s="1"/>
      <c r="H93" s="1">
        <f>SUM(OSRRefH22_19x_0)</f>
        <v>463.01</v>
      </c>
      <c r="I93" s="1"/>
      <c r="J93" s="5">
        <f t="shared" ref="J93:J98" si="69">IF(H$12=0,0,H93/H$12)</f>
        <v>1.1960109273257719E-3</v>
      </c>
      <c r="K93" s="1"/>
      <c r="L93" s="1">
        <f t="shared" ref="L93:L98" si="70">+D93-H93</f>
        <v>-35</v>
      </c>
      <c r="M93" s="1"/>
      <c r="N93" s="5">
        <f t="shared" ref="N93:N98" si="71">IF(H93=0,0,L93/H93)</f>
        <v>-7.5592319820306259E-2</v>
      </c>
      <c r="O93" s="14"/>
      <c r="P93" s="1">
        <f>SUM(OSRRefP22_19x_0)</f>
        <v>1009.58</v>
      </c>
      <c r="Q93" s="1"/>
      <c r="R93" s="5">
        <f t="shared" ref="R93:R98" si="72">IF(P$12=0,0,P93/P$12)</f>
        <v>1.7155552969634748E-3</v>
      </c>
      <c r="S93" s="1"/>
      <c r="T93" s="1">
        <f>SUM(OSRRefT22_19x_0)</f>
        <v>1117.33</v>
      </c>
      <c r="U93" s="1"/>
      <c r="V93" s="5">
        <f t="shared" ref="V93:V98" si="73">IF(T$12=0,0,T93/T$12)</f>
        <v>1.9265040423428455E-3</v>
      </c>
      <c r="W93" s="1"/>
      <c r="X93" s="1">
        <f t="shared" ref="X93:X98" si="74">+P93-T93</f>
        <v>-107.74999999999989</v>
      </c>
      <c r="Y93" s="1"/>
      <c r="Z93" s="5">
        <f t="shared" ref="Z93:Z98" si="75">IF(T93=0,0,X93/T93)</f>
        <v>-9.6435251895142793E-2</v>
      </c>
    </row>
    <row r="94" spans="1:26" s="24" customFormat="1" hidden="1" outlineLevel="2" x14ac:dyDescent="0.25">
      <c r="A94" s="28"/>
      <c r="B94" s="11" t="str">
        <f>CONCATENATE("          ", "6309", " - ", "TELEPHONE")</f>
        <v xml:space="preserve">          6309 - TELEPHONE</v>
      </c>
      <c r="C94" s="11"/>
      <c r="D94" s="6">
        <v>428.01</v>
      </c>
      <c r="E94" s="2"/>
      <c r="F94" s="7">
        <f t="shared" si="68"/>
        <v>1.0675095738157392E-3</v>
      </c>
      <c r="G94" s="2"/>
      <c r="H94" s="6">
        <v>463.01</v>
      </c>
      <c r="I94" s="2"/>
      <c r="J94" s="7">
        <f t="shared" si="69"/>
        <v>1.1960109273257719E-3</v>
      </c>
      <c r="K94" s="2"/>
      <c r="L94" s="6">
        <f t="shared" si="70"/>
        <v>-35</v>
      </c>
      <c r="M94" s="2"/>
      <c r="N94" s="7">
        <f t="shared" si="71"/>
        <v>-7.5592319820306259E-2</v>
      </c>
      <c r="O94" s="11"/>
      <c r="P94" s="6">
        <v>1009.58</v>
      </c>
      <c r="Q94" s="2"/>
      <c r="R94" s="7">
        <f t="shared" si="72"/>
        <v>1.7155552969634748E-3</v>
      </c>
      <c r="S94" s="2"/>
      <c r="T94" s="6">
        <v>1117.33</v>
      </c>
      <c r="U94" s="2"/>
      <c r="V94" s="7">
        <f t="shared" si="73"/>
        <v>1.9265040423428455E-3</v>
      </c>
      <c r="W94" s="2"/>
      <c r="X94" s="6">
        <f t="shared" si="74"/>
        <v>-107.74999999999989</v>
      </c>
      <c r="Y94" s="2"/>
      <c r="Z94" s="7">
        <f t="shared" si="75"/>
        <v>-9.6435251895142793E-2</v>
      </c>
    </row>
    <row r="95" spans="1:26" s="29" customFormat="1" outlineLevel="1" collapsed="1" x14ac:dyDescent="0.25">
      <c r="A95" s="27"/>
      <c r="B95" s="14" t="str">
        <f>CONCATENATE("     ","Training                                          ")</f>
        <v xml:space="preserve">     Training                                          </v>
      </c>
      <c r="C95" s="14"/>
      <c r="D95" s="1">
        <f>SUM(OSRRefD22_20x_0)</f>
        <v>96</v>
      </c>
      <c r="E95" s="1"/>
      <c r="F95" s="5">
        <f t="shared" si="68"/>
        <v>2.3943580543985178E-4</v>
      </c>
      <c r="G95" s="1"/>
      <c r="H95" s="1">
        <f>SUM(OSRRefH22_20x_0)</f>
        <v>0</v>
      </c>
      <c r="I95" s="1"/>
      <c r="J95" s="5">
        <f t="shared" si="69"/>
        <v>0</v>
      </c>
      <c r="K95" s="1"/>
      <c r="L95" s="1">
        <f t="shared" si="70"/>
        <v>96</v>
      </c>
      <c r="M95" s="1"/>
      <c r="N95" s="5">
        <f t="shared" si="71"/>
        <v>0</v>
      </c>
      <c r="O95" s="14"/>
      <c r="P95" s="1">
        <f>SUM(OSRRefP22_20x_0)</f>
        <v>96</v>
      </c>
      <c r="Q95" s="1"/>
      <c r="R95" s="5">
        <f t="shared" si="72"/>
        <v>1.6313051814466765E-4</v>
      </c>
      <c r="S95" s="1"/>
      <c r="T95" s="1">
        <f>SUM(OSRRefT22_20x_0)</f>
        <v>98.82</v>
      </c>
      <c r="U95" s="1"/>
      <c r="V95" s="5">
        <f t="shared" si="73"/>
        <v>1.7038576737787403E-4</v>
      </c>
      <c r="W95" s="1"/>
      <c r="X95" s="1">
        <f t="shared" si="74"/>
        <v>-2.8199999999999932</v>
      </c>
      <c r="Y95" s="1"/>
      <c r="Z95" s="5">
        <f t="shared" si="75"/>
        <v>-2.8536733454766174E-2</v>
      </c>
    </row>
    <row r="96" spans="1:26" s="24" customFormat="1" hidden="1" outlineLevel="2" x14ac:dyDescent="0.25">
      <c r="A96" s="28"/>
      <c r="B96" s="11" t="str">
        <f>CONCATENATE("          ", "6376", " - ", "TRAINING")</f>
        <v xml:space="preserve">          6376 - TRAINING</v>
      </c>
      <c r="C96" s="11"/>
      <c r="D96" s="6">
        <v>96</v>
      </c>
      <c r="E96" s="2"/>
      <c r="F96" s="7">
        <f t="shared" si="68"/>
        <v>2.3943580543985178E-4</v>
      </c>
      <c r="G96" s="2"/>
      <c r="H96" s="6"/>
      <c r="I96" s="2"/>
      <c r="J96" s="7">
        <f t="shared" si="69"/>
        <v>0</v>
      </c>
      <c r="K96" s="2"/>
      <c r="L96" s="6">
        <f t="shared" si="70"/>
        <v>96</v>
      </c>
      <c r="M96" s="2"/>
      <c r="N96" s="7">
        <f t="shared" si="71"/>
        <v>0</v>
      </c>
      <c r="O96" s="11"/>
      <c r="P96" s="6">
        <v>96</v>
      </c>
      <c r="Q96" s="2"/>
      <c r="R96" s="7">
        <f t="shared" si="72"/>
        <v>1.6313051814466765E-4</v>
      </c>
      <c r="S96" s="2"/>
      <c r="T96" s="6">
        <v>98.82</v>
      </c>
      <c r="U96" s="2"/>
      <c r="V96" s="7">
        <f t="shared" si="73"/>
        <v>1.7038576737787403E-4</v>
      </c>
      <c r="W96" s="2"/>
      <c r="X96" s="6">
        <f t="shared" si="74"/>
        <v>-2.8199999999999932</v>
      </c>
      <c r="Y96" s="2"/>
      <c r="Z96" s="7">
        <f t="shared" si="75"/>
        <v>-2.8536733454766174E-2</v>
      </c>
    </row>
    <row r="97" spans="1:26" s="29" customFormat="1" outlineLevel="1" collapsed="1" x14ac:dyDescent="0.25">
      <c r="A97" s="27"/>
      <c r="B97" s="14" t="str">
        <f>CONCATENATE("     ","Utilities                                         ")</f>
        <v xml:space="preserve">     Utilities                                         </v>
      </c>
      <c r="C97" s="14"/>
      <c r="D97" s="1">
        <f>SUM(OSRRefD22_21x_0)</f>
        <v>999</v>
      </c>
      <c r="E97" s="1"/>
      <c r="F97" s="5">
        <f t="shared" si="68"/>
        <v>2.4916288503584578E-3</v>
      </c>
      <c r="G97" s="1"/>
      <c r="H97" s="1">
        <f>SUM(OSRRefH22_21x_0)</f>
        <v>583.22</v>
      </c>
      <c r="I97" s="1"/>
      <c r="J97" s="5">
        <f t="shared" si="69"/>
        <v>1.5065279217186167E-3</v>
      </c>
      <c r="K97" s="1"/>
      <c r="L97" s="1">
        <f t="shared" si="70"/>
        <v>415.78</v>
      </c>
      <c r="M97" s="1"/>
      <c r="N97" s="5">
        <f t="shared" si="71"/>
        <v>0.7129042213915846</v>
      </c>
      <c r="O97" s="14"/>
      <c r="P97" s="1">
        <f>SUM(OSRRefP22_21x_0)</f>
        <v>1055.1199999999999</v>
      </c>
      <c r="Q97" s="1"/>
      <c r="R97" s="5">
        <f t="shared" si="72"/>
        <v>1.7929403365083512E-3</v>
      </c>
      <c r="S97" s="1"/>
      <c r="T97" s="1">
        <f>SUM(OSRRefT22_21x_0)</f>
        <v>2757.22</v>
      </c>
      <c r="U97" s="1"/>
      <c r="V97" s="5">
        <f t="shared" si="73"/>
        <v>4.7540077467073654E-3</v>
      </c>
      <c r="W97" s="1"/>
      <c r="X97" s="1">
        <f t="shared" si="74"/>
        <v>-1702.1</v>
      </c>
      <c r="Y97" s="1"/>
      <c r="Z97" s="5">
        <f t="shared" si="75"/>
        <v>-0.61732469661470613</v>
      </c>
    </row>
    <row r="98" spans="1:26" s="24" customFormat="1" hidden="1" outlineLevel="2" x14ac:dyDescent="0.25">
      <c r="A98" s="28"/>
      <c r="B98" s="11" t="str">
        <f>CONCATENATE("          ", "6274", " - ", "UTILITIES")</f>
        <v xml:space="preserve">          6274 - UTILITIES</v>
      </c>
      <c r="C98" s="11"/>
      <c r="D98" s="6">
        <v>999</v>
      </c>
      <c r="E98" s="2"/>
      <c r="F98" s="7">
        <f t="shared" si="68"/>
        <v>2.4916288503584578E-3</v>
      </c>
      <c r="G98" s="2"/>
      <c r="H98" s="6">
        <v>583.22</v>
      </c>
      <c r="I98" s="2"/>
      <c r="J98" s="7">
        <f t="shared" si="69"/>
        <v>1.5065279217186167E-3</v>
      </c>
      <c r="K98" s="2"/>
      <c r="L98" s="6">
        <f t="shared" si="70"/>
        <v>415.78</v>
      </c>
      <c r="M98" s="2"/>
      <c r="N98" s="7">
        <f t="shared" si="71"/>
        <v>0.7129042213915846</v>
      </c>
      <c r="O98" s="11"/>
      <c r="P98" s="6">
        <v>1055.1199999999999</v>
      </c>
      <c r="Q98" s="2"/>
      <c r="R98" s="7">
        <f t="shared" si="72"/>
        <v>1.7929403365083512E-3</v>
      </c>
      <c r="S98" s="2"/>
      <c r="T98" s="6">
        <v>2757.22</v>
      </c>
      <c r="U98" s="2"/>
      <c r="V98" s="7">
        <f t="shared" si="73"/>
        <v>4.7540077467073654E-3</v>
      </c>
      <c r="W98" s="2"/>
      <c r="X98" s="6">
        <f t="shared" si="74"/>
        <v>-1702.1</v>
      </c>
      <c r="Y98" s="2"/>
      <c r="Z98" s="7">
        <f t="shared" si="75"/>
        <v>-0.61732469661470613</v>
      </c>
    </row>
    <row r="99" spans="1:26" s="53" customFormat="1" x14ac:dyDescent="0.25">
      <c r="A99" s="37"/>
      <c r="B99" s="37"/>
      <c r="C99" s="37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7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5" t="s">
        <v>0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6" t="s">
        <v>3</v>
      </c>
      <c r="C102" s="26"/>
      <c r="D102" s="21">
        <f>+D27-D29+D100</f>
        <v>93215.190000000075</v>
      </c>
      <c r="E102" s="13"/>
      <c r="F102" s="20">
        <f>IF(D$12=0,0,D102/D$12)</f>
        <v>0.23249014684248787</v>
      </c>
      <c r="G102" s="13"/>
      <c r="H102" s="21">
        <f>+H27-H29+H100</f>
        <v>92869.830000000016</v>
      </c>
      <c r="I102" s="13"/>
      <c r="J102" s="20">
        <f>IF(H$12=0,0,H102/H$12)</f>
        <v>0.23989402280487854</v>
      </c>
      <c r="K102" s="15"/>
      <c r="L102" s="21">
        <f>+D102-H102</f>
        <v>345.36000000005879</v>
      </c>
      <c r="M102" s="15"/>
      <c r="N102" s="20">
        <f>IF(H102=0,0,L102/H102)</f>
        <v>3.7187534423187675E-3</v>
      </c>
      <c r="O102" s="25"/>
      <c r="P102" s="21">
        <f>+P27-P29+P100</f>
        <v>16824.220000000088</v>
      </c>
      <c r="Q102" s="13"/>
      <c r="R102" s="20">
        <f>IF(P$12=0,0,P102/P$12)</f>
        <v>2.8588997145623907E-2</v>
      </c>
      <c r="S102" s="13"/>
      <c r="T102" s="21">
        <f>+T27-T29+T100</f>
        <v>39945.410000000265</v>
      </c>
      <c r="U102" s="13"/>
      <c r="V102" s="20">
        <f>IF(T$12=0,0,T102/T$12)</f>
        <v>6.8874006639079624E-2</v>
      </c>
      <c r="W102" s="15"/>
      <c r="X102" s="21">
        <f>+P102-T102</f>
        <v>-23121.190000000177</v>
      </c>
      <c r="Y102" s="15"/>
      <c r="Z102" s="20">
        <f>IF(T102=0,0,X102/T102)</f>
        <v>-0.57881969417762946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1"/>
      <c r="B104" s="10" t="s">
        <v>13</v>
      </c>
      <c r="C104" s="10"/>
      <c r="D104" s="4">
        <v>39827.939999999995</v>
      </c>
      <c r="E104" s="4"/>
      <c r="F104" s="12">
        <f>IF(D$12=0,0,D104/D$12)</f>
        <v>9.9335780134480092E-2</v>
      </c>
      <c r="G104" s="4"/>
      <c r="H104" s="4">
        <v>31840.350000000002</v>
      </c>
      <c r="I104" s="4"/>
      <c r="J104" s="12">
        <f>IF(H$12=0,0,H104/H$12)</f>
        <v>8.2247481760387778E-2</v>
      </c>
      <c r="K104" s="4"/>
      <c r="L104" s="4">
        <f>+D104-H104</f>
        <v>7987.5899999999929</v>
      </c>
      <c r="M104" s="4"/>
      <c r="N104" s="12">
        <f>IF(H104=0,0,L104/H104)</f>
        <v>0.25086376249004777</v>
      </c>
      <c r="O104" s="10"/>
      <c r="P104" s="4">
        <v>63211.170000000006</v>
      </c>
      <c r="Q104" s="4"/>
      <c r="R104" s="12">
        <f>IF(P$12=0,0,P104/P$12)</f>
        <v>0.1074132386940695</v>
      </c>
      <c r="S104" s="4"/>
      <c r="T104" s="4">
        <v>51529.369999999995</v>
      </c>
      <c r="U104" s="4"/>
      <c r="V104" s="12">
        <f>IF(T$12=0,0,T104/T$12)</f>
        <v>8.8847108378348513E-2</v>
      </c>
      <c r="W104" s="4"/>
      <c r="X104" s="4">
        <f>+P104-T104</f>
        <v>11681.80000000001</v>
      </c>
      <c r="Y104" s="4"/>
      <c r="Z104" s="12">
        <f>IF(T104=0,0,X104/T104)</f>
        <v>0.22670178191582802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6" t="s">
        <v>4</v>
      </c>
      <c r="C106" s="26"/>
      <c r="D106" s="35">
        <f>+D102-D104</f>
        <v>53387.25000000008</v>
      </c>
      <c r="E106" s="13"/>
      <c r="F106" s="30">
        <f>IF(D$12=0,0,D106/D$12)</f>
        <v>0.13315436670800776</v>
      </c>
      <c r="G106" s="13"/>
      <c r="H106" s="35">
        <f>+H102-H104</f>
        <v>61029.48000000001</v>
      </c>
      <c r="I106" s="13"/>
      <c r="J106" s="30">
        <f>IF(H$12=0,0,H106/H$12)</f>
        <v>0.15764654104449075</v>
      </c>
      <c r="K106" s="15"/>
      <c r="L106" s="35">
        <f>D106-H106</f>
        <v>-7642.2299999999304</v>
      </c>
      <c r="M106" s="15"/>
      <c r="N106" s="30">
        <f>IF(H106=0,0,L106/H106)</f>
        <v>-0.12522194192052644</v>
      </c>
      <c r="O106" s="25"/>
      <c r="P106" s="35">
        <f>+P102-P104</f>
        <v>-46386.949999999917</v>
      </c>
      <c r="Q106" s="13"/>
      <c r="R106" s="30">
        <f>IF(P$12=0,0,P106/P$12)</f>
        <v>-7.8824241548445598E-2</v>
      </c>
      <c r="S106" s="13"/>
      <c r="T106" s="35">
        <f>+T102-T104</f>
        <v>-11583.95999999973</v>
      </c>
      <c r="U106" s="13"/>
      <c r="V106" s="30">
        <f>IF(T$12=0,0,T106/T$12)</f>
        <v>-1.9973101739268889E-2</v>
      </c>
      <c r="W106" s="15"/>
      <c r="X106" s="35">
        <f>P106-T106</f>
        <v>-34802.990000000187</v>
      </c>
      <c r="Y106" s="15"/>
      <c r="Z106" s="30">
        <f>IF(T106=0,0,X106/T106)</f>
        <v>3.0044121354011062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6" t="s">
        <v>5</v>
      </c>
      <c r="C109" s="26"/>
      <c r="D109" s="36">
        <f>SUM(D106:D108)</f>
        <v>53387.25000000008</v>
      </c>
      <c r="E109" s="13"/>
      <c r="F109" s="31">
        <f>IF(D$12=0,0,D109/D$12)</f>
        <v>0.13315436670800776</v>
      </c>
      <c r="G109" s="13"/>
      <c r="H109" s="36">
        <f>SUM(H106:H108)</f>
        <v>61029.48000000001</v>
      </c>
      <c r="I109" s="13"/>
      <c r="J109" s="31">
        <f>IF(H$12=0,0,H109/H$12)</f>
        <v>0.15764654104449075</v>
      </c>
      <c r="K109" s="15"/>
      <c r="L109" s="36">
        <f>+D109-H109</f>
        <v>-7642.2299999999304</v>
      </c>
      <c r="M109" s="15"/>
      <c r="N109" s="31">
        <f>IF(H109=0,0,L109/H109)</f>
        <v>-0.12522194192052644</v>
      </c>
      <c r="O109" s="25"/>
      <c r="P109" s="36">
        <f>SUM(P106:P108)</f>
        <v>-46386.949999999917</v>
      </c>
      <c r="Q109" s="13"/>
      <c r="R109" s="31">
        <f>IF(P$12=0,0,P109/P$12)</f>
        <v>-7.8824241548445598E-2</v>
      </c>
      <c r="S109" s="13"/>
      <c r="T109" s="36">
        <f>SUM(T106:T108)</f>
        <v>-11583.95999999973</v>
      </c>
      <c r="U109" s="13"/>
      <c r="V109" s="31">
        <f>IF(T$12=0,0,T109/T$12)</f>
        <v>-1.9973101739268889E-2</v>
      </c>
      <c r="W109" s="15"/>
      <c r="X109" s="36">
        <f>+P109-T109</f>
        <v>-34802.990000000187</v>
      </c>
      <c r="Y109" s="15"/>
      <c r="Z109" s="31">
        <f>IF(T109=0,0,X109/T109)</f>
        <v>3.0044121354011062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55">
        <v>43756.462484374999</v>
      </c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6" t="s">
        <v>313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7"/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","309", " - ", "Carts")</f>
        <v>Department 309 - Carts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53709.57</v>
      </c>
      <c r="E12" s="4"/>
      <c r="F12" s="12"/>
      <c r="G12" s="4"/>
      <c r="H12" s="4">
        <f>SUM(OSRRefH13x_0)</f>
        <v>54056.259999999995</v>
      </c>
      <c r="I12" s="4"/>
      <c r="J12" s="12"/>
      <c r="K12" s="4"/>
      <c r="L12" s="4">
        <f t="shared" ref="L12:L14" si="0">+D12-H12</f>
        <v>-346.68999999999505</v>
      </c>
      <c r="M12" s="4"/>
      <c r="N12" s="12">
        <f t="shared" ref="N12:N14" si="1">IF(H12=0,0,L12/H12)</f>
        <v>-6.413503264931667E-3</v>
      </c>
      <c r="O12" s="10"/>
      <c r="P12" s="4">
        <f>SUM(OSRRefP13x_0)</f>
        <v>73597.63</v>
      </c>
      <c r="Q12" s="4"/>
      <c r="R12" s="12"/>
      <c r="S12" s="4"/>
      <c r="T12" s="4">
        <f>SUM(OSRRefT13x_0)</f>
        <v>75025.3</v>
      </c>
      <c r="U12" s="4"/>
      <c r="V12" s="12"/>
      <c r="W12" s="4"/>
      <c r="X12" s="4">
        <f t="shared" ref="X12:X14" si="2">+P12-T12</f>
        <v>-1427.6699999999983</v>
      </c>
      <c r="Y12" s="4"/>
      <c r="Z12" s="12">
        <f t="shared" ref="Z12:Z14" si="3">IF(T12=0,0,X12/T12)</f>
        <v>-1.902918082300235E-2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--11973.47</f>
        <v>11973.47</v>
      </c>
      <c r="E13" s="2"/>
      <c r="F13" s="19"/>
      <c r="G13" s="2"/>
      <c r="H13" s="2">
        <f>--11874.74</f>
        <v>11874.74</v>
      </c>
      <c r="I13" s="2"/>
      <c r="J13" s="19"/>
      <c r="K13" s="2"/>
      <c r="L13" s="2">
        <f t="shared" si="0"/>
        <v>98.729999999999563</v>
      </c>
      <c r="M13" s="2"/>
      <c r="N13" s="19">
        <f t="shared" si="1"/>
        <v>8.3142873022903716E-3</v>
      </c>
      <c r="O13" s="11"/>
      <c r="P13" s="2">
        <f>--15660.77</f>
        <v>15660.77</v>
      </c>
      <c r="Q13" s="2"/>
      <c r="R13" s="19"/>
      <c r="S13" s="2"/>
      <c r="T13" s="2">
        <f>--15949.97</f>
        <v>15949.97</v>
      </c>
      <c r="U13" s="2"/>
      <c r="V13" s="19"/>
      <c r="W13" s="2"/>
      <c r="X13" s="2">
        <f t="shared" si="2"/>
        <v>-289.19999999999891</v>
      </c>
      <c r="Y13" s="2"/>
      <c r="Z13" s="19">
        <f t="shared" si="3"/>
        <v>-1.8131695545508794E-2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--41736.1</f>
        <v>41736.1</v>
      </c>
      <c r="E14" s="2"/>
      <c r="F14" s="19"/>
      <c r="G14" s="2"/>
      <c r="H14" s="2">
        <f>--42181.52</f>
        <v>42181.52</v>
      </c>
      <c r="I14" s="2"/>
      <c r="J14" s="19"/>
      <c r="K14" s="2"/>
      <c r="L14" s="2">
        <f t="shared" si="0"/>
        <v>-445.41999999999825</v>
      </c>
      <c r="M14" s="2"/>
      <c r="N14" s="19">
        <f t="shared" si="1"/>
        <v>-1.0559600507520788E-2</v>
      </c>
      <c r="O14" s="11"/>
      <c r="P14" s="2">
        <f>--57936.86</f>
        <v>57936.86</v>
      </c>
      <c r="Q14" s="2"/>
      <c r="R14" s="19"/>
      <c r="S14" s="2"/>
      <c r="T14" s="2">
        <f>--59075.33</f>
        <v>59075.33</v>
      </c>
      <c r="U14" s="2"/>
      <c r="V14" s="19"/>
      <c r="W14" s="2"/>
      <c r="X14" s="2">
        <f t="shared" si="2"/>
        <v>-1138.4700000000012</v>
      </c>
      <c r="Y14" s="2"/>
      <c r="Z14" s="19">
        <f t="shared" si="3"/>
        <v>-1.9271496240478067E-2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24567.449999999997</v>
      </c>
      <c r="E16" s="4"/>
      <c r="F16" s="12">
        <f t="shared" ref="F16:F18" si="4">IF(D$12=0,0,D16/D$12)</f>
        <v>0.45741289680777553</v>
      </c>
      <c r="G16" s="4"/>
      <c r="H16" s="4">
        <f>SUM(OSRRefH16x_0)</f>
        <v>24564.22</v>
      </c>
      <c r="I16" s="4"/>
      <c r="J16" s="12">
        <f t="shared" ref="J16:J18" si="5">IF(H$12=0,0,H16/H$12)</f>
        <v>0.45441952513917916</v>
      </c>
      <c r="K16" s="4"/>
      <c r="L16" s="4">
        <f t="shared" ref="L16:L18" si="6">+D16-H16</f>
        <v>3.2299999999959255</v>
      </c>
      <c r="M16" s="4"/>
      <c r="N16" s="12">
        <f t="shared" ref="N16:N18" si="7">IF(H16=0,0,L16/H16)</f>
        <v>1.3149206447409792E-4</v>
      </c>
      <c r="O16" s="10"/>
      <c r="P16" s="4">
        <f>SUM(OSRRefP16x_0)</f>
        <v>34124.639999999999</v>
      </c>
      <c r="Q16" s="4"/>
      <c r="R16" s="12">
        <f t="shared" ref="R16:R18" si="8">IF(P$12=0,0,P16/P$12)</f>
        <v>0.46366493051474617</v>
      </c>
      <c r="S16" s="4"/>
      <c r="T16" s="4">
        <f>SUM(OSRRefT16x_0)</f>
        <v>34398.769999999997</v>
      </c>
      <c r="U16" s="4"/>
      <c r="V16" s="12">
        <f t="shared" ref="V16:V18" si="9">IF(T$12=0,0,T16/T$12)</f>
        <v>0.45849560081732421</v>
      </c>
      <c r="W16" s="4"/>
      <c r="X16" s="4">
        <f t="shared" ref="X16:X18" si="10">+P16-T16</f>
        <v>-274.12999999999738</v>
      </c>
      <c r="Y16" s="4"/>
      <c r="Z16" s="12">
        <f t="shared" ref="Z16:Z18" si="11">IF(T16=0,0,X16/T16)</f>
        <v>-7.9691802933650659E-3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25708.809999999998</v>
      </c>
      <c r="E17" s="2"/>
      <c r="F17" s="19">
        <f t="shared" si="4"/>
        <v>0.47866348585550023</v>
      </c>
      <c r="G17" s="2"/>
      <c r="H17" s="2">
        <v>24918.73</v>
      </c>
      <c r="I17" s="2"/>
      <c r="J17" s="19">
        <f t="shared" si="5"/>
        <v>0.46097769250036907</v>
      </c>
      <c r="K17" s="2"/>
      <c r="L17" s="2">
        <f t="shared" si="6"/>
        <v>790.07999999999811</v>
      </c>
      <c r="M17" s="2"/>
      <c r="N17" s="19">
        <f t="shared" si="7"/>
        <v>3.1706270744937565E-2</v>
      </c>
      <c r="O17" s="11"/>
      <c r="P17" s="2">
        <v>41151.29</v>
      </c>
      <c r="Q17" s="2"/>
      <c r="R17" s="19">
        <f t="shared" si="8"/>
        <v>0.55913879292036983</v>
      </c>
      <c r="S17" s="2"/>
      <c r="T17" s="2">
        <v>43441.38</v>
      </c>
      <c r="U17" s="2"/>
      <c r="V17" s="19">
        <f t="shared" si="9"/>
        <v>0.57902307621562321</v>
      </c>
      <c r="W17" s="2"/>
      <c r="X17" s="2">
        <f t="shared" si="10"/>
        <v>-2290.0899999999965</v>
      </c>
      <c r="Y17" s="2"/>
      <c r="Z17" s="19">
        <f t="shared" si="11"/>
        <v>-5.2716787542200473E-2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-1141.3599999999999</v>
      </c>
      <c r="E18" s="2"/>
      <c r="F18" s="19">
        <f t="shared" si="4"/>
        <v>-2.125058904772464E-2</v>
      </c>
      <c r="G18" s="2"/>
      <c r="H18" s="2">
        <v>-354.51</v>
      </c>
      <c r="I18" s="2"/>
      <c r="J18" s="19">
        <f t="shared" si="5"/>
        <v>-6.5581673611899904E-3</v>
      </c>
      <c r="K18" s="2"/>
      <c r="L18" s="2">
        <f t="shared" si="6"/>
        <v>-786.84999999999991</v>
      </c>
      <c r="M18" s="2"/>
      <c r="N18" s="19">
        <f t="shared" si="7"/>
        <v>2.2195424670672192</v>
      </c>
      <c r="O18" s="11"/>
      <c r="P18" s="2">
        <v>-7026.65</v>
      </c>
      <c r="Q18" s="2"/>
      <c r="R18" s="19">
        <f t="shared" si="8"/>
        <v>-9.5473862405623652E-2</v>
      </c>
      <c r="S18" s="2"/>
      <c r="T18" s="2">
        <v>-9042.61</v>
      </c>
      <c r="U18" s="2"/>
      <c r="V18" s="19">
        <f t="shared" si="9"/>
        <v>-0.12052747539829897</v>
      </c>
      <c r="W18" s="2"/>
      <c r="X18" s="2">
        <f t="shared" si="10"/>
        <v>2015.9600000000009</v>
      </c>
      <c r="Y18" s="2"/>
      <c r="Z18" s="19">
        <f t="shared" si="11"/>
        <v>-0.22294005823539895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1">
        <f>D12-D16</f>
        <v>29142.120000000003</v>
      </c>
      <c r="E20" s="13"/>
      <c r="F20" s="20">
        <f>IF(D$12=0,0,D20/D$12)</f>
        <v>0.54258710319222447</v>
      </c>
      <c r="G20" s="13"/>
      <c r="H20" s="21">
        <f>H12-H16</f>
        <v>29492.039999999994</v>
      </c>
      <c r="I20" s="13"/>
      <c r="J20" s="20">
        <f>IF(H$12=0,0,H20/H$12)</f>
        <v>0.54558047486082084</v>
      </c>
      <c r="K20" s="15"/>
      <c r="L20" s="21">
        <f>+D20-H20</f>
        <v>-349.91999999999098</v>
      </c>
      <c r="M20" s="15"/>
      <c r="N20" s="20">
        <f>IF(H20=0,0,L20/H20)</f>
        <v>-1.1864896426289639E-2</v>
      </c>
      <c r="O20" s="25"/>
      <c r="P20" s="21">
        <f>P12-P16</f>
        <v>39472.990000000005</v>
      </c>
      <c r="Q20" s="13"/>
      <c r="R20" s="20">
        <f>IF(P$12=0,0,P20/P$12)</f>
        <v>0.53633506948525389</v>
      </c>
      <c r="S20" s="13"/>
      <c r="T20" s="21">
        <f>T12-T16</f>
        <v>40626.530000000006</v>
      </c>
      <c r="U20" s="13"/>
      <c r="V20" s="20">
        <f>IF(T$12=0,0,T20/T$12)</f>
        <v>0.54150439918267579</v>
      </c>
      <c r="W20" s="15"/>
      <c r="X20" s="21">
        <f>+P20-T20</f>
        <v>-1153.5400000000009</v>
      </c>
      <c r="Y20" s="15"/>
      <c r="Z20" s="20">
        <f>IF(T20=0,0,X20/T20)</f>
        <v>-2.8393761416493132E-2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18966.000000000004</v>
      </c>
      <c r="E22" s="22"/>
      <c r="F22" s="34">
        <f t="shared" ref="F22:F31" si="12">IF(D$12=0,0,D22/D$12)</f>
        <v>0.35312142696357474</v>
      </c>
      <c r="G22" s="22"/>
      <c r="H22" s="22">
        <f>SUM(OSRRefH22x_0)</f>
        <v>17528.169999999998</v>
      </c>
      <c r="I22" s="22"/>
      <c r="J22" s="34">
        <f t="shared" ref="J22:J31" si="13">IF(H$12=0,0,H22/H$12)</f>
        <v>0.32425791203460985</v>
      </c>
      <c r="K22" s="4"/>
      <c r="L22" s="22">
        <f t="shared" ref="L22:L31" si="14">+D22-H22</f>
        <v>1437.8300000000054</v>
      </c>
      <c r="M22" s="4"/>
      <c r="N22" s="34">
        <f t="shared" ref="N22:N31" si="15">IF(H22=0,0,L22/H22)</f>
        <v>8.2029669954137005E-2</v>
      </c>
      <c r="O22" s="10"/>
      <c r="P22" s="22">
        <f>SUM(OSRRefP22x_0)</f>
        <v>44911.360000000008</v>
      </c>
      <c r="Q22" s="22"/>
      <c r="R22" s="34">
        <f t="shared" ref="R22:R31" si="16">IF(P$12=0,0,P22/P$12)</f>
        <v>0.61022834566819617</v>
      </c>
      <c r="S22" s="22"/>
      <c r="T22" s="22">
        <f>SUM(OSRRefT22x_0)</f>
        <v>40528.620000000017</v>
      </c>
      <c r="U22" s="22"/>
      <c r="V22" s="34">
        <f t="shared" ref="V22:V31" si="17">IF(T$12=0,0,T22/T$12)</f>
        <v>0.54019937274492758</v>
      </c>
      <c r="W22" s="4"/>
      <c r="X22" s="22">
        <f t="shared" ref="X22:X31" si="18">+P22-T22</f>
        <v>4382.7399999999907</v>
      </c>
      <c r="Y22" s="4"/>
      <c r="Z22" s="34">
        <f t="shared" ref="Z22:Z31" si="19">IF(T22=0,0,X22/T22)</f>
        <v>0.10813938397112927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2029.3700000000001</v>
      </c>
      <c r="E23" s="1"/>
      <c r="F23" s="5">
        <f t="shared" si="12"/>
        <v>3.7784141634349337E-2</v>
      </c>
      <c r="G23" s="1"/>
      <c r="H23" s="1">
        <f>SUM(OSRRefH22_0x_0)</f>
        <v>3165.8599999999997</v>
      </c>
      <c r="I23" s="1"/>
      <c r="J23" s="5">
        <f t="shared" si="13"/>
        <v>5.8566019920727033E-2</v>
      </c>
      <c r="K23" s="1"/>
      <c r="L23" s="1">
        <f t="shared" si="14"/>
        <v>-1136.4899999999996</v>
      </c>
      <c r="M23" s="1"/>
      <c r="N23" s="5">
        <f t="shared" si="15"/>
        <v>-0.35898302514956432</v>
      </c>
      <c r="O23" s="14"/>
      <c r="P23" s="1">
        <f>SUM(OSRRefP22_0x_0)</f>
        <v>6032.5400000000009</v>
      </c>
      <c r="Q23" s="1"/>
      <c r="R23" s="5">
        <f t="shared" si="16"/>
        <v>8.1966498105985219E-2</v>
      </c>
      <c r="S23" s="1"/>
      <c r="T23" s="1">
        <f>SUM(OSRRefT22_0x_0)</f>
        <v>8410.75</v>
      </c>
      <c r="U23" s="1"/>
      <c r="V23" s="5">
        <f t="shared" si="17"/>
        <v>0.1121055164057991</v>
      </c>
      <c r="W23" s="1"/>
      <c r="X23" s="1">
        <f t="shared" si="18"/>
        <v>-2378.2099999999991</v>
      </c>
      <c r="Y23" s="1"/>
      <c r="Z23" s="5">
        <f t="shared" si="19"/>
        <v>-0.28275837469904574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>
        <v>372.65</v>
      </c>
      <c r="E24" s="2"/>
      <c r="F24" s="7">
        <f t="shared" si="12"/>
        <v>6.9382421047124374E-3</v>
      </c>
      <c r="G24" s="2"/>
      <c r="H24" s="6">
        <v>428.83</v>
      </c>
      <c r="I24" s="2"/>
      <c r="J24" s="7">
        <f t="shared" si="13"/>
        <v>7.9330312529945664E-3</v>
      </c>
      <c r="K24" s="2"/>
      <c r="L24" s="6">
        <f t="shared" si="14"/>
        <v>-56.180000000000007</v>
      </c>
      <c r="M24" s="2"/>
      <c r="N24" s="7">
        <f t="shared" si="15"/>
        <v>-0.13100762539934241</v>
      </c>
      <c r="O24" s="11"/>
      <c r="P24" s="6">
        <v>1076.28</v>
      </c>
      <c r="Q24" s="2"/>
      <c r="R24" s="7">
        <f t="shared" si="16"/>
        <v>1.4623840468775963E-2</v>
      </c>
      <c r="S24" s="2"/>
      <c r="T24" s="6">
        <v>1141.5999999999999</v>
      </c>
      <c r="U24" s="2"/>
      <c r="V24" s="7">
        <f t="shared" si="17"/>
        <v>1.5216200401731148E-2</v>
      </c>
      <c r="W24" s="2"/>
      <c r="X24" s="6">
        <f t="shared" si="18"/>
        <v>-65.319999999999936</v>
      </c>
      <c r="Y24" s="2"/>
      <c r="Z24" s="7">
        <f t="shared" si="19"/>
        <v>-5.7217939733707028E-2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>
        <v>193.07</v>
      </c>
      <c r="E25" s="2"/>
      <c r="F25" s="7">
        <f t="shared" si="12"/>
        <v>3.5947038861044688E-3</v>
      </c>
      <c r="G25" s="2"/>
      <c r="H25" s="6"/>
      <c r="I25" s="2"/>
      <c r="J25" s="7">
        <f t="shared" si="13"/>
        <v>0</v>
      </c>
      <c r="K25" s="2"/>
      <c r="L25" s="6">
        <f t="shared" si="14"/>
        <v>193.07</v>
      </c>
      <c r="M25" s="2"/>
      <c r="N25" s="7">
        <f t="shared" si="15"/>
        <v>0</v>
      </c>
      <c r="O25" s="11"/>
      <c r="P25" s="6">
        <v>479.85</v>
      </c>
      <c r="Q25" s="2"/>
      <c r="R25" s="7">
        <f t="shared" si="16"/>
        <v>6.5199110351787139E-3</v>
      </c>
      <c r="S25" s="2"/>
      <c r="T25" s="6">
        <v>158.85</v>
      </c>
      <c r="U25" s="2"/>
      <c r="V25" s="7">
        <f t="shared" si="17"/>
        <v>2.117285768933946E-3</v>
      </c>
      <c r="W25" s="2"/>
      <c r="X25" s="6">
        <f t="shared" si="18"/>
        <v>321</v>
      </c>
      <c r="Y25" s="2"/>
      <c r="Z25" s="7">
        <f t="shared" si="19"/>
        <v>2.0207743153918791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>
        <v>965.94</v>
      </c>
      <c r="E26" s="2"/>
      <c r="F26" s="7">
        <f t="shared" si="12"/>
        <v>1.7984504437477344E-2</v>
      </c>
      <c r="G26" s="2"/>
      <c r="H26" s="6">
        <v>2005.79</v>
      </c>
      <c r="I26" s="2"/>
      <c r="J26" s="7">
        <f t="shared" si="13"/>
        <v>3.7105600720434603E-2</v>
      </c>
      <c r="K26" s="2"/>
      <c r="L26" s="6">
        <f t="shared" si="14"/>
        <v>-1039.8499999999999</v>
      </c>
      <c r="M26" s="2"/>
      <c r="N26" s="7">
        <f t="shared" si="15"/>
        <v>-0.51842416205086272</v>
      </c>
      <c r="O26" s="11"/>
      <c r="P26" s="6">
        <v>2897.82</v>
      </c>
      <c r="Q26" s="2"/>
      <c r="R26" s="7">
        <f t="shared" si="16"/>
        <v>3.9373822227699452E-2</v>
      </c>
      <c r="S26" s="2"/>
      <c r="T26" s="6">
        <v>4747.29</v>
      </c>
      <c r="U26" s="2"/>
      <c r="V26" s="7">
        <f t="shared" si="17"/>
        <v>6.3275854944931903E-2</v>
      </c>
      <c r="W26" s="2"/>
      <c r="X26" s="6">
        <f t="shared" si="18"/>
        <v>-1849.4699999999998</v>
      </c>
      <c r="Y26" s="2"/>
      <c r="Z26" s="7">
        <f t="shared" si="19"/>
        <v>-0.38958437340040314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26.42</v>
      </c>
      <c r="E27" s="2"/>
      <c r="F27" s="7">
        <f t="shared" si="12"/>
        <v>4.9190488771367941E-4</v>
      </c>
      <c r="G27" s="2"/>
      <c r="H27" s="6">
        <v>26.52</v>
      </c>
      <c r="I27" s="2"/>
      <c r="J27" s="7">
        <f t="shared" si="13"/>
        <v>4.9059997861487271E-4</v>
      </c>
      <c r="K27" s="2"/>
      <c r="L27" s="6">
        <f t="shared" si="14"/>
        <v>-9.9999999999997868E-2</v>
      </c>
      <c r="M27" s="2"/>
      <c r="N27" s="7">
        <f t="shared" si="15"/>
        <v>-3.7707390648566317E-3</v>
      </c>
      <c r="O27" s="11"/>
      <c r="P27" s="6">
        <v>53.74</v>
      </c>
      <c r="Q27" s="2"/>
      <c r="R27" s="7">
        <f t="shared" si="16"/>
        <v>7.3018655627905403E-4</v>
      </c>
      <c r="S27" s="2"/>
      <c r="T27" s="6">
        <v>61.23</v>
      </c>
      <c r="U27" s="2"/>
      <c r="V27" s="7">
        <f t="shared" si="17"/>
        <v>8.1612469393657866E-4</v>
      </c>
      <c r="W27" s="2"/>
      <c r="X27" s="6">
        <f t="shared" si="18"/>
        <v>-7.4899999999999949</v>
      </c>
      <c r="Y27" s="2"/>
      <c r="Z27" s="7">
        <f t="shared" si="19"/>
        <v>-0.12232565735750442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>
        <v>134.11000000000001</v>
      </c>
      <c r="E28" s="2"/>
      <c r="F28" s="7">
        <f t="shared" si="12"/>
        <v>2.4969479368388168E-3</v>
      </c>
      <c r="G28" s="2"/>
      <c r="H28" s="6">
        <v>248.06</v>
      </c>
      <c r="I28" s="2"/>
      <c r="J28" s="7">
        <f t="shared" si="13"/>
        <v>4.58892272606355E-3</v>
      </c>
      <c r="K28" s="2"/>
      <c r="L28" s="6">
        <f t="shared" si="14"/>
        <v>-113.94999999999999</v>
      </c>
      <c r="M28" s="2"/>
      <c r="N28" s="7">
        <f t="shared" si="15"/>
        <v>-0.45936466983794239</v>
      </c>
      <c r="O28" s="11"/>
      <c r="P28" s="6">
        <v>402.33</v>
      </c>
      <c r="Q28" s="2"/>
      <c r="R28" s="7">
        <f t="shared" si="16"/>
        <v>5.4666162483764753E-3</v>
      </c>
      <c r="S28" s="2"/>
      <c r="T28" s="6">
        <v>864.6</v>
      </c>
      <c r="U28" s="2"/>
      <c r="V28" s="7">
        <f t="shared" si="17"/>
        <v>1.1524112532705634E-2</v>
      </c>
      <c r="W28" s="2"/>
      <c r="X28" s="6">
        <f t="shared" si="18"/>
        <v>-462.27000000000004</v>
      </c>
      <c r="Y28" s="2"/>
      <c r="Z28" s="7">
        <f t="shared" si="19"/>
        <v>-0.53466342817487855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>
        <v>73.92</v>
      </c>
      <c r="E29" s="2"/>
      <c r="F29" s="7">
        <f t="shared" si="12"/>
        <v>1.37629104087037E-3</v>
      </c>
      <c r="G29" s="2"/>
      <c r="H29" s="6">
        <v>139.58000000000001</v>
      </c>
      <c r="I29" s="2"/>
      <c r="J29" s="7">
        <f t="shared" si="13"/>
        <v>2.5821246234941156E-3</v>
      </c>
      <c r="K29" s="2"/>
      <c r="L29" s="6">
        <f t="shared" si="14"/>
        <v>-65.660000000000011</v>
      </c>
      <c r="M29" s="2"/>
      <c r="N29" s="7">
        <f t="shared" si="15"/>
        <v>-0.47041123370110333</v>
      </c>
      <c r="O29" s="11"/>
      <c r="P29" s="6">
        <v>295.68</v>
      </c>
      <c r="Q29" s="2"/>
      <c r="R29" s="7">
        <f t="shared" si="16"/>
        <v>4.0175206728803627E-3</v>
      </c>
      <c r="S29" s="2"/>
      <c r="T29" s="6">
        <v>427.32</v>
      </c>
      <c r="U29" s="2"/>
      <c r="V29" s="7">
        <f t="shared" si="17"/>
        <v>5.695678657732791E-3</v>
      </c>
      <c r="W29" s="2"/>
      <c r="X29" s="6">
        <f t="shared" si="18"/>
        <v>-131.63999999999999</v>
      </c>
      <c r="Y29" s="2"/>
      <c r="Z29" s="7">
        <f t="shared" si="19"/>
        <v>-0.3080595338388093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>
        <v>88.56</v>
      </c>
      <c r="E30" s="2"/>
      <c r="F30" s="7">
        <f t="shared" si="12"/>
        <v>1.6488681626011901E-3</v>
      </c>
      <c r="G30" s="2"/>
      <c r="H30" s="6">
        <v>167.24</v>
      </c>
      <c r="I30" s="2"/>
      <c r="J30" s="7">
        <f t="shared" si="13"/>
        <v>3.0938137414612114E-3</v>
      </c>
      <c r="K30" s="2"/>
      <c r="L30" s="6">
        <f t="shared" si="14"/>
        <v>-78.680000000000007</v>
      </c>
      <c r="M30" s="2"/>
      <c r="N30" s="7">
        <f t="shared" si="15"/>
        <v>-0.47046161205453241</v>
      </c>
      <c r="O30" s="11"/>
      <c r="P30" s="6">
        <v>354.24</v>
      </c>
      <c r="Q30" s="2"/>
      <c r="R30" s="7">
        <f t="shared" si="16"/>
        <v>4.8131984684832924E-3</v>
      </c>
      <c r="S30" s="2"/>
      <c r="T30" s="6">
        <v>563.27</v>
      </c>
      <c r="U30" s="2"/>
      <c r="V30" s="7">
        <f t="shared" si="17"/>
        <v>7.5077340577111981E-3</v>
      </c>
      <c r="W30" s="2"/>
      <c r="X30" s="6">
        <f t="shared" si="18"/>
        <v>-209.02999999999997</v>
      </c>
      <c r="Y30" s="2"/>
      <c r="Z30" s="7">
        <f t="shared" si="19"/>
        <v>-0.3711008929998047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>
        <v>174.7</v>
      </c>
      <c r="E31" s="2"/>
      <c r="F31" s="7">
        <f t="shared" si="12"/>
        <v>3.2526791780310284E-3</v>
      </c>
      <c r="G31" s="2"/>
      <c r="H31" s="6">
        <v>149.84</v>
      </c>
      <c r="I31" s="2"/>
      <c r="J31" s="7">
        <f t="shared" si="13"/>
        <v>2.7719268776641229E-3</v>
      </c>
      <c r="K31" s="2"/>
      <c r="L31" s="6">
        <f t="shared" si="14"/>
        <v>24.859999999999985</v>
      </c>
      <c r="M31" s="2"/>
      <c r="N31" s="7">
        <f t="shared" si="15"/>
        <v>0.16591030432461282</v>
      </c>
      <c r="O31" s="11"/>
      <c r="P31" s="6">
        <v>472.6</v>
      </c>
      <c r="Q31" s="2"/>
      <c r="R31" s="7">
        <f t="shared" si="16"/>
        <v>6.42140242831189E-3</v>
      </c>
      <c r="S31" s="2"/>
      <c r="T31" s="6">
        <v>446.59</v>
      </c>
      <c r="U31" s="2"/>
      <c r="V31" s="7">
        <f t="shared" si="17"/>
        <v>5.9525253481159017E-3</v>
      </c>
      <c r="W31" s="2"/>
      <c r="X31" s="6">
        <f t="shared" si="18"/>
        <v>26.010000000000048</v>
      </c>
      <c r="Y31" s="2"/>
      <c r="Z31" s="7">
        <f t="shared" si="19"/>
        <v>5.8241339931480889E-2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10515.58</v>
      </c>
      <c r="E32" s="1"/>
      <c r="F32" s="5">
        <f t="shared" ref="F32:F37" si="20">IF(D$12=0,0,D32/D$12)</f>
        <v>0.19578596514550387</v>
      </c>
      <c r="G32" s="1"/>
      <c r="H32" s="1">
        <f>SUM(OSRRefH22_1x_0)</f>
        <v>10274.549999999999</v>
      </c>
      <c r="I32" s="1"/>
      <c r="J32" s="5">
        <f t="shared" ref="J32:J37" si="21">IF(H$12=0,0,H32/H$12)</f>
        <v>0.19007141818542386</v>
      </c>
      <c r="K32" s="1"/>
      <c r="L32" s="1">
        <f t="shared" ref="L32:L37" si="22">+D32-H32</f>
        <v>241.03000000000065</v>
      </c>
      <c r="M32" s="1"/>
      <c r="N32" s="5">
        <f t="shared" ref="N32:N37" si="23">IF(H32=0,0,L32/H32)</f>
        <v>2.3458934941189703E-2</v>
      </c>
      <c r="O32" s="14"/>
      <c r="P32" s="1">
        <f>SUM(OSRRefP22_1x_0)</f>
        <v>22105.699999999997</v>
      </c>
      <c r="Q32" s="1"/>
      <c r="R32" s="5">
        <f t="shared" ref="R32:R37" si="24">IF(P$12=0,0,P32/P$12)</f>
        <v>0.30035885666427026</v>
      </c>
      <c r="S32" s="1"/>
      <c r="T32" s="1">
        <f>SUM(OSRRefT22_1x_0)</f>
        <v>22567.07</v>
      </c>
      <c r="U32" s="1"/>
      <c r="V32" s="5">
        <f t="shared" ref="V32:V37" si="25">IF(T$12=0,0,T32/T$12)</f>
        <v>0.30079279922906005</v>
      </c>
      <c r="W32" s="1"/>
      <c r="X32" s="1">
        <f t="shared" ref="X32:X37" si="26">+P32-T32</f>
        <v>-461.37000000000262</v>
      </c>
      <c r="Y32" s="1"/>
      <c r="Z32" s="5">
        <f t="shared" ref="Z32:Z37" si="27">IF(T32=0,0,X32/T32)</f>
        <v>-2.0444390875731879E-2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>
        <v>1920</v>
      </c>
      <c r="E33" s="2"/>
      <c r="F33" s="7">
        <f t="shared" si="20"/>
        <v>3.5747819243386235E-2</v>
      </c>
      <c r="G33" s="2"/>
      <c r="H33" s="6">
        <v>3081.76</v>
      </c>
      <c r="I33" s="2"/>
      <c r="J33" s="7">
        <f t="shared" si="21"/>
        <v>5.7010233412374448E-2</v>
      </c>
      <c r="K33" s="2"/>
      <c r="L33" s="6">
        <f t="shared" si="22"/>
        <v>-1161.7600000000002</v>
      </c>
      <c r="M33" s="2"/>
      <c r="N33" s="7">
        <f t="shared" si="23"/>
        <v>-0.37697938840143297</v>
      </c>
      <c r="O33" s="11"/>
      <c r="P33" s="6">
        <v>5856</v>
      </c>
      <c r="Q33" s="2"/>
      <c r="R33" s="7">
        <f t="shared" si="24"/>
        <v>7.9567779560292901E-2</v>
      </c>
      <c r="S33" s="2"/>
      <c r="T33" s="6">
        <v>10151.280000000001</v>
      </c>
      <c r="U33" s="2"/>
      <c r="V33" s="7">
        <f t="shared" si="25"/>
        <v>0.13530475719523949</v>
      </c>
      <c r="W33" s="2"/>
      <c r="X33" s="6">
        <f t="shared" si="26"/>
        <v>-4295.2800000000007</v>
      </c>
      <c r="Y33" s="2"/>
      <c r="Z33" s="7">
        <f t="shared" si="27"/>
        <v>-0.42312693571648113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>
        <v>2951.08</v>
      </c>
      <c r="E34" s="2"/>
      <c r="F34" s="7">
        <f t="shared" si="20"/>
        <v>5.4945142923318882E-2</v>
      </c>
      <c r="G34" s="2"/>
      <c r="H34" s="6">
        <v>793.2</v>
      </c>
      <c r="I34" s="2"/>
      <c r="J34" s="7">
        <f t="shared" si="21"/>
        <v>1.4673601170336241E-2</v>
      </c>
      <c r="K34" s="2"/>
      <c r="L34" s="6">
        <f t="shared" si="22"/>
        <v>2157.88</v>
      </c>
      <c r="M34" s="2"/>
      <c r="N34" s="7">
        <f t="shared" si="23"/>
        <v>2.7204740292486131</v>
      </c>
      <c r="O34" s="11"/>
      <c r="P34" s="6">
        <v>6444.08</v>
      </c>
      <c r="Q34" s="2"/>
      <c r="R34" s="7">
        <f t="shared" si="24"/>
        <v>8.7558254253567669E-2</v>
      </c>
      <c r="S34" s="2"/>
      <c r="T34" s="6">
        <v>793.2</v>
      </c>
      <c r="U34" s="2"/>
      <c r="V34" s="7">
        <f t="shared" si="25"/>
        <v>1.0572433565743822E-2</v>
      </c>
      <c r="W34" s="2"/>
      <c r="X34" s="6">
        <f t="shared" si="26"/>
        <v>5650.88</v>
      </c>
      <c r="Y34" s="2"/>
      <c r="Z34" s="7">
        <f t="shared" si="27"/>
        <v>7.1241553202218855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6">
        <v>57</v>
      </c>
      <c r="E35" s="2"/>
      <c r="F35" s="7">
        <f t="shared" si="20"/>
        <v>1.0612633837880289E-3</v>
      </c>
      <c r="G35" s="2"/>
      <c r="H35" s="6">
        <v>1186.76</v>
      </c>
      <c r="I35" s="2"/>
      <c r="J35" s="7">
        <f t="shared" si="21"/>
        <v>2.1954164050565099E-2</v>
      </c>
      <c r="K35" s="2"/>
      <c r="L35" s="6">
        <f t="shared" si="22"/>
        <v>-1129.76</v>
      </c>
      <c r="M35" s="2"/>
      <c r="N35" s="7">
        <f t="shared" si="23"/>
        <v>-0.95197006976979337</v>
      </c>
      <c r="O35" s="11"/>
      <c r="P35" s="6">
        <v>173.63</v>
      </c>
      <c r="Q35" s="2"/>
      <c r="R35" s="7">
        <f t="shared" si="24"/>
        <v>2.3591792290050644E-3</v>
      </c>
      <c r="S35" s="2"/>
      <c r="T35" s="6">
        <v>1405.32</v>
      </c>
      <c r="U35" s="2"/>
      <c r="V35" s="7">
        <f t="shared" si="25"/>
        <v>1.8731281314436594E-2</v>
      </c>
      <c r="W35" s="2"/>
      <c r="X35" s="6">
        <f t="shared" si="26"/>
        <v>-1231.69</v>
      </c>
      <c r="Y35" s="2"/>
      <c r="Z35" s="7">
        <f t="shared" si="27"/>
        <v>-0.87644806876725589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6">
        <v>5587.5</v>
      </c>
      <c r="E36" s="2"/>
      <c r="F36" s="7">
        <f t="shared" si="20"/>
        <v>0.10403173959501072</v>
      </c>
      <c r="G36" s="2"/>
      <c r="H36" s="6">
        <v>5212.83</v>
      </c>
      <c r="I36" s="2"/>
      <c r="J36" s="7">
        <f t="shared" si="21"/>
        <v>9.6433419552148084E-2</v>
      </c>
      <c r="K36" s="2"/>
      <c r="L36" s="6">
        <f t="shared" si="22"/>
        <v>374.67000000000007</v>
      </c>
      <c r="M36" s="2"/>
      <c r="N36" s="7">
        <f t="shared" si="23"/>
        <v>7.1874586357122724E-2</v>
      </c>
      <c r="O36" s="11"/>
      <c r="P36" s="6">
        <v>9631.99</v>
      </c>
      <c r="Q36" s="2"/>
      <c r="R36" s="7">
        <f t="shared" si="24"/>
        <v>0.13087364362140463</v>
      </c>
      <c r="S36" s="2"/>
      <c r="T36" s="6">
        <v>8831.27</v>
      </c>
      <c r="U36" s="2"/>
      <c r="V36" s="7">
        <f t="shared" si="25"/>
        <v>0.1177105589714403</v>
      </c>
      <c r="W36" s="2"/>
      <c r="X36" s="6">
        <f t="shared" si="26"/>
        <v>800.71999999999935</v>
      </c>
      <c r="Y36" s="2"/>
      <c r="Z36" s="7">
        <f t="shared" si="27"/>
        <v>9.0668726015623952E-2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1386</v>
      </c>
      <c r="U37" s="2"/>
      <c r="V37" s="7">
        <f t="shared" si="25"/>
        <v>1.8473768182199871E-2</v>
      </c>
      <c r="W37" s="2"/>
      <c r="X37" s="6">
        <f t="shared" si="26"/>
        <v>-1386</v>
      </c>
      <c r="Y37" s="2"/>
      <c r="Z37" s="7">
        <f t="shared" si="27"/>
        <v>-1</v>
      </c>
    </row>
    <row r="38" spans="1:26" s="29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15.44</v>
      </c>
      <c r="E38" s="1"/>
      <c r="F38" s="5">
        <f t="shared" ref="F38:F50" si="28">IF(D$12=0,0,D38/D$12)</f>
        <v>2.8747204641556431E-4</v>
      </c>
      <c r="G38" s="1"/>
      <c r="H38" s="1">
        <f>SUM(OSRRefH22_2x_0)</f>
        <v>139</v>
      </c>
      <c r="I38" s="1"/>
      <c r="J38" s="5">
        <f t="shared" ref="J38:J50" si="29">IF(H$12=0,0,H38/H$12)</f>
        <v>2.5713950613675458E-3</v>
      </c>
      <c r="K38" s="1"/>
      <c r="L38" s="1">
        <f t="shared" ref="L38:L50" si="30">+D38-H38</f>
        <v>-123.56</v>
      </c>
      <c r="M38" s="1"/>
      <c r="N38" s="5">
        <f t="shared" ref="N38:N50" si="31">IF(H38=0,0,L38/H38)</f>
        <v>-0.88892086330935249</v>
      </c>
      <c r="O38" s="14"/>
      <c r="P38" s="1">
        <f>SUM(OSRRefP22_2x_0)</f>
        <v>320.44</v>
      </c>
      <c r="Q38" s="1"/>
      <c r="R38" s="5">
        <f t="shared" ref="R38:R50" si="32">IF(P$12=0,0,P38/P$12)</f>
        <v>4.3539445495731311E-3</v>
      </c>
      <c r="S38" s="1"/>
      <c r="T38" s="1">
        <f>SUM(OSRRefT22_2x_0)</f>
        <v>387.5</v>
      </c>
      <c r="U38" s="1"/>
      <c r="V38" s="5">
        <f t="shared" ref="V38:V50" si="33">IF(T$12=0,0,T38/T$12)</f>
        <v>5.1649243655140327E-3</v>
      </c>
      <c r="W38" s="1"/>
      <c r="X38" s="1">
        <f t="shared" ref="X38:X50" si="34">+P38-T38</f>
        <v>-67.06</v>
      </c>
      <c r="Y38" s="1"/>
      <c r="Z38" s="5">
        <f t="shared" ref="Z38:Z50" si="35">IF(T38=0,0,X38/T38)</f>
        <v>-0.17305806451612904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6">
        <v>15.44</v>
      </c>
      <c r="E39" s="2"/>
      <c r="F39" s="7">
        <f t="shared" si="28"/>
        <v>2.8747204641556431E-4</v>
      </c>
      <c r="G39" s="2"/>
      <c r="H39" s="6">
        <v>139</v>
      </c>
      <c r="I39" s="2"/>
      <c r="J39" s="7">
        <f t="shared" si="29"/>
        <v>2.5713950613675458E-3</v>
      </c>
      <c r="K39" s="2"/>
      <c r="L39" s="6">
        <f t="shared" si="30"/>
        <v>-123.56</v>
      </c>
      <c r="M39" s="2"/>
      <c r="N39" s="7">
        <f t="shared" si="31"/>
        <v>-0.88892086330935249</v>
      </c>
      <c r="O39" s="11"/>
      <c r="P39" s="6">
        <v>320.44</v>
      </c>
      <c r="Q39" s="2"/>
      <c r="R39" s="7">
        <f t="shared" si="32"/>
        <v>4.3539445495731311E-3</v>
      </c>
      <c r="S39" s="2"/>
      <c r="T39" s="6">
        <v>387.5</v>
      </c>
      <c r="U39" s="2"/>
      <c r="V39" s="7">
        <f t="shared" si="33"/>
        <v>5.1649243655140327E-3</v>
      </c>
      <c r="W39" s="2"/>
      <c r="X39" s="6">
        <f t="shared" si="34"/>
        <v>-67.06</v>
      </c>
      <c r="Y39" s="2"/>
      <c r="Z39" s="7">
        <f t="shared" si="35"/>
        <v>-0.17305806451612904</v>
      </c>
    </row>
    <row r="40" spans="1:26" s="29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-28.09</v>
      </c>
      <c r="E40" s="1"/>
      <c r="F40" s="5">
        <f t="shared" si="28"/>
        <v>-5.2299804299308294E-4</v>
      </c>
      <c r="G40" s="1"/>
      <c r="H40" s="1">
        <f>SUM(OSRRefH22_3x_0)</f>
        <v>-58.33</v>
      </c>
      <c r="I40" s="1"/>
      <c r="J40" s="5">
        <f t="shared" si="29"/>
        <v>-1.0790609635220787E-3</v>
      </c>
      <c r="K40" s="1"/>
      <c r="L40" s="1">
        <f t="shared" si="30"/>
        <v>30.24</v>
      </c>
      <c r="M40" s="1"/>
      <c r="N40" s="5">
        <f t="shared" si="31"/>
        <v>-0.51842962454997432</v>
      </c>
      <c r="O40" s="14"/>
      <c r="P40" s="1">
        <f>SUM(OSRRefP22_3x_0)</f>
        <v>-3.2</v>
      </c>
      <c r="Q40" s="1"/>
      <c r="R40" s="5">
        <f t="shared" si="32"/>
        <v>-4.3479660961908694E-5</v>
      </c>
      <c r="S40" s="1"/>
      <c r="T40" s="1">
        <f>SUM(OSRRefT22_3x_0)</f>
        <v>-106.43</v>
      </c>
      <c r="U40" s="1"/>
      <c r="V40" s="5">
        <f t="shared" si="33"/>
        <v>-1.4185881296042801E-3</v>
      </c>
      <c r="W40" s="1"/>
      <c r="X40" s="1">
        <f t="shared" si="34"/>
        <v>103.23</v>
      </c>
      <c r="Y40" s="1"/>
      <c r="Z40" s="5">
        <f t="shared" si="35"/>
        <v>-0.96993328948604718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6">
        <v>-28.09</v>
      </c>
      <c r="E41" s="2"/>
      <c r="F41" s="7">
        <f t="shared" si="28"/>
        <v>-5.2299804299308294E-4</v>
      </c>
      <c r="G41" s="2"/>
      <c r="H41" s="6">
        <v>-58.33</v>
      </c>
      <c r="I41" s="2"/>
      <c r="J41" s="7">
        <f t="shared" si="29"/>
        <v>-1.0790609635220787E-3</v>
      </c>
      <c r="K41" s="2"/>
      <c r="L41" s="6">
        <f t="shared" si="30"/>
        <v>30.24</v>
      </c>
      <c r="M41" s="2"/>
      <c r="N41" s="7">
        <f t="shared" si="31"/>
        <v>-0.51842962454997432</v>
      </c>
      <c r="O41" s="11"/>
      <c r="P41" s="6">
        <v>-3.2</v>
      </c>
      <c r="Q41" s="2"/>
      <c r="R41" s="7">
        <f t="shared" si="32"/>
        <v>-4.3479660961908694E-5</v>
      </c>
      <c r="S41" s="2"/>
      <c r="T41" s="6">
        <v>-106.43</v>
      </c>
      <c r="U41" s="2"/>
      <c r="V41" s="7">
        <f t="shared" si="33"/>
        <v>-1.4185881296042801E-3</v>
      </c>
      <c r="W41" s="2"/>
      <c r="X41" s="6">
        <f t="shared" si="34"/>
        <v>103.23</v>
      </c>
      <c r="Y41" s="2"/>
      <c r="Z41" s="7">
        <f t="shared" si="35"/>
        <v>-0.96993328948604718</v>
      </c>
    </row>
    <row r="42" spans="1:26" s="29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1814.59</v>
      </c>
      <c r="E42" s="1"/>
      <c r="F42" s="5">
        <f t="shared" si="28"/>
        <v>3.3785226729612615E-2</v>
      </c>
      <c r="G42" s="1"/>
      <c r="H42" s="1">
        <f>SUM(OSRRefH22_4x_0)</f>
        <v>1787.28</v>
      </c>
      <c r="I42" s="1"/>
      <c r="J42" s="5">
        <f t="shared" si="29"/>
        <v>3.3063330685474727E-2</v>
      </c>
      <c r="K42" s="1"/>
      <c r="L42" s="1">
        <f t="shared" si="30"/>
        <v>27.309999999999945</v>
      </c>
      <c r="M42" s="1"/>
      <c r="N42" s="5">
        <f t="shared" si="31"/>
        <v>1.5280202318607015E-2</v>
      </c>
      <c r="O42" s="14"/>
      <c r="P42" s="1">
        <f>SUM(OSRRefP22_4x_0)</f>
        <v>2413.33</v>
      </c>
      <c r="Q42" s="1"/>
      <c r="R42" s="5">
        <f t="shared" si="32"/>
        <v>3.2790865684125967E-2</v>
      </c>
      <c r="S42" s="1"/>
      <c r="T42" s="1">
        <f>SUM(OSRRefT22_4x_0)</f>
        <v>2357.8000000000002</v>
      </c>
      <c r="U42" s="1"/>
      <c r="V42" s="5">
        <f t="shared" si="33"/>
        <v>3.1426732049055453E-2</v>
      </c>
      <c r="W42" s="1"/>
      <c r="X42" s="1">
        <f t="shared" si="34"/>
        <v>55.529999999999745</v>
      </c>
      <c r="Y42" s="1"/>
      <c r="Z42" s="5">
        <f t="shared" si="35"/>
        <v>2.3551615913139257E-2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6">
        <v>1814.59</v>
      </c>
      <c r="E43" s="2"/>
      <c r="F43" s="7">
        <f t="shared" si="28"/>
        <v>3.3785226729612615E-2</v>
      </c>
      <c r="G43" s="2"/>
      <c r="H43" s="6">
        <v>1787.28</v>
      </c>
      <c r="I43" s="2"/>
      <c r="J43" s="7">
        <f t="shared" si="29"/>
        <v>3.3063330685474727E-2</v>
      </c>
      <c r="K43" s="2"/>
      <c r="L43" s="6">
        <f t="shared" si="30"/>
        <v>27.309999999999945</v>
      </c>
      <c r="M43" s="2"/>
      <c r="N43" s="7">
        <f t="shared" si="31"/>
        <v>1.5280202318607015E-2</v>
      </c>
      <c r="O43" s="11"/>
      <c r="P43" s="6">
        <v>2413.33</v>
      </c>
      <c r="Q43" s="2"/>
      <c r="R43" s="7">
        <f t="shared" si="32"/>
        <v>3.2790865684125967E-2</v>
      </c>
      <c r="S43" s="2"/>
      <c r="T43" s="6">
        <v>2357.8000000000002</v>
      </c>
      <c r="U43" s="2"/>
      <c r="V43" s="7">
        <f t="shared" si="33"/>
        <v>3.1426732049055453E-2</v>
      </c>
      <c r="W43" s="2"/>
      <c r="X43" s="6">
        <f t="shared" si="34"/>
        <v>55.529999999999745</v>
      </c>
      <c r="Y43" s="2"/>
      <c r="Z43" s="7">
        <f t="shared" si="35"/>
        <v>2.3551615913139257E-2</v>
      </c>
    </row>
    <row r="44" spans="1:26" s="29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155.66999999999999</v>
      </c>
      <c r="E44" s="1"/>
      <c r="F44" s="5">
        <f t="shared" si="28"/>
        <v>2.8983661570926742E-3</v>
      </c>
      <c r="G44" s="1"/>
      <c r="H44" s="1">
        <f>SUM(OSRRefH22_5x_0)</f>
        <v>0</v>
      </c>
      <c r="I44" s="1"/>
      <c r="J44" s="5">
        <f t="shared" si="29"/>
        <v>0</v>
      </c>
      <c r="K44" s="1"/>
      <c r="L44" s="1">
        <f t="shared" si="30"/>
        <v>155.66999999999999</v>
      </c>
      <c r="M44" s="1"/>
      <c r="N44" s="5">
        <f t="shared" si="31"/>
        <v>0</v>
      </c>
      <c r="O44" s="14"/>
      <c r="P44" s="1">
        <f>SUM(OSRRefP22_5x_0)</f>
        <v>467.01</v>
      </c>
      <c r="Q44" s="1"/>
      <c r="R44" s="5">
        <f t="shared" si="32"/>
        <v>6.3454488955690547E-3</v>
      </c>
      <c r="S44" s="1"/>
      <c r="T44" s="1">
        <f>SUM(OSRRefT22_5x_0)</f>
        <v>0</v>
      </c>
      <c r="U44" s="1"/>
      <c r="V44" s="5">
        <f t="shared" si="33"/>
        <v>0</v>
      </c>
      <c r="W44" s="1"/>
      <c r="X44" s="1">
        <f t="shared" si="34"/>
        <v>467.01</v>
      </c>
      <c r="Y44" s="1"/>
      <c r="Z44" s="5">
        <f t="shared" si="35"/>
        <v>0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155.66999999999999</v>
      </c>
      <c r="E45" s="2"/>
      <c r="F45" s="7">
        <f t="shared" si="28"/>
        <v>2.8983661570926742E-3</v>
      </c>
      <c r="G45" s="2"/>
      <c r="H45" s="6"/>
      <c r="I45" s="2"/>
      <c r="J45" s="7">
        <f t="shared" si="29"/>
        <v>0</v>
      </c>
      <c r="K45" s="2"/>
      <c r="L45" s="6">
        <f t="shared" si="30"/>
        <v>155.66999999999999</v>
      </c>
      <c r="M45" s="2"/>
      <c r="N45" s="7">
        <f t="shared" si="31"/>
        <v>0</v>
      </c>
      <c r="O45" s="11"/>
      <c r="P45" s="6">
        <v>467.01</v>
      </c>
      <c r="Q45" s="2"/>
      <c r="R45" s="7">
        <f t="shared" si="32"/>
        <v>6.3454488955690547E-3</v>
      </c>
      <c r="S45" s="2"/>
      <c r="T45" s="6"/>
      <c r="U45" s="2"/>
      <c r="V45" s="7">
        <f t="shared" si="33"/>
        <v>0</v>
      </c>
      <c r="W45" s="2"/>
      <c r="X45" s="6">
        <f t="shared" si="34"/>
        <v>467.01</v>
      </c>
      <c r="Y45" s="2"/>
      <c r="Z45" s="7">
        <f t="shared" si="35"/>
        <v>0</v>
      </c>
    </row>
    <row r="46" spans="1:26" s="29" customFormat="1" outlineLevel="1" collapsed="1" x14ac:dyDescent="0.25">
      <c r="A46" s="27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SUM(OSRRefD22_6x_0)</f>
        <v>0</v>
      </c>
      <c r="E46" s="1"/>
      <c r="F46" s="5">
        <f t="shared" si="28"/>
        <v>0</v>
      </c>
      <c r="G46" s="1"/>
      <c r="H46" s="1">
        <f>SUM(OSRRefH22_6x_0)</f>
        <v>15.38</v>
      </c>
      <c r="I46" s="1"/>
      <c r="J46" s="5">
        <f t="shared" si="29"/>
        <v>2.8451838880455294E-4</v>
      </c>
      <c r="K46" s="1"/>
      <c r="L46" s="1">
        <f t="shared" si="30"/>
        <v>-15.38</v>
      </c>
      <c r="M46" s="1"/>
      <c r="N46" s="5">
        <f t="shared" si="31"/>
        <v>-1</v>
      </c>
      <c r="O46" s="14"/>
      <c r="P46" s="1">
        <f>SUM(OSRRefP22_6x_0)</f>
        <v>1477.84</v>
      </c>
      <c r="Q46" s="1"/>
      <c r="R46" s="5">
        <f t="shared" si="32"/>
        <v>2.0079994423733479E-2</v>
      </c>
      <c r="S46" s="1"/>
      <c r="T46" s="1">
        <f>SUM(OSRRefT22_6x_0)</f>
        <v>1882.98</v>
      </c>
      <c r="U46" s="1"/>
      <c r="V46" s="5">
        <f t="shared" si="33"/>
        <v>2.5097933630388682E-2</v>
      </c>
      <c r="W46" s="1"/>
      <c r="X46" s="1">
        <f t="shared" si="34"/>
        <v>-405.1400000000001</v>
      </c>
      <c r="Y46" s="1"/>
      <c r="Z46" s="5">
        <f t="shared" si="35"/>
        <v>-0.21515895017472308</v>
      </c>
    </row>
    <row r="47" spans="1:26" s="24" customFormat="1" hidden="1" outlineLevel="2" x14ac:dyDescent="0.25">
      <c r="A47" s="28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28"/>
        <v>0</v>
      </c>
      <c r="G47" s="2"/>
      <c r="H47" s="6">
        <v>15.38</v>
      </c>
      <c r="I47" s="2"/>
      <c r="J47" s="7">
        <f t="shared" si="29"/>
        <v>2.8451838880455294E-4</v>
      </c>
      <c r="K47" s="2"/>
      <c r="L47" s="6">
        <f t="shared" si="30"/>
        <v>-15.38</v>
      </c>
      <c r="M47" s="2"/>
      <c r="N47" s="7">
        <f t="shared" si="31"/>
        <v>-1</v>
      </c>
      <c r="O47" s="11"/>
      <c r="P47" s="6">
        <v>1477.84</v>
      </c>
      <c r="Q47" s="2"/>
      <c r="R47" s="7">
        <f t="shared" si="32"/>
        <v>2.0079994423733479E-2</v>
      </c>
      <c r="S47" s="2"/>
      <c r="T47" s="6">
        <v>1882.98</v>
      </c>
      <c r="U47" s="2"/>
      <c r="V47" s="7">
        <f t="shared" si="33"/>
        <v>2.5097933630388682E-2</v>
      </c>
      <c r="W47" s="2"/>
      <c r="X47" s="6">
        <f t="shared" si="34"/>
        <v>-405.1400000000001</v>
      </c>
      <c r="Y47" s="2"/>
      <c r="Z47" s="7">
        <f t="shared" si="35"/>
        <v>-0.21515895017472308</v>
      </c>
    </row>
    <row r="48" spans="1:26" s="29" customFormat="1" outlineLevel="1" collapsed="1" x14ac:dyDescent="0.25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3633.36</v>
      </c>
      <c r="E48" s="1"/>
      <c r="F48" s="5">
        <f t="shared" si="28"/>
        <v>6.7648279440703035E-2</v>
      </c>
      <c r="G48" s="1"/>
      <c r="H48" s="1">
        <f>SUM(OSRRefH22_7x_0)</f>
        <v>981.84999999999991</v>
      </c>
      <c r="I48" s="1"/>
      <c r="J48" s="5">
        <f t="shared" si="29"/>
        <v>1.8163483748228234E-2</v>
      </c>
      <c r="K48" s="1"/>
      <c r="L48" s="1">
        <f t="shared" si="30"/>
        <v>2651.51</v>
      </c>
      <c r="M48" s="1"/>
      <c r="N48" s="5">
        <f t="shared" si="31"/>
        <v>2.7005245200387029</v>
      </c>
      <c r="O48" s="14"/>
      <c r="P48" s="1">
        <f>SUM(OSRRefP22_7x_0)</f>
        <v>5293.76</v>
      </c>
      <c r="Q48" s="1"/>
      <c r="R48" s="5">
        <f t="shared" si="32"/>
        <v>7.1928403129285542E-2</v>
      </c>
      <c r="S48" s="1"/>
      <c r="T48" s="1">
        <f>SUM(OSRRefT22_7x_0)</f>
        <v>1249.82</v>
      </c>
      <c r="U48" s="1"/>
      <c r="V48" s="5">
        <f t="shared" si="33"/>
        <v>1.6658647149694835E-2</v>
      </c>
      <c r="W48" s="1"/>
      <c r="X48" s="1">
        <f t="shared" si="34"/>
        <v>4043.9400000000005</v>
      </c>
      <c r="Y48" s="1"/>
      <c r="Z48" s="5">
        <f t="shared" si="35"/>
        <v>3.2356179289817741</v>
      </c>
    </row>
    <row r="49" spans="1:26" s="24" customFormat="1" hidden="1" outlineLevel="2" x14ac:dyDescent="0.25">
      <c r="A49" s="28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28"/>
        <v>0</v>
      </c>
      <c r="G49" s="2"/>
      <c r="H49" s="6">
        <v>166.54</v>
      </c>
      <c r="I49" s="2"/>
      <c r="J49" s="7">
        <f t="shared" si="29"/>
        <v>3.0808642699291441E-3</v>
      </c>
      <c r="K49" s="2"/>
      <c r="L49" s="6">
        <f t="shared" si="30"/>
        <v>-166.54</v>
      </c>
      <c r="M49" s="2"/>
      <c r="N49" s="7">
        <f t="shared" si="31"/>
        <v>-1</v>
      </c>
      <c r="O49" s="11"/>
      <c r="P49" s="6"/>
      <c r="Q49" s="2"/>
      <c r="R49" s="7">
        <f t="shared" si="32"/>
        <v>0</v>
      </c>
      <c r="S49" s="2"/>
      <c r="T49" s="6">
        <v>166.54</v>
      </c>
      <c r="U49" s="2"/>
      <c r="V49" s="7">
        <f t="shared" si="33"/>
        <v>2.2197845260198889E-3</v>
      </c>
      <c r="W49" s="2"/>
      <c r="X49" s="6">
        <f t="shared" si="34"/>
        <v>-166.54</v>
      </c>
      <c r="Y49" s="2"/>
      <c r="Z49" s="7">
        <f t="shared" si="35"/>
        <v>-1</v>
      </c>
    </row>
    <row r="50" spans="1:26" s="24" customFormat="1" hidden="1" outlineLevel="2" x14ac:dyDescent="0.25">
      <c r="A50" s="28"/>
      <c r="B50" s="11" t="str">
        <f>CONCATENATE("          ", "6375", " - ", "OUTSIDE REPAIRS &amp; MAINTENANCE")</f>
        <v xml:space="preserve">          6375 - OUTSIDE REPAIRS &amp; MAINTENANCE</v>
      </c>
      <c r="C50" s="11"/>
      <c r="D50" s="6">
        <v>3633.36</v>
      </c>
      <c r="E50" s="2"/>
      <c r="F50" s="7">
        <f t="shared" si="28"/>
        <v>6.7648279440703035E-2</v>
      </c>
      <c r="G50" s="2"/>
      <c r="H50" s="6">
        <v>815.31</v>
      </c>
      <c r="I50" s="2"/>
      <c r="J50" s="7">
        <f t="shared" si="29"/>
        <v>1.5082619478299092E-2</v>
      </c>
      <c r="K50" s="2"/>
      <c r="L50" s="6">
        <f t="shared" si="30"/>
        <v>2818.05</v>
      </c>
      <c r="M50" s="2"/>
      <c r="N50" s="7">
        <f t="shared" si="31"/>
        <v>3.4564153512161022</v>
      </c>
      <c r="O50" s="11"/>
      <c r="P50" s="6">
        <v>5293.76</v>
      </c>
      <c r="Q50" s="2"/>
      <c r="R50" s="7">
        <f t="shared" si="32"/>
        <v>7.1928403129285542E-2</v>
      </c>
      <c r="S50" s="2"/>
      <c r="T50" s="6">
        <v>1083.28</v>
      </c>
      <c r="U50" s="2"/>
      <c r="V50" s="7">
        <f t="shared" si="33"/>
        <v>1.4438862623674945E-2</v>
      </c>
      <c r="W50" s="2"/>
      <c r="X50" s="6">
        <f t="shared" si="34"/>
        <v>4210.4800000000005</v>
      </c>
      <c r="Y50" s="2"/>
      <c r="Z50" s="7">
        <f t="shared" si="35"/>
        <v>3.8867882726534235</v>
      </c>
    </row>
    <row r="51" spans="1:26" s="29" customFormat="1" outlineLevel="1" collapsed="1" x14ac:dyDescent="0.25">
      <c r="A51" s="27"/>
      <c r="B51" s="14" t="str">
        <f>CONCATENATE("     ","Services                                          ")</f>
        <v xml:space="preserve">     Services                                          </v>
      </c>
      <c r="C51" s="14"/>
      <c r="D51" s="1">
        <f>SUM(OSRRefD22_8x_0)</f>
        <v>354.86</v>
      </c>
      <c r="E51" s="1"/>
      <c r="F51" s="5">
        <f t="shared" ref="F51:F53" si="36">IF(D$12=0,0,D51/D$12)</f>
        <v>6.6070162170354376E-3</v>
      </c>
      <c r="G51" s="1"/>
      <c r="H51" s="1">
        <f>SUM(OSRRefH22_8x_0)</f>
        <v>352.93</v>
      </c>
      <c r="I51" s="1"/>
      <c r="J51" s="5">
        <f t="shared" ref="J51:J53" si="37">IF(H$12=0,0,H51/H$12)</f>
        <v>6.5289385540176111E-3</v>
      </c>
      <c r="K51" s="1"/>
      <c r="L51" s="1">
        <f t="shared" ref="L51:L53" si="38">+D51-H51</f>
        <v>1.9300000000000068</v>
      </c>
      <c r="M51" s="1"/>
      <c r="N51" s="5">
        <f t="shared" ref="N51:N53" si="39">IF(H51=0,0,L51/H51)</f>
        <v>5.4685065027059382E-3</v>
      </c>
      <c r="O51" s="14"/>
      <c r="P51" s="1">
        <f>SUM(OSRRefP22_8x_0)</f>
        <v>1365.58</v>
      </c>
      <c r="Q51" s="1"/>
      <c r="R51" s="5">
        <f t="shared" ref="R51:R53" si="40">IF(P$12=0,0,P51/P$12)</f>
        <v>1.8554673567613519E-2</v>
      </c>
      <c r="S51" s="1"/>
      <c r="T51" s="1">
        <f>SUM(OSRRefT22_8x_0)</f>
        <v>1058.79</v>
      </c>
      <c r="U51" s="1"/>
      <c r="V51" s="5">
        <f t="shared" ref="V51:V53" si="41">IF(T$12=0,0,T51/T$12)</f>
        <v>1.4112439403774459E-2</v>
      </c>
      <c r="W51" s="1"/>
      <c r="X51" s="1">
        <f t="shared" ref="X51:X53" si="42">+P51-T51</f>
        <v>306.78999999999996</v>
      </c>
      <c r="Y51" s="1"/>
      <c r="Z51" s="5">
        <f t="shared" ref="Z51:Z53" si="43">IF(T51=0,0,X51/T51)</f>
        <v>0.2897552866951898</v>
      </c>
    </row>
    <row r="52" spans="1:26" s="24" customFormat="1" hidden="1" outlineLevel="2" x14ac:dyDescent="0.25">
      <c r="A52" s="28"/>
      <c r="B52" s="11" t="str">
        <f>CONCATENATE("          ", "6282", " - ", "JANITORIAL/EXTERMINATOR EXPENS")</f>
        <v xml:space="preserve">          6282 - JANITORIAL/EXTERMINATOR EXPENS</v>
      </c>
      <c r="C52" s="11"/>
      <c r="D52" s="6">
        <v>327.93</v>
      </c>
      <c r="E52" s="2"/>
      <c r="F52" s="7">
        <f t="shared" si="36"/>
        <v>6.1056158148352331E-3</v>
      </c>
      <c r="G52" s="2"/>
      <c r="H52" s="6">
        <v>327.93</v>
      </c>
      <c r="I52" s="2"/>
      <c r="J52" s="7">
        <f t="shared" si="37"/>
        <v>6.0664574278723694E-3</v>
      </c>
      <c r="K52" s="2"/>
      <c r="L52" s="6">
        <f t="shared" si="38"/>
        <v>0</v>
      </c>
      <c r="M52" s="2"/>
      <c r="N52" s="7">
        <f t="shared" si="39"/>
        <v>0</v>
      </c>
      <c r="O52" s="11"/>
      <c r="P52" s="6">
        <v>1311.72</v>
      </c>
      <c r="Q52" s="2"/>
      <c r="R52" s="7">
        <f t="shared" si="40"/>
        <v>1.7822856524048396E-2</v>
      </c>
      <c r="S52" s="2"/>
      <c r="T52" s="6">
        <v>983.79</v>
      </c>
      <c r="U52" s="2"/>
      <c r="V52" s="7">
        <f t="shared" si="41"/>
        <v>1.3112776623352388E-2</v>
      </c>
      <c r="W52" s="2"/>
      <c r="X52" s="6">
        <f t="shared" si="42"/>
        <v>327.93000000000006</v>
      </c>
      <c r="Y52" s="2"/>
      <c r="Z52" s="7">
        <f t="shared" si="43"/>
        <v>0.33333333333333343</v>
      </c>
    </row>
    <row r="53" spans="1:26" s="24" customFormat="1" hidden="1" outlineLevel="2" x14ac:dyDescent="0.25">
      <c r="A53" s="28"/>
      <c r="B53" s="11" t="str">
        <f>CONCATENATE("          ", "6285", " - ", "JANITORIAL SERVICES")</f>
        <v xml:space="preserve">          6285 - JANITORIAL SERVICES</v>
      </c>
      <c r="C53" s="11"/>
      <c r="D53" s="6">
        <v>26.93</v>
      </c>
      <c r="E53" s="2"/>
      <c r="F53" s="7">
        <f t="shared" si="36"/>
        <v>5.0140040220020385E-4</v>
      </c>
      <c r="G53" s="2"/>
      <c r="H53" s="6">
        <v>25</v>
      </c>
      <c r="I53" s="2"/>
      <c r="J53" s="7">
        <f t="shared" si="37"/>
        <v>4.6248112614524203E-4</v>
      </c>
      <c r="K53" s="2"/>
      <c r="L53" s="6">
        <f t="shared" si="38"/>
        <v>1.9299999999999997</v>
      </c>
      <c r="M53" s="2"/>
      <c r="N53" s="7">
        <f t="shared" si="39"/>
        <v>7.7199999999999991E-2</v>
      </c>
      <c r="O53" s="11"/>
      <c r="P53" s="6">
        <v>53.86</v>
      </c>
      <c r="Q53" s="2"/>
      <c r="R53" s="7">
        <f t="shared" si="40"/>
        <v>7.3181704356512563E-4</v>
      </c>
      <c r="S53" s="2"/>
      <c r="T53" s="6">
        <v>75</v>
      </c>
      <c r="U53" s="2"/>
      <c r="V53" s="7">
        <f t="shared" si="41"/>
        <v>9.9966278042207084E-4</v>
      </c>
      <c r="W53" s="2"/>
      <c r="X53" s="6">
        <f t="shared" si="42"/>
        <v>-21.14</v>
      </c>
      <c r="Y53" s="2"/>
      <c r="Z53" s="7">
        <f t="shared" si="43"/>
        <v>-0.28186666666666665</v>
      </c>
    </row>
    <row r="54" spans="1:26" s="29" customFormat="1" outlineLevel="1" collapsed="1" x14ac:dyDescent="0.25">
      <c r="A54" s="27"/>
      <c r="B54" s="14" t="str">
        <f>CONCATENATE("     ","Subscriptions &amp; Dues                              ")</f>
        <v xml:space="preserve">     Subscriptions &amp; Dues                              </v>
      </c>
      <c r="C54" s="14"/>
      <c r="D54" s="1">
        <f>SUM(OSRRefD22_9x_0)</f>
        <v>0</v>
      </c>
      <c r="E54" s="1"/>
      <c r="F54" s="5">
        <f t="shared" ref="F54:F62" si="44">IF(D$12=0,0,D54/D$12)</f>
        <v>0</v>
      </c>
      <c r="G54" s="1"/>
      <c r="H54" s="1">
        <f>SUM(OSRRefH22_9x_0)</f>
        <v>0</v>
      </c>
      <c r="I54" s="1"/>
      <c r="J54" s="5">
        <f t="shared" ref="J54:J62" si="45">IF(H$12=0,0,H54/H$12)</f>
        <v>0</v>
      </c>
      <c r="K54" s="1"/>
      <c r="L54" s="1">
        <f t="shared" ref="L54:L62" si="46">+D54-H54</f>
        <v>0</v>
      </c>
      <c r="M54" s="1"/>
      <c r="N54" s="5">
        <f t="shared" ref="N54:N62" si="47">IF(H54=0,0,L54/H54)</f>
        <v>0</v>
      </c>
      <c r="O54" s="14"/>
      <c r="P54" s="1">
        <f>SUM(OSRRefP22_9x_0)</f>
        <v>0</v>
      </c>
      <c r="Q54" s="1"/>
      <c r="R54" s="5">
        <f t="shared" ref="R54:R62" si="48">IF(P$12=0,0,P54/P$12)</f>
        <v>0</v>
      </c>
      <c r="S54" s="1"/>
      <c r="T54" s="1">
        <f>SUM(OSRRefT22_9x_0)</f>
        <v>31.8</v>
      </c>
      <c r="U54" s="1"/>
      <c r="V54" s="5">
        <f t="shared" ref="V54:V62" si="49">IF(T$12=0,0,T54/T$12)</f>
        <v>4.2385701889895806E-4</v>
      </c>
      <c r="W54" s="1"/>
      <c r="X54" s="1">
        <f t="shared" ref="X54:X62" si="50">+P54-T54</f>
        <v>-31.8</v>
      </c>
      <c r="Y54" s="1"/>
      <c r="Z54" s="5">
        <f t="shared" ref="Z54:Z62" si="51">IF(T54=0,0,X54/T54)</f>
        <v>-1</v>
      </c>
    </row>
    <row r="55" spans="1:26" s="24" customFormat="1" hidden="1" outlineLevel="2" x14ac:dyDescent="0.25">
      <c r="A55" s="28"/>
      <c r="B55" s="11" t="str">
        <f>CONCATENATE("          ", "6258", " - ", "MEMBERSHIP DUES")</f>
        <v xml:space="preserve">          6258 - MEMBERSHIP DUES</v>
      </c>
      <c r="C55" s="11"/>
      <c r="D55" s="6"/>
      <c r="E55" s="2"/>
      <c r="F55" s="7">
        <f t="shared" si="44"/>
        <v>0</v>
      </c>
      <c r="G55" s="2"/>
      <c r="H55" s="6"/>
      <c r="I55" s="2"/>
      <c r="J55" s="7">
        <f t="shared" si="45"/>
        <v>0</v>
      </c>
      <c r="K55" s="2"/>
      <c r="L55" s="6">
        <f t="shared" si="46"/>
        <v>0</v>
      </c>
      <c r="M55" s="2"/>
      <c r="N55" s="7">
        <f t="shared" si="47"/>
        <v>0</v>
      </c>
      <c r="O55" s="11"/>
      <c r="P55" s="6"/>
      <c r="Q55" s="2"/>
      <c r="R55" s="7">
        <f t="shared" si="48"/>
        <v>0</v>
      </c>
      <c r="S55" s="2"/>
      <c r="T55" s="6">
        <v>31.8</v>
      </c>
      <c r="U55" s="2"/>
      <c r="V55" s="7">
        <f t="shared" si="49"/>
        <v>4.2385701889895806E-4</v>
      </c>
      <c r="W55" s="2"/>
      <c r="X55" s="6">
        <f t="shared" si="50"/>
        <v>-31.8</v>
      </c>
      <c r="Y55" s="2"/>
      <c r="Z55" s="7">
        <f t="shared" si="51"/>
        <v>-1</v>
      </c>
    </row>
    <row r="56" spans="1:26" s="29" customFormat="1" outlineLevel="1" collapsed="1" x14ac:dyDescent="0.25">
      <c r="A56" s="27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SUM(OSRRefD22_10x_0)</f>
        <v>362.21</v>
      </c>
      <c r="E56" s="1"/>
      <c r="F56" s="5">
        <f t="shared" si="44"/>
        <v>6.743863337576525E-3</v>
      </c>
      <c r="G56" s="1"/>
      <c r="H56" s="1">
        <f>SUM(OSRRefH22_10x_0)</f>
        <v>756.64</v>
      </c>
      <c r="I56" s="1"/>
      <c r="J56" s="5">
        <f t="shared" si="45"/>
        <v>1.3997268771461438E-2</v>
      </c>
      <c r="K56" s="1"/>
      <c r="L56" s="1">
        <f t="shared" si="46"/>
        <v>-394.43</v>
      </c>
      <c r="M56" s="1"/>
      <c r="N56" s="5">
        <f t="shared" si="47"/>
        <v>-0.52129149925988583</v>
      </c>
      <c r="O56" s="14"/>
      <c r="P56" s="1">
        <f>SUM(OSRRefP22_10x_0)</f>
        <v>5165.33</v>
      </c>
      <c r="Q56" s="1"/>
      <c r="R56" s="5">
        <f t="shared" si="48"/>
        <v>7.0183374111367436E-2</v>
      </c>
      <c r="S56" s="1"/>
      <c r="T56" s="1">
        <f>SUM(OSRRefT22_10x_0)</f>
        <v>2415.5099999999998</v>
      </c>
      <c r="U56" s="1"/>
      <c r="V56" s="5">
        <f t="shared" si="49"/>
        <v>3.2195939236497551E-2</v>
      </c>
      <c r="W56" s="1"/>
      <c r="X56" s="1">
        <f t="shared" si="50"/>
        <v>2749.82</v>
      </c>
      <c r="Y56" s="1"/>
      <c r="Z56" s="5">
        <f t="shared" si="51"/>
        <v>1.1384014141941041</v>
      </c>
    </row>
    <row r="57" spans="1:26" s="24" customFormat="1" hidden="1" outlineLevel="2" x14ac:dyDescent="0.25">
      <c r="A57" s="28"/>
      <c r="B57" s="11" t="str">
        <f>CONCATENATE("          ", "6237", " - ", "JANITORIAL SUPPLIES")</f>
        <v xml:space="preserve">          6237 - JANITORIAL SUPPLIES</v>
      </c>
      <c r="C57" s="11"/>
      <c r="D57" s="6">
        <v>64.33</v>
      </c>
      <c r="E57" s="2"/>
      <c r="F57" s="7">
        <f t="shared" si="44"/>
        <v>1.1977381312119981E-3</v>
      </c>
      <c r="G57" s="2"/>
      <c r="H57" s="6">
        <v>106.13</v>
      </c>
      <c r="I57" s="2"/>
      <c r="J57" s="7">
        <f t="shared" si="45"/>
        <v>1.9633248767117815E-3</v>
      </c>
      <c r="K57" s="2"/>
      <c r="L57" s="6">
        <f t="shared" si="46"/>
        <v>-41.8</v>
      </c>
      <c r="M57" s="2"/>
      <c r="N57" s="7">
        <f t="shared" si="47"/>
        <v>-0.39385659097333459</v>
      </c>
      <c r="O57" s="11"/>
      <c r="P57" s="6">
        <v>474.32</v>
      </c>
      <c r="Q57" s="2"/>
      <c r="R57" s="7">
        <f t="shared" si="48"/>
        <v>6.4447727460789153E-3</v>
      </c>
      <c r="S57" s="2"/>
      <c r="T57" s="6">
        <v>301.87</v>
      </c>
      <c r="U57" s="2"/>
      <c r="V57" s="7">
        <f t="shared" si="49"/>
        <v>4.0235760470134739E-3</v>
      </c>
      <c r="W57" s="2"/>
      <c r="X57" s="6">
        <f t="shared" si="50"/>
        <v>172.45</v>
      </c>
      <c r="Y57" s="2"/>
      <c r="Z57" s="7">
        <f t="shared" si="51"/>
        <v>0.57127240202736274</v>
      </c>
    </row>
    <row r="58" spans="1:26" s="24" customFormat="1" hidden="1" outlineLevel="2" x14ac:dyDescent="0.25">
      <c r="A58" s="28"/>
      <c r="B58" s="11" t="str">
        <f>CONCATENATE("          ", "6241", " - ", "OFFICE EXPENSE")</f>
        <v xml:space="preserve">          6241 - OFFICE EXPENSE</v>
      </c>
      <c r="C58" s="11"/>
      <c r="D58" s="6"/>
      <c r="E58" s="2"/>
      <c r="F58" s="7">
        <f t="shared" si="44"/>
        <v>0</v>
      </c>
      <c r="G58" s="2"/>
      <c r="H58" s="6"/>
      <c r="I58" s="2"/>
      <c r="J58" s="7">
        <f t="shared" si="45"/>
        <v>0</v>
      </c>
      <c r="K58" s="2"/>
      <c r="L58" s="6">
        <f t="shared" si="46"/>
        <v>0</v>
      </c>
      <c r="M58" s="2"/>
      <c r="N58" s="7">
        <f t="shared" si="47"/>
        <v>0</v>
      </c>
      <c r="O58" s="11"/>
      <c r="P58" s="6"/>
      <c r="Q58" s="2"/>
      <c r="R58" s="7">
        <f t="shared" si="48"/>
        <v>0</v>
      </c>
      <c r="S58" s="2"/>
      <c r="T58" s="6">
        <v>68.36</v>
      </c>
      <c r="U58" s="2"/>
      <c r="V58" s="7">
        <f t="shared" si="49"/>
        <v>9.1115930226203694E-4</v>
      </c>
      <c r="W58" s="2"/>
      <c r="X58" s="6">
        <f t="shared" si="50"/>
        <v>-68.36</v>
      </c>
      <c r="Y58" s="2"/>
      <c r="Z58" s="7">
        <f t="shared" si="51"/>
        <v>-1</v>
      </c>
    </row>
    <row r="59" spans="1:26" s="24" customFormat="1" hidden="1" outlineLevel="2" x14ac:dyDescent="0.25">
      <c r="A59" s="28"/>
      <c r="B59" s="11" t="str">
        <f>CONCATENATE("          ", "6243", " - ", "PAPER SUPPLIES")</f>
        <v xml:space="preserve">          6243 - PAPER SUPPLIES</v>
      </c>
      <c r="C59" s="11"/>
      <c r="D59" s="6"/>
      <c r="E59" s="2"/>
      <c r="F59" s="7">
        <f t="shared" si="44"/>
        <v>0</v>
      </c>
      <c r="G59" s="2"/>
      <c r="H59" s="6">
        <v>247.14</v>
      </c>
      <c r="I59" s="2"/>
      <c r="J59" s="7">
        <f t="shared" si="45"/>
        <v>4.5719034206214045E-3</v>
      </c>
      <c r="K59" s="2"/>
      <c r="L59" s="6">
        <f t="shared" si="46"/>
        <v>-247.14</v>
      </c>
      <c r="M59" s="2"/>
      <c r="N59" s="7">
        <f t="shared" si="47"/>
        <v>-1</v>
      </c>
      <c r="O59" s="11"/>
      <c r="P59" s="6">
        <v>298.33</v>
      </c>
      <c r="Q59" s="2"/>
      <c r="R59" s="7">
        <f t="shared" si="48"/>
        <v>4.0535272671144429E-3</v>
      </c>
      <c r="S59" s="2"/>
      <c r="T59" s="6">
        <v>511.23</v>
      </c>
      <c r="U59" s="2"/>
      <c r="V59" s="7">
        <f t="shared" si="49"/>
        <v>6.8141013764690048E-3</v>
      </c>
      <c r="W59" s="2"/>
      <c r="X59" s="6">
        <f t="shared" si="50"/>
        <v>-212.90000000000003</v>
      </c>
      <c r="Y59" s="2"/>
      <c r="Z59" s="7">
        <f t="shared" si="51"/>
        <v>-0.41644660915830456</v>
      </c>
    </row>
    <row r="60" spans="1:26" s="24" customFormat="1" hidden="1" outlineLevel="2" x14ac:dyDescent="0.25">
      <c r="A60" s="28"/>
      <c r="B60" s="11" t="str">
        <f>CONCATENATE("          ", "6245", " - ", "PRINTING")</f>
        <v xml:space="preserve">          6245 - PRINTING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51.82</v>
      </c>
      <c r="U60" s="2"/>
      <c r="V60" s="7">
        <f t="shared" si="49"/>
        <v>6.9070033708628958E-4</v>
      </c>
      <c r="W60" s="2"/>
      <c r="X60" s="6">
        <f t="shared" si="50"/>
        <v>-51.82</v>
      </c>
      <c r="Y60" s="2"/>
      <c r="Z60" s="7">
        <f t="shared" si="51"/>
        <v>-1</v>
      </c>
    </row>
    <row r="61" spans="1:26" s="24" customFormat="1" hidden="1" outlineLevel="2" x14ac:dyDescent="0.25">
      <c r="A61" s="28"/>
      <c r="B61" s="11" t="str">
        <f>CONCATENATE("          ", "6247", " - ", "STORE SUPPLIES")</f>
        <v xml:space="preserve">          6247 - STORE SUPPLIES</v>
      </c>
      <c r="C61" s="11"/>
      <c r="D61" s="6">
        <v>297.88</v>
      </c>
      <c r="E61" s="2"/>
      <c r="F61" s="7">
        <f t="shared" si="44"/>
        <v>5.5461252063645269E-3</v>
      </c>
      <c r="G61" s="2"/>
      <c r="H61" s="6">
        <v>403.37</v>
      </c>
      <c r="I61" s="2"/>
      <c r="J61" s="7">
        <f t="shared" si="45"/>
        <v>7.4620404741282519E-3</v>
      </c>
      <c r="K61" s="2"/>
      <c r="L61" s="6">
        <f t="shared" si="46"/>
        <v>-105.49000000000001</v>
      </c>
      <c r="M61" s="2"/>
      <c r="N61" s="7">
        <f t="shared" si="47"/>
        <v>-0.26152167984728664</v>
      </c>
      <c r="O61" s="11"/>
      <c r="P61" s="6">
        <v>4392.68</v>
      </c>
      <c r="Q61" s="2"/>
      <c r="R61" s="7">
        <f t="shared" si="48"/>
        <v>5.9685074098174085E-2</v>
      </c>
      <c r="S61" s="2"/>
      <c r="T61" s="6">
        <v>1294.3599999999999</v>
      </c>
      <c r="U61" s="2"/>
      <c r="V61" s="7">
        <f t="shared" si="49"/>
        <v>1.7252313552894822E-2</v>
      </c>
      <c r="W61" s="2"/>
      <c r="X61" s="6">
        <f t="shared" si="50"/>
        <v>3098.3200000000006</v>
      </c>
      <c r="Y61" s="2"/>
      <c r="Z61" s="7">
        <f t="shared" si="51"/>
        <v>2.3937080873945433</v>
      </c>
    </row>
    <row r="62" spans="1:26" s="24" customFormat="1" hidden="1" outlineLevel="2" x14ac:dyDescent="0.25">
      <c r="A62" s="28"/>
      <c r="B62" s="11" t="str">
        <f>CONCATENATE("          ", "6248", " - ", "UNIFORMS")</f>
        <v xml:space="preserve">          6248 - UNIFORMS</v>
      </c>
      <c r="C62" s="11"/>
      <c r="D62" s="6"/>
      <c r="E62" s="2"/>
      <c r="F62" s="7">
        <f t="shared" si="44"/>
        <v>0</v>
      </c>
      <c r="G62" s="2"/>
      <c r="H62" s="6"/>
      <c r="I62" s="2"/>
      <c r="J62" s="7">
        <f t="shared" si="45"/>
        <v>0</v>
      </c>
      <c r="K62" s="2"/>
      <c r="L62" s="6">
        <f t="shared" si="46"/>
        <v>0</v>
      </c>
      <c r="M62" s="2"/>
      <c r="N62" s="7">
        <f t="shared" si="47"/>
        <v>0</v>
      </c>
      <c r="O62" s="11"/>
      <c r="P62" s="6"/>
      <c r="Q62" s="2"/>
      <c r="R62" s="7">
        <f t="shared" si="48"/>
        <v>0</v>
      </c>
      <c r="S62" s="2"/>
      <c r="T62" s="6">
        <v>187.87</v>
      </c>
      <c r="U62" s="2"/>
      <c r="V62" s="7">
        <f t="shared" si="49"/>
        <v>2.5040886207719263E-3</v>
      </c>
      <c r="W62" s="2"/>
      <c r="X62" s="6">
        <f t="shared" si="50"/>
        <v>-187.87</v>
      </c>
      <c r="Y62" s="2"/>
      <c r="Z62" s="7">
        <f t="shared" si="51"/>
        <v>-1</v>
      </c>
    </row>
    <row r="63" spans="1:26" s="29" customFormat="1" outlineLevel="1" collapsed="1" x14ac:dyDescent="0.25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SUM(OSRRefD22_11x_0)</f>
        <v>113.01</v>
      </c>
      <c r="E63" s="1"/>
      <c r="F63" s="5">
        <f t="shared" ref="F63:F64" si="52">IF(D$12=0,0,D63/D$12)</f>
        <v>2.1040942982786868E-3</v>
      </c>
      <c r="G63" s="1"/>
      <c r="H63" s="1">
        <f>SUM(OSRRefH22_11x_0)</f>
        <v>113.01</v>
      </c>
      <c r="I63" s="1"/>
      <c r="J63" s="5">
        <f t="shared" ref="J63:J64" si="53">IF(H$12=0,0,H63/H$12)</f>
        <v>2.0905996826269522E-3</v>
      </c>
      <c r="K63" s="1"/>
      <c r="L63" s="1">
        <f t="shared" ref="L63:L64" si="54">+D63-H63</f>
        <v>0</v>
      </c>
      <c r="M63" s="1"/>
      <c r="N63" s="5">
        <f t="shared" ref="N63:N64" si="55">IF(H63=0,0,L63/H63)</f>
        <v>0</v>
      </c>
      <c r="O63" s="14"/>
      <c r="P63" s="1">
        <f>SUM(OSRRefP22_11x_0)</f>
        <v>273.02999999999997</v>
      </c>
      <c r="Q63" s="1"/>
      <c r="R63" s="5">
        <f t="shared" ref="R63:R64" si="56">IF(P$12=0,0,P63/P$12)</f>
        <v>3.7097661976343527E-3</v>
      </c>
      <c r="S63" s="1"/>
      <c r="T63" s="1">
        <f>SUM(OSRRefT22_11x_0)</f>
        <v>273.02999999999997</v>
      </c>
      <c r="U63" s="1"/>
      <c r="V63" s="5">
        <f t="shared" ref="V63:V64" si="57">IF(T$12=0,0,T63/T$12)</f>
        <v>3.6391723858485068E-3</v>
      </c>
      <c r="W63" s="1"/>
      <c r="X63" s="1">
        <f t="shared" ref="X63:X64" si="58">+P63-T63</f>
        <v>0</v>
      </c>
      <c r="Y63" s="1"/>
      <c r="Z63" s="5">
        <f t="shared" ref="Z63:Z64" si="59">IF(T63=0,0,X63/T63)</f>
        <v>0</v>
      </c>
    </row>
    <row r="64" spans="1:26" s="24" customFormat="1" hidden="1" outlineLevel="2" x14ac:dyDescent="0.25">
      <c r="A64" s="28"/>
      <c r="B64" s="11" t="str">
        <f>CONCATENATE("          ", "6309", " - ", "TELEPHONE")</f>
        <v xml:space="preserve">          6309 - TELEPHONE</v>
      </c>
      <c r="C64" s="11"/>
      <c r="D64" s="6">
        <v>113.01</v>
      </c>
      <c r="E64" s="2"/>
      <c r="F64" s="7">
        <f t="shared" si="52"/>
        <v>2.1040942982786868E-3</v>
      </c>
      <c r="G64" s="2"/>
      <c r="H64" s="6">
        <v>113.01</v>
      </c>
      <c r="I64" s="2"/>
      <c r="J64" s="7">
        <f t="shared" si="53"/>
        <v>2.0905996826269522E-3</v>
      </c>
      <c r="K64" s="2"/>
      <c r="L64" s="6">
        <f t="shared" si="54"/>
        <v>0</v>
      </c>
      <c r="M64" s="2"/>
      <c r="N64" s="7">
        <f t="shared" si="55"/>
        <v>0</v>
      </c>
      <c r="O64" s="11"/>
      <c r="P64" s="6">
        <v>273.02999999999997</v>
      </c>
      <c r="Q64" s="2"/>
      <c r="R64" s="7">
        <f t="shared" si="56"/>
        <v>3.7097661976343527E-3</v>
      </c>
      <c r="S64" s="2"/>
      <c r="T64" s="6">
        <v>273.02999999999997</v>
      </c>
      <c r="U64" s="2"/>
      <c r="V64" s="7">
        <f t="shared" si="57"/>
        <v>3.6391723858485068E-3</v>
      </c>
      <c r="W64" s="2"/>
      <c r="X64" s="6">
        <f t="shared" si="58"/>
        <v>0</v>
      </c>
      <c r="Y64" s="2"/>
      <c r="Z64" s="7">
        <f t="shared" si="59"/>
        <v>0</v>
      </c>
    </row>
    <row r="65" spans="1:26" s="53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5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6" t="s">
        <v>3</v>
      </c>
      <c r="C68" s="26"/>
      <c r="D68" s="21">
        <f>+D20-D22+D66</f>
        <v>10176.119999999999</v>
      </c>
      <c r="E68" s="13"/>
      <c r="F68" s="20">
        <f>IF(D$12=0,0,D68/D$12)</f>
        <v>0.18946567622864974</v>
      </c>
      <c r="G68" s="13"/>
      <c r="H68" s="21">
        <f>+H20-H22+H66</f>
        <v>11963.869999999995</v>
      </c>
      <c r="I68" s="13"/>
      <c r="J68" s="20">
        <f>IF(H$12=0,0,H68/H$12)</f>
        <v>0.22132256282621099</v>
      </c>
      <c r="K68" s="15"/>
      <c r="L68" s="21">
        <f>+D68-H68</f>
        <v>-1787.7499999999964</v>
      </c>
      <c r="M68" s="15"/>
      <c r="N68" s="20">
        <f>IF(H68=0,0,L68/H68)</f>
        <v>-0.14942907269971983</v>
      </c>
      <c r="O68" s="25"/>
      <c r="P68" s="21">
        <f>+P20-P22+P66</f>
        <v>-5438.3700000000026</v>
      </c>
      <c r="Q68" s="13"/>
      <c r="R68" s="20">
        <f>IF(P$12=0,0,P68/P$12)</f>
        <v>-7.3893276182942336E-2</v>
      </c>
      <c r="S68" s="13"/>
      <c r="T68" s="21">
        <f>+T20-T22+T66</f>
        <v>97.909999999988941</v>
      </c>
      <c r="U68" s="13"/>
      <c r="V68" s="20">
        <f>IF(T$12=0,0,T68/T$12)</f>
        <v>1.3050264377481855E-3</v>
      </c>
      <c r="W68" s="15"/>
      <c r="X68" s="21">
        <f>+P68-T68</f>
        <v>-5536.2799999999916</v>
      </c>
      <c r="Y68" s="15"/>
      <c r="Z68" s="20">
        <f>IF(T68=0,0,X68/T68)</f>
        <v>-56.544581758764345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>
        <v>5425.68</v>
      </c>
      <c r="E70" s="4"/>
      <c r="F70" s="12">
        <f>IF(D$12=0,0,D70/D$12)</f>
        <v>0.10101886870440407</v>
      </c>
      <c r="G70" s="4"/>
      <c r="H70" s="4">
        <v>4524.9399999999996</v>
      </c>
      <c r="I70" s="4"/>
      <c r="J70" s="12">
        <f>IF(H$12=0,0,H70/H$12)</f>
        <v>8.370797387758605E-2</v>
      </c>
      <c r="K70" s="4"/>
      <c r="L70" s="4">
        <f>+D70-H70</f>
        <v>900.74000000000069</v>
      </c>
      <c r="M70" s="4"/>
      <c r="N70" s="12">
        <f>IF(H70=0,0,L70/H70)</f>
        <v>0.1990612030214767</v>
      </c>
      <c r="O70" s="10"/>
      <c r="P70" s="4">
        <v>7905.36</v>
      </c>
      <c r="Q70" s="4"/>
      <c r="R70" s="12">
        <f>IF(P$12=0,0,P70/P$12)</f>
        <v>0.10741324143182326</v>
      </c>
      <c r="S70" s="4"/>
      <c r="T70" s="4">
        <v>6665.78</v>
      </c>
      <c r="U70" s="4"/>
      <c r="V70" s="12">
        <f>IF(T$12=0,0,T70/T$12)</f>
        <v>8.8847095579757757E-2</v>
      </c>
      <c r="W70" s="4"/>
      <c r="X70" s="4">
        <f>+P70-T70</f>
        <v>1239.58</v>
      </c>
      <c r="Y70" s="4"/>
      <c r="Z70" s="12">
        <f>IF(T70=0,0,X70/T70)</f>
        <v>0.1859617329104771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6" t="s">
        <v>4</v>
      </c>
      <c r="C72" s="26"/>
      <c r="D72" s="35">
        <f>+D68-D70</f>
        <v>4750.4399999999987</v>
      </c>
      <c r="E72" s="13"/>
      <c r="F72" s="30">
        <f>IF(D$12=0,0,D72/D$12)</f>
        <v>8.8446807524245649E-2</v>
      </c>
      <c r="G72" s="13"/>
      <c r="H72" s="35">
        <f>+H68-H70</f>
        <v>7438.9299999999957</v>
      </c>
      <c r="I72" s="13"/>
      <c r="J72" s="30">
        <f>IF(H$12=0,0,H72/H$12)</f>
        <v>0.13761458894862494</v>
      </c>
      <c r="K72" s="15"/>
      <c r="L72" s="35">
        <f>D72-H72</f>
        <v>-2688.4899999999971</v>
      </c>
      <c r="M72" s="15"/>
      <c r="N72" s="30">
        <f>IF(H72=0,0,L72/H72)</f>
        <v>-0.3614081595068106</v>
      </c>
      <c r="O72" s="25"/>
      <c r="P72" s="35">
        <f>+P68-P70</f>
        <v>-13343.730000000003</v>
      </c>
      <c r="Q72" s="13"/>
      <c r="R72" s="30">
        <f>IF(P$12=0,0,P72/P$12)</f>
        <v>-0.18130651761476563</v>
      </c>
      <c r="S72" s="13"/>
      <c r="T72" s="35">
        <f>+T68-T70</f>
        <v>-6567.8700000000108</v>
      </c>
      <c r="U72" s="13"/>
      <c r="V72" s="30">
        <f>IF(T$12=0,0,T72/T$12)</f>
        <v>-8.7542069142009571E-2</v>
      </c>
      <c r="W72" s="15"/>
      <c r="X72" s="35">
        <f>P72-T72</f>
        <v>-6775.8599999999924</v>
      </c>
      <c r="Y72" s="15"/>
      <c r="Z72" s="30">
        <f>IF(T72=0,0,X72/T72)</f>
        <v>1.0316678009765694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5</v>
      </c>
      <c r="C75" s="26"/>
      <c r="D75" s="36">
        <f>SUM(D72:D74)</f>
        <v>4750.4399999999987</v>
      </c>
      <c r="E75" s="13"/>
      <c r="F75" s="31">
        <f>IF(D$12=0,0,D75/D$12)</f>
        <v>8.8446807524245649E-2</v>
      </c>
      <c r="G75" s="13"/>
      <c r="H75" s="36">
        <f>SUM(H72:H74)</f>
        <v>7438.9299999999957</v>
      </c>
      <c r="I75" s="13"/>
      <c r="J75" s="31">
        <f>IF(H$12=0,0,H75/H$12)</f>
        <v>0.13761458894862494</v>
      </c>
      <c r="K75" s="15"/>
      <c r="L75" s="36">
        <f>+D75-H75</f>
        <v>-2688.4899999999971</v>
      </c>
      <c r="M75" s="15"/>
      <c r="N75" s="31">
        <f>IF(H75=0,0,L75/H75)</f>
        <v>-0.3614081595068106</v>
      </c>
      <c r="O75" s="25"/>
      <c r="P75" s="36">
        <f>SUM(P72:P74)</f>
        <v>-13343.730000000003</v>
      </c>
      <c r="Q75" s="13"/>
      <c r="R75" s="31">
        <f>IF(P$12=0,0,P75/P$12)</f>
        <v>-0.18130651761476563</v>
      </c>
      <c r="S75" s="13"/>
      <c r="T75" s="36">
        <f>SUM(T72:T74)</f>
        <v>-6567.8700000000108</v>
      </c>
      <c r="U75" s="13"/>
      <c r="V75" s="31">
        <f>IF(T$12=0,0,T75/T$12)</f>
        <v>-8.7542069142009571E-2</v>
      </c>
      <c r="W75" s="15"/>
      <c r="X75" s="36">
        <f>+P75-T75</f>
        <v>-6775.8599999999924</v>
      </c>
      <c r="Y75" s="15"/>
      <c r="Z75" s="31">
        <f>IF(T75=0,0,X75/T75)</f>
        <v>1.0316678009765694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5">
        <v>43756.462962071761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6" t="s">
        <v>313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7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","313", " - ", "Convenience Store")</f>
        <v>Department 313 - Convenience Store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84266.830000000016</v>
      </c>
      <c r="E12" s="4"/>
      <c r="F12" s="12"/>
      <c r="G12" s="4"/>
      <c r="H12" s="4">
        <f>SUM(OSRRefH13x_0)</f>
        <v>85688.16</v>
      </c>
      <c r="I12" s="4"/>
      <c r="J12" s="12"/>
      <c r="K12" s="4"/>
      <c r="L12" s="4">
        <f t="shared" ref="L12:L18" si="0">+D12-H12</f>
        <v>-1421.3299999999872</v>
      </c>
      <c r="M12" s="4"/>
      <c r="N12" s="12">
        <f t="shared" ref="N12:N18" si="1">IF(H12=0,0,L12/H12)</f>
        <v>-1.6587239123818123E-2</v>
      </c>
      <c r="O12" s="10"/>
      <c r="P12" s="4">
        <f>SUM(OSRRefP13x_0)</f>
        <v>135517.78</v>
      </c>
      <c r="Q12" s="4"/>
      <c r="R12" s="12"/>
      <c r="S12" s="4"/>
      <c r="T12" s="4">
        <f>SUM(OSRRefT13x_0)</f>
        <v>137769.59</v>
      </c>
      <c r="U12" s="4"/>
      <c r="V12" s="12"/>
      <c r="W12" s="4"/>
      <c r="X12" s="4">
        <f t="shared" ref="X12:X18" si="2">+P12-T12</f>
        <v>-2251.8099999999977</v>
      </c>
      <c r="Y12" s="4"/>
      <c r="Z12" s="12">
        <f t="shared" ref="Z12:Z18" si="3">IF(T12=0,0,X12/T12)</f>
        <v>-1.6344753584590022E-2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--17893.59</f>
        <v>17893.59</v>
      </c>
      <c r="E13" s="2"/>
      <c r="F13" s="19"/>
      <c r="G13" s="2"/>
      <c r="H13" s="2">
        <f>--18235.06</f>
        <v>18235.060000000001</v>
      </c>
      <c r="I13" s="2"/>
      <c r="J13" s="19"/>
      <c r="K13" s="2"/>
      <c r="L13" s="2">
        <f t="shared" si="0"/>
        <v>-341.47000000000116</v>
      </c>
      <c r="M13" s="2"/>
      <c r="N13" s="19">
        <f t="shared" si="1"/>
        <v>-1.8726014611413461E-2</v>
      </c>
      <c r="O13" s="11"/>
      <c r="P13" s="2">
        <f>--28161.94</f>
        <v>28161.94</v>
      </c>
      <c r="Q13" s="2"/>
      <c r="R13" s="19"/>
      <c r="S13" s="2"/>
      <c r="T13" s="2">
        <f>--28668.54</f>
        <v>28668.54</v>
      </c>
      <c r="U13" s="2"/>
      <c r="V13" s="19"/>
      <c r="W13" s="2"/>
      <c r="X13" s="2">
        <f t="shared" si="2"/>
        <v>-506.60000000000218</v>
      </c>
      <c r="Y13" s="2"/>
      <c r="Z13" s="19">
        <f t="shared" si="3"/>
        <v>-1.7670938247988988E-2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>--503.93</f>
        <v>503.93</v>
      </c>
      <c r="E14" s="2"/>
      <c r="F14" s="19"/>
      <c r="G14" s="2"/>
      <c r="H14" s="2">
        <f>--252.51</f>
        <v>252.51</v>
      </c>
      <c r="I14" s="2"/>
      <c r="J14" s="19"/>
      <c r="K14" s="2"/>
      <c r="L14" s="2">
        <f t="shared" si="0"/>
        <v>251.42000000000002</v>
      </c>
      <c r="M14" s="2"/>
      <c r="N14" s="19">
        <f t="shared" si="1"/>
        <v>0.99568333927369224</v>
      </c>
      <c r="O14" s="11"/>
      <c r="P14" s="2">
        <f>--1150.33</f>
        <v>1150.33</v>
      </c>
      <c r="Q14" s="2"/>
      <c r="R14" s="19"/>
      <c r="S14" s="2"/>
      <c r="T14" s="2">
        <f>--749.37</f>
        <v>749.37</v>
      </c>
      <c r="U14" s="2"/>
      <c r="V14" s="19"/>
      <c r="W14" s="2"/>
      <c r="X14" s="2">
        <f t="shared" si="2"/>
        <v>400.95999999999992</v>
      </c>
      <c r="Y14" s="2"/>
      <c r="Z14" s="19">
        <f t="shared" si="3"/>
        <v>0.53506278607363511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>--65627.96</f>
        <v>65627.960000000006</v>
      </c>
      <c r="E15" s="2"/>
      <c r="F15" s="19"/>
      <c r="G15" s="2"/>
      <c r="H15" s="2">
        <f>--66953.4</f>
        <v>66953.399999999994</v>
      </c>
      <c r="I15" s="2"/>
      <c r="J15" s="19"/>
      <c r="K15" s="2"/>
      <c r="L15" s="2">
        <f t="shared" si="0"/>
        <v>-1325.4399999999878</v>
      </c>
      <c r="M15" s="2"/>
      <c r="N15" s="19">
        <f t="shared" si="1"/>
        <v>-1.9796455445130312E-2</v>
      </c>
      <c r="O15" s="11"/>
      <c r="P15" s="2">
        <f>--105584.03</f>
        <v>105584.03</v>
      </c>
      <c r="Q15" s="2"/>
      <c r="R15" s="19"/>
      <c r="S15" s="2"/>
      <c r="T15" s="2">
        <f>--107521.72</f>
        <v>107521.72</v>
      </c>
      <c r="U15" s="2"/>
      <c r="V15" s="19"/>
      <c r="W15" s="2"/>
      <c r="X15" s="2">
        <f t="shared" si="2"/>
        <v>-1937.6900000000023</v>
      </c>
      <c r="Y15" s="2"/>
      <c r="Z15" s="19">
        <f t="shared" si="3"/>
        <v>-1.8021382098426273E-2</v>
      </c>
    </row>
    <row r="16" spans="1:26" s="24" customFormat="1" hidden="1" outlineLevel="1" x14ac:dyDescent="0.25">
      <c r="A16" s="44"/>
      <c r="B16" s="11" t="str">
        <f>CONCATENATE("          ", "4134", " - ", "NON-TAXABLE SALES-SODA")</f>
        <v xml:space="preserve">          4134 - NON-TAXABLE SALES-SODA</v>
      </c>
      <c r="C16" s="11"/>
      <c r="D16" s="2">
        <f>--3.78</f>
        <v>3.78</v>
      </c>
      <c r="E16" s="2"/>
      <c r="F16" s="19"/>
      <c r="G16" s="2"/>
      <c r="H16" s="2">
        <f>--5.2</f>
        <v>5.2</v>
      </c>
      <c r="I16" s="2"/>
      <c r="J16" s="19"/>
      <c r="K16" s="2"/>
      <c r="L16" s="2">
        <f t="shared" si="0"/>
        <v>-1.4200000000000004</v>
      </c>
      <c r="M16" s="2"/>
      <c r="N16" s="19">
        <f t="shared" si="1"/>
        <v>-0.27307692307692316</v>
      </c>
      <c r="O16" s="11"/>
      <c r="P16" s="2">
        <f>--0.39</f>
        <v>0.39</v>
      </c>
      <c r="Q16" s="2"/>
      <c r="R16" s="19"/>
      <c r="S16" s="2"/>
      <c r="T16" s="2">
        <f>--53.94</f>
        <v>53.94</v>
      </c>
      <c r="U16" s="2"/>
      <c r="V16" s="19"/>
      <c r="W16" s="2"/>
      <c r="X16" s="2">
        <f t="shared" si="2"/>
        <v>-53.55</v>
      </c>
      <c r="Y16" s="2"/>
      <c r="Z16" s="19">
        <f t="shared" si="3"/>
        <v>-0.99276974416017794</v>
      </c>
    </row>
    <row r="17" spans="1:26" s="24" customFormat="1" hidden="1" outlineLevel="1" x14ac:dyDescent="0.25">
      <c r="A17" s="44"/>
      <c r="B17" s="11" t="str">
        <f>CONCATENATE("          ", "4137", " - ", "NON-TAXABLE SALES-WATER")</f>
        <v xml:space="preserve">          4137 - NON-TAXABLE SALES-WATER</v>
      </c>
      <c r="C17" s="11"/>
      <c r="D17" s="2">
        <f>--237.57</f>
        <v>237.57</v>
      </c>
      <c r="E17" s="2"/>
      <c r="F17" s="19"/>
      <c r="G17" s="2"/>
      <c r="H17" s="2">
        <f>--241.99</f>
        <v>241.99</v>
      </c>
      <c r="I17" s="2"/>
      <c r="J17" s="19"/>
      <c r="K17" s="2"/>
      <c r="L17" s="2">
        <f t="shared" si="0"/>
        <v>-4.4200000000000159</v>
      </c>
      <c r="M17" s="2"/>
      <c r="N17" s="19">
        <f t="shared" si="1"/>
        <v>-1.8265217570974074E-2</v>
      </c>
      <c r="O17" s="11"/>
      <c r="P17" s="2">
        <f>--621.09</f>
        <v>621.09</v>
      </c>
      <c r="Q17" s="2"/>
      <c r="R17" s="19"/>
      <c r="S17" s="2"/>
      <c r="T17" s="2">
        <f>--777.71</f>
        <v>777.71</v>
      </c>
      <c r="U17" s="2"/>
      <c r="V17" s="19"/>
      <c r="W17" s="2"/>
      <c r="X17" s="2">
        <f t="shared" si="2"/>
        <v>-156.62</v>
      </c>
      <c r="Y17" s="2"/>
      <c r="Z17" s="19">
        <f t="shared" si="3"/>
        <v>-0.20138612079052604</v>
      </c>
    </row>
    <row r="18" spans="1:26" s="24" customFormat="1" hidden="1" outlineLevel="1" x14ac:dyDescent="0.25">
      <c r="A18" s="44"/>
      <c r="B18" s="11" t="str">
        <f>CONCATENATE("          ", "4233", " - ", "SALES RETURN TAXABLE-CANDY")</f>
        <v xml:space="preserve">          4233 - SALES RETURN TAXABLE-CANDY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-1.69</f>
        <v>-1.69</v>
      </c>
      <c r="U18" s="2"/>
      <c r="V18" s="19"/>
      <c r="W18" s="2"/>
      <c r="X18" s="2">
        <f t="shared" si="2"/>
        <v>1.69</v>
      </c>
      <c r="Y18" s="2"/>
      <c r="Z18" s="19">
        <f t="shared" si="3"/>
        <v>-1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5" t="s">
        <v>8</v>
      </c>
      <c r="C20" s="10"/>
      <c r="D20" s="4">
        <f>SUM(OSRRefD16x_0)</f>
        <v>38777.630000000005</v>
      </c>
      <c r="E20" s="4"/>
      <c r="F20" s="12">
        <f t="shared" ref="F20:F22" si="4">IF(D$12=0,0,D20/D$12)</f>
        <v>0.46017667924615174</v>
      </c>
      <c r="G20" s="4"/>
      <c r="H20" s="4">
        <f>SUM(OSRRefH16x_0)</f>
        <v>40493.519999999997</v>
      </c>
      <c r="I20" s="4"/>
      <c r="J20" s="12">
        <f t="shared" ref="J20:J22" si="5">IF(H$12=0,0,H20/H$12)</f>
        <v>0.47256843886016453</v>
      </c>
      <c r="K20" s="4"/>
      <c r="L20" s="4">
        <f t="shared" ref="L20:L22" si="6">+D20-H20</f>
        <v>-1715.8899999999921</v>
      </c>
      <c r="M20" s="4"/>
      <c r="N20" s="12">
        <f t="shared" ref="N20:N22" si="7">IF(H20=0,0,L20/H20)</f>
        <v>-4.2374434230464338E-2</v>
      </c>
      <c r="O20" s="10"/>
      <c r="P20" s="4">
        <f>SUM(OSRRefP16x_0)</f>
        <v>62653.169999999991</v>
      </c>
      <c r="Q20" s="4"/>
      <c r="R20" s="12">
        <f t="shared" ref="R20:R22" si="8">IF(P$12=0,0,P20/P$12)</f>
        <v>0.46232435330625982</v>
      </c>
      <c r="S20" s="4"/>
      <c r="T20" s="4">
        <f>SUM(OSRRefT16x_0)</f>
        <v>58054.74</v>
      </c>
      <c r="U20" s="4"/>
      <c r="V20" s="12">
        <f t="shared" ref="V20:V22" si="9">IF(T$12=0,0,T20/T$12)</f>
        <v>0.42139009051271764</v>
      </c>
      <c r="W20" s="4"/>
      <c r="X20" s="4">
        <f t="shared" ref="X20:X22" si="10">+P20-T20</f>
        <v>4598.429999999993</v>
      </c>
      <c r="Y20" s="4"/>
      <c r="Z20" s="12">
        <f t="shared" ref="Z20:Z22" si="11">IF(T20=0,0,X20/T20)</f>
        <v>7.920851940771749E-2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41057.33</v>
      </c>
      <c r="E21" s="2"/>
      <c r="F21" s="19">
        <f t="shared" si="4"/>
        <v>0.48723002870761833</v>
      </c>
      <c r="G21" s="2"/>
      <c r="H21" s="2">
        <v>41158.39</v>
      </c>
      <c r="I21" s="2"/>
      <c r="J21" s="19">
        <f t="shared" si="5"/>
        <v>0.48032762052540279</v>
      </c>
      <c r="K21" s="2"/>
      <c r="L21" s="2">
        <f t="shared" si="6"/>
        <v>-101.05999999999767</v>
      </c>
      <c r="M21" s="2"/>
      <c r="N21" s="19">
        <f t="shared" si="7"/>
        <v>-2.4553924485383825E-3</v>
      </c>
      <c r="O21" s="11"/>
      <c r="P21" s="2">
        <v>77642.399999999994</v>
      </c>
      <c r="Q21" s="2"/>
      <c r="R21" s="19">
        <f t="shared" si="8"/>
        <v>0.57293146331057077</v>
      </c>
      <c r="S21" s="2"/>
      <c r="T21" s="2">
        <v>70505.89</v>
      </c>
      <c r="U21" s="2"/>
      <c r="V21" s="19">
        <f t="shared" si="9"/>
        <v>0.51176671136206475</v>
      </c>
      <c r="W21" s="2"/>
      <c r="X21" s="2">
        <f t="shared" si="10"/>
        <v>7136.5099999999948</v>
      </c>
      <c r="Y21" s="2"/>
      <c r="Z21" s="19">
        <f t="shared" si="11"/>
        <v>0.10121863577638683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-2279.6999999999998</v>
      </c>
      <c r="E22" s="2"/>
      <c r="F22" s="19">
        <f t="shared" si="4"/>
        <v>-2.7053349461466623E-2</v>
      </c>
      <c r="G22" s="2"/>
      <c r="H22" s="2">
        <v>-664.87</v>
      </c>
      <c r="I22" s="2"/>
      <c r="J22" s="19">
        <f t="shared" si="5"/>
        <v>-7.7591816652382312E-3</v>
      </c>
      <c r="K22" s="2"/>
      <c r="L22" s="2">
        <f t="shared" si="6"/>
        <v>-1614.83</v>
      </c>
      <c r="M22" s="2"/>
      <c r="N22" s="19">
        <f t="shared" si="7"/>
        <v>2.4287905906417793</v>
      </c>
      <c r="O22" s="11"/>
      <c r="P22" s="2">
        <v>-14989.230000000001</v>
      </c>
      <c r="Q22" s="2"/>
      <c r="R22" s="19">
        <f t="shared" si="8"/>
        <v>-0.11060711000431088</v>
      </c>
      <c r="S22" s="2"/>
      <c r="T22" s="2">
        <v>-12451.15</v>
      </c>
      <c r="U22" s="2"/>
      <c r="V22" s="19">
        <f t="shared" si="9"/>
        <v>-9.0376620849347084E-2</v>
      </c>
      <c r="W22" s="2"/>
      <c r="X22" s="2">
        <f t="shared" si="10"/>
        <v>-2538.0800000000017</v>
      </c>
      <c r="Y22" s="2"/>
      <c r="Z22" s="19">
        <f t="shared" si="11"/>
        <v>0.20384301851636208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6</v>
      </c>
      <c r="C24" s="26"/>
      <c r="D24" s="21">
        <f>D12-D20</f>
        <v>45489.200000000012</v>
      </c>
      <c r="E24" s="13"/>
      <c r="F24" s="20">
        <f>IF(D$12=0,0,D24/D$12)</f>
        <v>0.5398233207538482</v>
      </c>
      <c r="G24" s="13"/>
      <c r="H24" s="21">
        <f>H12-H20</f>
        <v>45194.640000000007</v>
      </c>
      <c r="I24" s="13"/>
      <c r="J24" s="20">
        <f>IF(H$12=0,0,H24/H$12)</f>
        <v>0.52743156113983547</v>
      </c>
      <c r="K24" s="15"/>
      <c r="L24" s="21">
        <f>+D24-H24</f>
        <v>294.56000000000495</v>
      </c>
      <c r="M24" s="15"/>
      <c r="N24" s="20">
        <f>IF(H24=0,0,L24/H24)</f>
        <v>6.5175870412952711E-3</v>
      </c>
      <c r="O24" s="25"/>
      <c r="P24" s="21">
        <f>P12-P20</f>
        <v>72864.610000000015</v>
      </c>
      <c r="Q24" s="13"/>
      <c r="R24" s="20">
        <f>IF(P$12=0,0,P24/P$12)</f>
        <v>0.53767564669374024</v>
      </c>
      <c r="S24" s="13"/>
      <c r="T24" s="21">
        <f>T12-T20</f>
        <v>79714.850000000006</v>
      </c>
      <c r="U24" s="13"/>
      <c r="V24" s="20">
        <f>IF(T$12=0,0,T24/T$12)</f>
        <v>0.57860990948728241</v>
      </c>
      <c r="W24" s="15"/>
      <c r="X24" s="21">
        <f>+P24-T24</f>
        <v>-6850.2399999999907</v>
      </c>
      <c r="Y24" s="15"/>
      <c r="Z24" s="20">
        <f>IF(T24=0,0,X24/T24)</f>
        <v>-8.5934302077969038E-2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9</v>
      </c>
      <c r="C26" s="10"/>
      <c r="D26" s="22">
        <f>SUM(OSRRefD22x_0)</f>
        <v>20070.79</v>
      </c>
      <c r="E26" s="22"/>
      <c r="F26" s="34">
        <f t="shared" ref="F26:F35" si="12">IF(D$12=0,0,D26/D$12)</f>
        <v>0.23818138168956868</v>
      </c>
      <c r="G26" s="22"/>
      <c r="H26" s="22">
        <f>SUM(OSRRefH22x_0)</f>
        <v>21167.79</v>
      </c>
      <c r="I26" s="22"/>
      <c r="J26" s="34">
        <f t="shared" ref="J26:J35" si="13">IF(H$12=0,0,H26/H$12)</f>
        <v>0.24703284561134234</v>
      </c>
      <c r="K26" s="4"/>
      <c r="L26" s="22">
        <f t="shared" ref="L26:L35" si="14">+D26-H26</f>
        <v>-1097</v>
      </c>
      <c r="M26" s="4"/>
      <c r="N26" s="34">
        <f t="shared" ref="N26:N35" si="15">IF(H26=0,0,L26/H26)</f>
        <v>-5.1824021307845552E-2</v>
      </c>
      <c r="O26" s="10"/>
      <c r="P26" s="22">
        <f>SUM(OSRRefP22x_0)</f>
        <v>54154.529999999992</v>
      </c>
      <c r="Q26" s="22"/>
      <c r="R26" s="34">
        <f t="shared" ref="R26:R35" si="16">IF(P$12=0,0,P26/P$12)</f>
        <v>0.39961199187294827</v>
      </c>
      <c r="S26" s="22"/>
      <c r="T26" s="22">
        <f>SUM(OSRRefT22x_0)</f>
        <v>59950.909999999996</v>
      </c>
      <c r="U26" s="22"/>
      <c r="V26" s="34">
        <f t="shared" ref="V26:V35" si="17">IF(T$12=0,0,T26/T$12)</f>
        <v>0.43515343262616951</v>
      </c>
      <c r="W26" s="4"/>
      <c r="X26" s="22">
        <f t="shared" ref="X26:X35" si="18">+P26-T26</f>
        <v>-5796.3800000000047</v>
      </c>
      <c r="Y26" s="4"/>
      <c r="Z26" s="34">
        <f t="shared" ref="Z26:Z35" si="19">IF(T26=0,0,X26/T26)</f>
        <v>-9.6685438135968332E-2</v>
      </c>
    </row>
    <row r="27" spans="1:26" s="29" customFormat="1" outlineLevel="1" collapsed="1" x14ac:dyDescent="0.25">
      <c r="A27" s="27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4110.2599999999993</v>
      </c>
      <c r="E27" s="1"/>
      <c r="F27" s="5">
        <f t="shared" si="12"/>
        <v>4.8776725076759127E-2</v>
      </c>
      <c r="G27" s="1"/>
      <c r="H27" s="1">
        <f>SUM(OSRRefH22_0x_0)</f>
        <v>4091.33</v>
      </c>
      <c r="I27" s="1"/>
      <c r="J27" s="5">
        <f t="shared" si="13"/>
        <v>4.7746736538630305E-2</v>
      </c>
      <c r="K27" s="1"/>
      <c r="L27" s="1">
        <f t="shared" si="14"/>
        <v>18.929999999999382</v>
      </c>
      <c r="M27" s="1"/>
      <c r="N27" s="5">
        <f t="shared" si="15"/>
        <v>4.6268572811284797E-3</v>
      </c>
      <c r="O27" s="14"/>
      <c r="P27" s="1">
        <f>SUM(OSRRefP22_0x_0)</f>
        <v>12872.19</v>
      </c>
      <c r="Q27" s="1"/>
      <c r="R27" s="5">
        <f t="shared" si="16"/>
        <v>9.4985248430132202E-2</v>
      </c>
      <c r="S27" s="1"/>
      <c r="T27" s="1">
        <f>SUM(OSRRefT22_0x_0)</f>
        <v>12084.380000000003</v>
      </c>
      <c r="U27" s="1"/>
      <c r="V27" s="5">
        <f t="shared" si="17"/>
        <v>8.7714422319178004E-2</v>
      </c>
      <c r="W27" s="1"/>
      <c r="X27" s="1">
        <f t="shared" si="18"/>
        <v>787.80999999999767</v>
      </c>
      <c r="Y27" s="1"/>
      <c r="Z27" s="5">
        <f t="shared" si="19"/>
        <v>6.5192421952967178E-2</v>
      </c>
    </row>
    <row r="28" spans="1:26" s="24" customFormat="1" hidden="1" outlineLevel="2" x14ac:dyDescent="0.25">
      <c r="A28" s="28"/>
      <c r="B28" s="11" t="str">
        <f>CONCATENATE("          ", "6111", " - ", "F.I.C.A.")</f>
        <v xml:space="preserve">          6111 - F.I.C.A.</v>
      </c>
      <c r="C28" s="11"/>
      <c r="D28" s="6">
        <v>453.12</v>
      </c>
      <c r="E28" s="2"/>
      <c r="F28" s="7">
        <f t="shared" si="12"/>
        <v>5.3772047672850628E-3</v>
      </c>
      <c r="G28" s="2"/>
      <c r="H28" s="6">
        <v>730.42</v>
      </c>
      <c r="I28" s="2"/>
      <c r="J28" s="7">
        <f t="shared" si="13"/>
        <v>8.524164832107493E-3</v>
      </c>
      <c r="K28" s="2"/>
      <c r="L28" s="6">
        <f t="shared" si="14"/>
        <v>-277.29999999999995</v>
      </c>
      <c r="M28" s="2"/>
      <c r="N28" s="7">
        <f t="shared" si="15"/>
        <v>-0.37964458804523421</v>
      </c>
      <c r="O28" s="11"/>
      <c r="P28" s="6">
        <v>1357.22</v>
      </c>
      <c r="Q28" s="2"/>
      <c r="R28" s="7">
        <f t="shared" si="16"/>
        <v>1.001506960931621E-2</v>
      </c>
      <c r="S28" s="2"/>
      <c r="T28" s="6">
        <v>2221.08</v>
      </c>
      <c r="U28" s="2"/>
      <c r="V28" s="7">
        <f t="shared" si="17"/>
        <v>1.6121700006510871E-2</v>
      </c>
      <c r="W28" s="2"/>
      <c r="X28" s="6">
        <f t="shared" si="18"/>
        <v>-863.8599999999999</v>
      </c>
      <c r="Y28" s="2"/>
      <c r="Z28" s="7">
        <f t="shared" si="19"/>
        <v>-0.38893691357357679</v>
      </c>
    </row>
    <row r="29" spans="1:26" s="24" customFormat="1" hidden="1" outlineLevel="2" x14ac:dyDescent="0.25">
      <c r="A29" s="28"/>
      <c r="B29" s="11" t="str">
        <f>CONCATENATE("          ", "6112", " - ", "COMPENSATION INSURANCE")</f>
        <v xml:space="preserve">          6112 - COMPENSATION INSURANCE</v>
      </c>
      <c r="C29" s="11"/>
      <c r="D29" s="6">
        <v>203.11</v>
      </c>
      <c r="E29" s="2"/>
      <c r="F29" s="7">
        <f t="shared" si="12"/>
        <v>2.4103196951872994E-3</v>
      </c>
      <c r="G29" s="2"/>
      <c r="H29" s="6"/>
      <c r="I29" s="2"/>
      <c r="J29" s="7">
        <f t="shared" si="13"/>
        <v>0</v>
      </c>
      <c r="K29" s="2"/>
      <c r="L29" s="6">
        <f t="shared" si="14"/>
        <v>203.11</v>
      </c>
      <c r="M29" s="2"/>
      <c r="N29" s="7">
        <f t="shared" si="15"/>
        <v>0</v>
      </c>
      <c r="O29" s="11"/>
      <c r="P29" s="6">
        <v>501.61</v>
      </c>
      <c r="Q29" s="2"/>
      <c r="R29" s="7">
        <f t="shared" si="16"/>
        <v>3.7014331256016741E-3</v>
      </c>
      <c r="S29" s="2"/>
      <c r="T29" s="6">
        <v>241.63</v>
      </c>
      <c r="U29" s="2"/>
      <c r="V29" s="7">
        <f t="shared" si="17"/>
        <v>1.7538703570214589E-3</v>
      </c>
      <c r="W29" s="2"/>
      <c r="X29" s="6">
        <f t="shared" si="18"/>
        <v>259.98</v>
      </c>
      <c r="Y29" s="2"/>
      <c r="Z29" s="7">
        <f t="shared" si="19"/>
        <v>1.0759425568017218</v>
      </c>
    </row>
    <row r="30" spans="1:26" s="24" customFormat="1" hidden="1" outlineLevel="2" x14ac:dyDescent="0.25">
      <c r="A30" s="28"/>
      <c r="B30" s="11" t="str">
        <f>CONCATENATE("          ", "6113", " - ", "GROUP INSURANCE")</f>
        <v xml:space="preserve">          6113 - GROUP INSURANCE</v>
      </c>
      <c r="C30" s="11"/>
      <c r="D30" s="6">
        <v>2019.97</v>
      </c>
      <c r="E30" s="2"/>
      <c r="F30" s="7">
        <f t="shared" si="12"/>
        <v>2.3971116511680806E-2</v>
      </c>
      <c r="G30" s="2"/>
      <c r="H30" s="6">
        <v>2019.97</v>
      </c>
      <c r="I30" s="2"/>
      <c r="J30" s="7">
        <f t="shared" si="13"/>
        <v>2.3573501870036654E-2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>
        <v>6059.91</v>
      </c>
      <c r="Q30" s="2"/>
      <c r="R30" s="7">
        <f t="shared" si="16"/>
        <v>4.47167154007393E-2</v>
      </c>
      <c r="S30" s="2"/>
      <c r="T30" s="6">
        <v>4789.38</v>
      </c>
      <c r="U30" s="2"/>
      <c r="V30" s="7">
        <f t="shared" si="17"/>
        <v>3.4763694948936122E-2</v>
      </c>
      <c r="W30" s="2"/>
      <c r="X30" s="6">
        <f t="shared" si="18"/>
        <v>1270.5299999999997</v>
      </c>
      <c r="Y30" s="2"/>
      <c r="Z30" s="7">
        <f t="shared" si="19"/>
        <v>0.26528068351227085</v>
      </c>
    </row>
    <row r="31" spans="1:26" s="24" customFormat="1" hidden="1" outlineLevel="2" x14ac:dyDescent="0.25">
      <c r="A31" s="28"/>
      <c r="B31" s="11" t="str">
        <f>CONCATENATE("          ", "6114", " - ", "STATE UNEMPLOYMENT INSURANCE")</f>
        <v xml:space="preserve">          6114 - STATE UNEMPLOYMENT INSURANCE</v>
      </c>
      <c r="C31" s="11"/>
      <c r="D31" s="6">
        <v>27.79</v>
      </c>
      <c r="E31" s="2"/>
      <c r="F31" s="7">
        <f t="shared" si="12"/>
        <v>3.2978575318426E-4</v>
      </c>
      <c r="G31" s="2"/>
      <c r="H31" s="6">
        <v>38.020000000000003</v>
      </c>
      <c r="I31" s="2"/>
      <c r="J31" s="7">
        <f t="shared" si="13"/>
        <v>4.4370190700792272E-4</v>
      </c>
      <c r="K31" s="2"/>
      <c r="L31" s="6">
        <f t="shared" si="14"/>
        <v>-10.230000000000004</v>
      </c>
      <c r="M31" s="2"/>
      <c r="N31" s="7">
        <f t="shared" si="15"/>
        <v>-0.26906891109942144</v>
      </c>
      <c r="O31" s="11"/>
      <c r="P31" s="6">
        <v>68.290000000000006</v>
      </c>
      <c r="Q31" s="2"/>
      <c r="R31" s="7">
        <f t="shared" si="16"/>
        <v>5.0391911673877785E-4</v>
      </c>
      <c r="S31" s="2"/>
      <c r="T31" s="6">
        <v>108.09</v>
      </c>
      <c r="U31" s="2"/>
      <c r="V31" s="7">
        <f t="shared" si="17"/>
        <v>7.8457081856743568E-4</v>
      </c>
      <c r="W31" s="2"/>
      <c r="X31" s="6">
        <f t="shared" si="18"/>
        <v>-39.799999999999997</v>
      </c>
      <c r="Y31" s="2"/>
      <c r="Z31" s="7">
        <f t="shared" si="19"/>
        <v>-0.36821167545563876</v>
      </c>
    </row>
    <row r="32" spans="1:26" s="24" customFormat="1" hidden="1" outlineLevel="2" x14ac:dyDescent="0.25">
      <c r="A32" s="28"/>
      <c r="B32" s="11" t="str">
        <f>CONCATENATE("          ", "6115", " - ", "P.E.R.S.")</f>
        <v xml:space="preserve">          6115 - P.E.R.S.</v>
      </c>
      <c r="C32" s="11"/>
      <c r="D32" s="6">
        <v>568.97</v>
      </c>
      <c r="E32" s="2"/>
      <c r="F32" s="7">
        <f t="shared" si="12"/>
        <v>6.752004317713149E-3</v>
      </c>
      <c r="G32" s="2"/>
      <c r="H32" s="6">
        <v>508.51</v>
      </c>
      <c r="I32" s="2"/>
      <c r="J32" s="7">
        <f t="shared" si="13"/>
        <v>5.9344254795528342E-3</v>
      </c>
      <c r="K32" s="2"/>
      <c r="L32" s="6">
        <f t="shared" si="14"/>
        <v>60.460000000000036</v>
      </c>
      <c r="M32" s="2"/>
      <c r="N32" s="7">
        <f t="shared" si="15"/>
        <v>0.11889638355194596</v>
      </c>
      <c r="O32" s="11"/>
      <c r="P32" s="6">
        <v>1706.91</v>
      </c>
      <c r="Q32" s="2"/>
      <c r="R32" s="7">
        <f t="shared" si="16"/>
        <v>1.2595469022588771E-2</v>
      </c>
      <c r="S32" s="2"/>
      <c r="T32" s="6">
        <v>1772.38</v>
      </c>
      <c r="U32" s="2"/>
      <c r="V32" s="7">
        <f t="shared" si="17"/>
        <v>1.2864812909728483E-2</v>
      </c>
      <c r="W32" s="2"/>
      <c r="X32" s="6">
        <f t="shared" si="18"/>
        <v>-65.470000000000027</v>
      </c>
      <c r="Y32" s="2"/>
      <c r="Z32" s="7">
        <f t="shared" si="19"/>
        <v>-3.6939031133278427E-2</v>
      </c>
    </row>
    <row r="33" spans="1:26" s="24" customFormat="1" hidden="1" outlineLevel="2" x14ac:dyDescent="0.25">
      <c r="A33" s="28"/>
      <c r="B33" s="11" t="str">
        <f>CONCATENATE("          ", "6118", " - ", "VACATION")</f>
        <v xml:space="preserve">          6118 - VACATION</v>
      </c>
      <c r="C33" s="11"/>
      <c r="D33" s="6">
        <v>407.06</v>
      </c>
      <c r="E33" s="2"/>
      <c r="F33" s="7">
        <f t="shared" si="12"/>
        <v>4.8306077254834422E-3</v>
      </c>
      <c r="G33" s="2"/>
      <c r="H33" s="6">
        <v>395.2</v>
      </c>
      <c r="I33" s="2"/>
      <c r="J33" s="7">
        <f t="shared" si="13"/>
        <v>4.6120724263422151E-3</v>
      </c>
      <c r="K33" s="2"/>
      <c r="L33" s="6">
        <f t="shared" si="14"/>
        <v>11.860000000000014</v>
      </c>
      <c r="M33" s="2"/>
      <c r="N33" s="7">
        <f t="shared" si="15"/>
        <v>3.0010121457489915E-2</v>
      </c>
      <c r="O33" s="11"/>
      <c r="P33" s="6">
        <v>1530.07</v>
      </c>
      <c r="Q33" s="2"/>
      <c r="R33" s="7">
        <f t="shared" si="16"/>
        <v>1.1290548000417362E-2</v>
      </c>
      <c r="S33" s="2"/>
      <c r="T33" s="6">
        <v>1425.38</v>
      </c>
      <c r="U33" s="2"/>
      <c r="V33" s="7">
        <f t="shared" si="17"/>
        <v>1.0346114842905464E-2</v>
      </c>
      <c r="W33" s="2"/>
      <c r="X33" s="6">
        <f t="shared" si="18"/>
        <v>104.68999999999983</v>
      </c>
      <c r="Y33" s="2"/>
      <c r="Z33" s="7">
        <f t="shared" si="19"/>
        <v>7.3447080778458948E-2</v>
      </c>
    </row>
    <row r="34" spans="1:26" s="24" customFormat="1" hidden="1" outlineLevel="2" x14ac:dyDescent="0.25">
      <c r="A34" s="28"/>
      <c r="B34" s="11" t="str">
        <f>CONCATENATE("          ", "6119", " - ", "SICK LEAVE")</f>
        <v xml:space="preserve">          6119 - SICK LEAVE</v>
      </c>
      <c r="C34" s="11"/>
      <c r="D34" s="6">
        <v>256.76</v>
      </c>
      <c r="E34" s="2"/>
      <c r="F34" s="7">
        <f t="shared" si="12"/>
        <v>3.0469877649366892E-3</v>
      </c>
      <c r="G34" s="2"/>
      <c r="H34" s="6">
        <v>249.28</v>
      </c>
      <c r="I34" s="2"/>
      <c r="J34" s="7">
        <f t="shared" si="13"/>
        <v>2.909153376615859E-3</v>
      </c>
      <c r="K34" s="2"/>
      <c r="L34" s="6">
        <f t="shared" si="14"/>
        <v>7.4799999999999898</v>
      </c>
      <c r="M34" s="2"/>
      <c r="N34" s="7">
        <f t="shared" si="15"/>
        <v>3.0006418485237444E-2</v>
      </c>
      <c r="O34" s="11"/>
      <c r="P34" s="6">
        <v>1174.7</v>
      </c>
      <c r="Q34" s="2"/>
      <c r="R34" s="7">
        <f t="shared" si="16"/>
        <v>8.6682352677264936E-3</v>
      </c>
      <c r="S34" s="2"/>
      <c r="T34" s="6">
        <v>1077.57</v>
      </c>
      <c r="U34" s="2"/>
      <c r="V34" s="7">
        <f t="shared" si="17"/>
        <v>7.8215373944279E-3</v>
      </c>
      <c r="W34" s="2"/>
      <c r="X34" s="6">
        <f t="shared" si="18"/>
        <v>97.130000000000109</v>
      </c>
      <c r="Y34" s="2"/>
      <c r="Z34" s="7">
        <f t="shared" si="19"/>
        <v>9.0137995675455065E-2</v>
      </c>
    </row>
    <row r="35" spans="1:26" s="24" customFormat="1" hidden="1" outlineLevel="2" x14ac:dyDescent="0.25">
      <c r="A35" s="28"/>
      <c r="B35" s="11" t="str">
        <f>CONCATENATE("          ", "6156", " - ", "EMPLOYEE MEALS")</f>
        <v xml:space="preserve">          6156 - EMPLOYEE MEALS</v>
      </c>
      <c r="C35" s="11"/>
      <c r="D35" s="6">
        <v>173.48</v>
      </c>
      <c r="E35" s="2"/>
      <c r="F35" s="7">
        <f t="shared" si="12"/>
        <v>2.058698541288428E-3</v>
      </c>
      <c r="G35" s="2"/>
      <c r="H35" s="6">
        <v>149.93</v>
      </c>
      <c r="I35" s="2"/>
      <c r="J35" s="7">
        <f t="shared" si="13"/>
        <v>1.749716646967329E-3</v>
      </c>
      <c r="K35" s="2"/>
      <c r="L35" s="6">
        <f t="shared" si="14"/>
        <v>23.549999999999983</v>
      </c>
      <c r="M35" s="2"/>
      <c r="N35" s="7">
        <f t="shared" si="15"/>
        <v>0.15707330087374097</v>
      </c>
      <c r="O35" s="11"/>
      <c r="P35" s="6">
        <v>473.48</v>
      </c>
      <c r="Q35" s="2"/>
      <c r="R35" s="7">
        <f t="shared" si="16"/>
        <v>3.4938588870036097E-3</v>
      </c>
      <c r="S35" s="2"/>
      <c r="T35" s="6">
        <v>448.87</v>
      </c>
      <c r="U35" s="2"/>
      <c r="V35" s="7">
        <f t="shared" si="17"/>
        <v>3.2581210410802561E-3</v>
      </c>
      <c r="W35" s="2"/>
      <c r="X35" s="6">
        <f t="shared" si="18"/>
        <v>24.610000000000014</v>
      </c>
      <c r="Y35" s="2"/>
      <c r="Z35" s="7">
        <f t="shared" si="19"/>
        <v>5.4826564484149118E-2</v>
      </c>
    </row>
    <row r="36" spans="1:26" s="29" customFormat="1" outlineLevel="1" collapsed="1" x14ac:dyDescent="0.25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11891.64</v>
      </c>
      <c r="E36" s="1"/>
      <c r="F36" s="5">
        <f t="shared" ref="F36:F41" si="20">IF(D$12=0,0,D36/D$12)</f>
        <v>0.14111887204016096</v>
      </c>
      <c r="G36" s="1"/>
      <c r="H36" s="1">
        <f>SUM(OSRRefH22_1x_0)</f>
        <v>14274.460000000001</v>
      </c>
      <c r="I36" s="1"/>
      <c r="J36" s="5">
        <f t="shared" ref="J36:J41" si="21">IF(H$12=0,0,H36/H$12)</f>
        <v>0.16658614212278569</v>
      </c>
      <c r="K36" s="1"/>
      <c r="L36" s="1">
        <f t="shared" ref="L36:L41" si="22">+D36-H36</f>
        <v>-2382.8200000000015</v>
      </c>
      <c r="M36" s="1"/>
      <c r="N36" s="5">
        <f t="shared" ref="N36:N41" si="23">IF(H36=0,0,L36/H36)</f>
        <v>-0.16692890659261375</v>
      </c>
      <c r="O36" s="14"/>
      <c r="P36" s="1">
        <f>SUM(OSRRefP22_1x_0)</f>
        <v>31128.699999999997</v>
      </c>
      <c r="Q36" s="1"/>
      <c r="R36" s="5">
        <f t="shared" ref="R36:R41" si="24">IF(P$12=0,0,P36/P$12)</f>
        <v>0.22970196235505036</v>
      </c>
      <c r="S36" s="1"/>
      <c r="T36" s="1">
        <f>SUM(OSRRefT22_1x_0)</f>
        <v>40900.629999999997</v>
      </c>
      <c r="U36" s="1"/>
      <c r="V36" s="5">
        <f t="shared" ref="V36:V41" si="25">IF(T$12=0,0,T36/T$12)</f>
        <v>0.29687705392750313</v>
      </c>
      <c r="W36" s="1"/>
      <c r="X36" s="1">
        <f t="shared" ref="X36:X41" si="26">+P36-T36</f>
        <v>-9771.93</v>
      </c>
      <c r="Y36" s="1"/>
      <c r="Z36" s="5">
        <f t="shared" ref="Z36:Z41" si="27">IF(T36=0,0,X36/T36)</f>
        <v>-0.23891881371998427</v>
      </c>
    </row>
    <row r="37" spans="1:26" s="24" customFormat="1" hidden="1" outlineLevel="2" x14ac:dyDescent="0.25">
      <c r="A37" s="28"/>
      <c r="B37" s="11" t="str">
        <f>CONCATENATE("          ", "6002", " - ", "STAFF SALARIES")</f>
        <v xml:space="preserve">          6002 - STAFF SALARIES</v>
      </c>
      <c r="C37" s="11"/>
      <c r="D37" s="6">
        <v>5009.99</v>
      </c>
      <c r="E37" s="2"/>
      <c r="F37" s="7">
        <f t="shared" si="20"/>
        <v>5.9453880014235717E-2</v>
      </c>
      <c r="G37" s="2"/>
      <c r="H37" s="6">
        <v>4864.07</v>
      </c>
      <c r="I37" s="2"/>
      <c r="J37" s="7">
        <f t="shared" si="21"/>
        <v>5.6764785239874438E-2</v>
      </c>
      <c r="K37" s="2"/>
      <c r="L37" s="6">
        <f t="shared" si="22"/>
        <v>145.92000000000007</v>
      </c>
      <c r="M37" s="2"/>
      <c r="N37" s="7">
        <f t="shared" si="23"/>
        <v>2.9999568262792289E-2</v>
      </c>
      <c r="O37" s="11"/>
      <c r="P37" s="6">
        <v>16804.689999999999</v>
      </c>
      <c r="Q37" s="2"/>
      <c r="R37" s="7">
        <f t="shared" si="24"/>
        <v>0.12400358093233227</v>
      </c>
      <c r="S37" s="2"/>
      <c r="T37" s="6">
        <v>16044.529999999999</v>
      </c>
      <c r="U37" s="2"/>
      <c r="V37" s="7">
        <f t="shared" si="25"/>
        <v>0.11645915473799406</v>
      </c>
      <c r="W37" s="2"/>
      <c r="X37" s="6">
        <f t="shared" si="26"/>
        <v>760.15999999999985</v>
      </c>
      <c r="Y37" s="2"/>
      <c r="Z37" s="7">
        <f t="shared" si="27"/>
        <v>4.7378140712130548E-2</v>
      </c>
    </row>
    <row r="38" spans="1:26" s="24" customFormat="1" hidden="1" outlineLevel="2" x14ac:dyDescent="0.25">
      <c r="A38" s="28"/>
      <c r="B38" s="11" t="str">
        <f>CONCATENATE("          ", "6005", " - ", "TEMPORARY WAGES-HOURLY")</f>
        <v xml:space="preserve">          6005 - TEMPORARY WAGES-HOURLY</v>
      </c>
      <c r="C38" s="11"/>
      <c r="D38" s="6">
        <v>358.7</v>
      </c>
      <c r="E38" s="2"/>
      <c r="F38" s="7">
        <f t="shared" si="20"/>
        <v>4.2567164327885591E-3</v>
      </c>
      <c r="G38" s="2"/>
      <c r="H38" s="6">
        <v>5033.72</v>
      </c>
      <c r="I38" s="2"/>
      <c r="J38" s="7">
        <f t="shared" si="21"/>
        <v>5.8744638699208852E-2</v>
      </c>
      <c r="K38" s="2"/>
      <c r="L38" s="6">
        <f t="shared" si="22"/>
        <v>-4675.0200000000004</v>
      </c>
      <c r="M38" s="2"/>
      <c r="N38" s="7">
        <f t="shared" si="23"/>
        <v>-0.9287405735718316</v>
      </c>
      <c r="O38" s="11"/>
      <c r="P38" s="6">
        <v>517.32000000000005</v>
      </c>
      <c r="Q38" s="2"/>
      <c r="R38" s="7">
        <f t="shared" si="24"/>
        <v>3.8173588734998465E-3</v>
      </c>
      <c r="S38" s="2"/>
      <c r="T38" s="6">
        <v>14940.990000000002</v>
      </c>
      <c r="U38" s="2"/>
      <c r="V38" s="7">
        <f t="shared" si="25"/>
        <v>0.1084491142058273</v>
      </c>
      <c r="W38" s="2"/>
      <c r="X38" s="6">
        <f t="shared" si="26"/>
        <v>-14423.670000000002</v>
      </c>
      <c r="Y38" s="2"/>
      <c r="Z38" s="7">
        <f t="shared" si="27"/>
        <v>-0.96537578835137428</v>
      </c>
    </row>
    <row r="39" spans="1:26" s="24" customFormat="1" hidden="1" outlineLevel="2" x14ac:dyDescent="0.25">
      <c r="A39" s="28"/>
      <c r="B39" s="11" t="str">
        <f>CONCATENATE("          ", "6006", " - ", "TEMPORARY PART TIME")</f>
        <v xml:space="preserve">          6006 - TEMPORARY PART TIME</v>
      </c>
      <c r="C39" s="11"/>
      <c r="D39" s="6">
        <v>714</v>
      </c>
      <c r="E39" s="2"/>
      <c r="F39" s="7">
        <f t="shared" si="20"/>
        <v>8.4730848425175111E-3</v>
      </c>
      <c r="G39" s="2"/>
      <c r="H39" s="6"/>
      <c r="I39" s="2"/>
      <c r="J39" s="7">
        <f t="shared" si="21"/>
        <v>0</v>
      </c>
      <c r="K39" s="2"/>
      <c r="L39" s="6">
        <f t="shared" si="22"/>
        <v>714</v>
      </c>
      <c r="M39" s="2"/>
      <c r="N39" s="7">
        <f t="shared" si="23"/>
        <v>0</v>
      </c>
      <c r="O39" s="11"/>
      <c r="P39" s="6">
        <v>870.19</v>
      </c>
      <c r="Q39" s="2"/>
      <c r="R39" s="7">
        <f t="shared" si="24"/>
        <v>6.4212238423622349E-3</v>
      </c>
      <c r="S39" s="2"/>
      <c r="T39" s="6"/>
      <c r="U39" s="2"/>
      <c r="V39" s="7">
        <f t="shared" si="25"/>
        <v>0</v>
      </c>
      <c r="W39" s="2"/>
      <c r="X39" s="6">
        <f t="shared" si="26"/>
        <v>870.19</v>
      </c>
      <c r="Y39" s="2"/>
      <c r="Z39" s="7">
        <f t="shared" si="27"/>
        <v>0</v>
      </c>
    </row>
    <row r="40" spans="1:26" s="24" customFormat="1" hidden="1" outlineLevel="2" x14ac:dyDescent="0.25">
      <c r="A40" s="28"/>
      <c r="B40" s="11" t="str">
        <f>CONCATENATE("          ", "6007", " - ", "STUDENT HOURLY")</f>
        <v xml:space="preserve">          6007 - STUDENT HOURLY</v>
      </c>
      <c r="C40" s="11"/>
      <c r="D40" s="6">
        <v>5725.7</v>
      </c>
      <c r="E40" s="2"/>
      <c r="F40" s="7">
        <f t="shared" si="20"/>
        <v>6.7947257538939085E-2</v>
      </c>
      <c r="G40" s="2"/>
      <c r="H40" s="6">
        <v>3527.73</v>
      </c>
      <c r="I40" s="2"/>
      <c r="J40" s="7">
        <f t="shared" si="21"/>
        <v>4.1169398432642265E-2</v>
      </c>
      <c r="K40" s="2"/>
      <c r="L40" s="6">
        <f t="shared" si="22"/>
        <v>2197.9699999999998</v>
      </c>
      <c r="M40" s="2"/>
      <c r="N40" s="7">
        <f t="shared" si="23"/>
        <v>0.62305505239913483</v>
      </c>
      <c r="O40" s="11"/>
      <c r="P40" s="6">
        <v>9543.02</v>
      </c>
      <c r="Q40" s="2"/>
      <c r="R40" s="7">
        <f t="shared" si="24"/>
        <v>7.0418951668187013E-2</v>
      </c>
      <c r="S40" s="2"/>
      <c r="T40" s="6">
        <v>6980.54</v>
      </c>
      <c r="U40" s="2"/>
      <c r="V40" s="7">
        <f t="shared" si="25"/>
        <v>5.0668220759022366E-2</v>
      </c>
      <c r="W40" s="2"/>
      <c r="X40" s="6">
        <f t="shared" si="26"/>
        <v>2562.4800000000005</v>
      </c>
      <c r="Y40" s="2"/>
      <c r="Z40" s="7">
        <f t="shared" si="27"/>
        <v>0.36708907906838162</v>
      </c>
    </row>
    <row r="41" spans="1:26" s="24" customFormat="1" hidden="1" outlineLevel="2" x14ac:dyDescent="0.25">
      <c r="A41" s="28"/>
      <c r="B41" s="11" t="str">
        <f>CONCATENATE("          ", "6008", " - ", "STUDENT HOURLY-FICA EXEMPT")</f>
        <v xml:space="preserve">          6008 - STUDENT HOURLY-FICA EXEMPT</v>
      </c>
      <c r="C41" s="11"/>
      <c r="D41" s="6">
        <v>83.25</v>
      </c>
      <c r="E41" s="2"/>
      <c r="F41" s="7">
        <f t="shared" si="20"/>
        <v>9.8793321168008782E-4</v>
      </c>
      <c r="G41" s="2"/>
      <c r="H41" s="6">
        <v>848.94</v>
      </c>
      <c r="I41" s="2"/>
      <c r="J41" s="7">
        <f t="shared" si="21"/>
        <v>9.9073197510601233E-3</v>
      </c>
      <c r="K41" s="2"/>
      <c r="L41" s="6">
        <f t="shared" si="22"/>
        <v>-765.69</v>
      </c>
      <c r="M41" s="2"/>
      <c r="N41" s="7">
        <f t="shared" si="23"/>
        <v>-0.90193653261714613</v>
      </c>
      <c r="O41" s="11"/>
      <c r="P41" s="6">
        <v>3393.48</v>
      </c>
      <c r="Q41" s="2"/>
      <c r="R41" s="7">
        <f t="shared" si="24"/>
        <v>2.5040847038669021E-2</v>
      </c>
      <c r="S41" s="2"/>
      <c r="T41" s="6">
        <v>2934.57</v>
      </c>
      <c r="U41" s="2"/>
      <c r="V41" s="7">
        <f t="shared" si="25"/>
        <v>2.1300564224659448E-2</v>
      </c>
      <c r="W41" s="2"/>
      <c r="X41" s="6">
        <f t="shared" si="26"/>
        <v>458.90999999999985</v>
      </c>
      <c r="Y41" s="2"/>
      <c r="Z41" s="7">
        <f t="shared" si="27"/>
        <v>0.15638066224353137</v>
      </c>
    </row>
    <row r="42" spans="1:26" s="29" customFormat="1" outlineLevel="1" collapsed="1" x14ac:dyDescent="0.2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11.07</v>
      </c>
      <c r="E42" s="1"/>
      <c r="F42" s="5">
        <f t="shared" ref="F42:F59" si="28">IF(D$12=0,0,D42/D$12)</f>
        <v>1.3136841625583872E-4</v>
      </c>
      <c r="G42" s="1"/>
      <c r="H42" s="1">
        <f>SUM(OSRRefH22_2x_0)</f>
        <v>6</v>
      </c>
      <c r="I42" s="1"/>
      <c r="J42" s="5">
        <f t="shared" ref="J42:J59" si="29">IF(H$12=0,0,H42/H$12)</f>
        <v>7.0021342505195578E-5</v>
      </c>
      <c r="K42" s="1"/>
      <c r="L42" s="1">
        <f t="shared" ref="L42:L59" si="30">+D42-H42</f>
        <v>5.07</v>
      </c>
      <c r="M42" s="1"/>
      <c r="N42" s="5">
        <f t="shared" ref="N42:N59" si="31">IF(H42=0,0,L42/H42)</f>
        <v>0.84500000000000008</v>
      </c>
      <c r="O42" s="14"/>
      <c r="P42" s="1">
        <f>SUM(OSRRefP22_2x_0)</f>
        <v>158.30000000000001</v>
      </c>
      <c r="Q42" s="1"/>
      <c r="R42" s="5">
        <f t="shared" ref="R42:R59" si="32">IF(P$12=0,0,P42/P$12)</f>
        <v>1.1681124056193955E-3</v>
      </c>
      <c r="S42" s="1"/>
      <c r="T42" s="1">
        <f>SUM(OSRRefT22_2x_0)</f>
        <v>24</v>
      </c>
      <c r="U42" s="1"/>
      <c r="V42" s="5">
        <f t="shared" ref="V42:V59" si="33">IF(T$12=0,0,T42/T$12)</f>
        <v>1.7420390087536736E-4</v>
      </c>
      <c r="W42" s="1"/>
      <c r="X42" s="1">
        <f t="shared" ref="X42:X59" si="34">+P42-T42</f>
        <v>134.30000000000001</v>
      </c>
      <c r="Y42" s="1"/>
      <c r="Z42" s="5">
        <f t="shared" ref="Z42:Z59" si="35">IF(T42=0,0,X42/T42)</f>
        <v>5.5958333333333341</v>
      </c>
    </row>
    <row r="43" spans="1:26" s="24" customFormat="1" hidden="1" outlineLevel="2" x14ac:dyDescent="0.25">
      <c r="A43" s="28"/>
      <c r="B43" s="11" t="str">
        <f>CONCATENATE("          ", "6362", " - ", "ADVERTISING EXPENSE")</f>
        <v xml:space="preserve">          6362 - ADVERTISING EXPENSE</v>
      </c>
      <c r="C43" s="11"/>
      <c r="D43" s="6">
        <v>11.07</v>
      </c>
      <c r="E43" s="2"/>
      <c r="F43" s="7">
        <f t="shared" si="28"/>
        <v>1.3136841625583872E-4</v>
      </c>
      <c r="G43" s="2"/>
      <c r="H43" s="6">
        <v>6</v>
      </c>
      <c r="I43" s="2"/>
      <c r="J43" s="7">
        <f t="shared" si="29"/>
        <v>7.0021342505195578E-5</v>
      </c>
      <c r="K43" s="2"/>
      <c r="L43" s="6">
        <f t="shared" si="30"/>
        <v>5.07</v>
      </c>
      <c r="M43" s="2"/>
      <c r="N43" s="7">
        <f t="shared" si="31"/>
        <v>0.84500000000000008</v>
      </c>
      <c r="O43" s="11"/>
      <c r="P43" s="6">
        <v>158.30000000000001</v>
      </c>
      <c r="Q43" s="2"/>
      <c r="R43" s="7">
        <f t="shared" si="32"/>
        <v>1.1681124056193955E-3</v>
      </c>
      <c r="S43" s="2"/>
      <c r="T43" s="6">
        <v>24</v>
      </c>
      <c r="U43" s="2"/>
      <c r="V43" s="7">
        <f t="shared" si="33"/>
        <v>1.7420390087536736E-4</v>
      </c>
      <c r="W43" s="2"/>
      <c r="X43" s="6">
        <f t="shared" si="34"/>
        <v>134.30000000000001</v>
      </c>
      <c r="Y43" s="2"/>
      <c r="Z43" s="7">
        <f t="shared" si="35"/>
        <v>5.5958333333333341</v>
      </c>
    </row>
    <row r="44" spans="1:26" s="29" customFormat="1" outlineLevel="1" collapsed="1" x14ac:dyDescent="0.25">
      <c r="A44" s="27"/>
      <c r="B44" s="14" t="str">
        <f>CONCATENATE("     ","Bad Debts/Over/Short                              ")</f>
        <v xml:space="preserve">     Bad Debts/Over/Short                              </v>
      </c>
      <c r="C44" s="14"/>
      <c r="D44" s="1">
        <f>SUM(OSRRefD22_3x_0)</f>
        <v>-47.45</v>
      </c>
      <c r="E44" s="1"/>
      <c r="F44" s="5">
        <f t="shared" si="28"/>
        <v>-5.6309226299363572E-4</v>
      </c>
      <c r="G44" s="1"/>
      <c r="H44" s="1">
        <f>SUM(OSRRefH22_3x_0)</f>
        <v>-70.41</v>
      </c>
      <c r="I44" s="1"/>
      <c r="J44" s="5">
        <f t="shared" si="29"/>
        <v>-8.2170045429847012E-4</v>
      </c>
      <c r="K44" s="1"/>
      <c r="L44" s="1">
        <f t="shared" si="30"/>
        <v>22.959999999999994</v>
      </c>
      <c r="M44" s="1"/>
      <c r="N44" s="5">
        <f t="shared" si="31"/>
        <v>-0.32609004402783687</v>
      </c>
      <c r="O44" s="14"/>
      <c r="P44" s="1">
        <f>SUM(OSRRefP22_3x_0)</f>
        <v>-60.18</v>
      </c>
      <c r="Q44" s="1"/>
      <c r="R44" s="5">
        <f t="shared" si="32"/>
        <v>-4.4407457087918646E-4</v>
      </c>
      <c r="S44" s="1"/>
      <c r="T44" s="1">
        <f>SUM(OSRRefT22_3x_0)</f>
        <v>-101.23</v>
      </c>
      <c r="U44" s="1"/>
      <c r="V44" s="5">
        <f t="shared" si="33"/>
        <v>-7.3477753690055986E-4</v>
      </c>
      <c r="W44" s="1"/>
      <c r="X44" s="1">
        <f t="shared" si="34"/>
        <v>41.050000000000004</v>
      </c>
      <c r="Y44" s="1"/>
      <c r="Z44" s="5">
        <f t="shared" si="35"/>
        <v>-0.40551219994072907</v>
      </c>
    </row>
    <row r="45" spans="1:26" s="24" customFormat="1" hidden="1" outlineLevel="2" x14ac:dyDescent="0.25">
      <c r="A45" s="28"/>
      <c r="B45" s="11" t="str">
        <f>CONCATENATE("          ", "6272", " - ", "CASH (OVER/SHORT)")</f>
        <v xml:space="preserve">          6272 - CASH (OVER/SHORT)</v>
      </c>
      <c r="C45" s="11"/>
      <c r="D45" s="6">
        <v>-47.45</v>
      </c>
      <c r="E45" s="2"/>
      <c r="F45" s="7">
        <f t="shared" si="28"/>
        <v>-5.6309226299363572E-4</v>
      </c>
      <c r="G45" s="2"/>
      <c r="H45" s="6">
        <v>-70.41</v>
      </c>
      <c r="I45" s="2"/>
      <c r="J45" s="7">
        <f t="shared" si="29"/>
        <v>-8.2170045429847012E-4</v>
      </c>
      <c r="K45" s="2"/>
      <c r="L45" s="6">
        <f t="shared" si="30"/>
        <v>22.959999999999994</v>
      </c>
      <c r="M45" s="2"/>
      <c r="N45" s="7">
        <f t="shared" si="31"/>
        <v>-0.32609004402783687</v>
      </c>
      <c r="O45" s="11"/>
      <c r="P45" s="6">
        <v>-60.18</v>
      </c>
      <c r="Q45" s="2"/>
      <c r="R45" s="7">
        <f t="shared" si="32"/>
        <v>-4.4407457087918646E-4</v>
      </c>
      <c r="S45" s="2"/>
      <c r="T45" s="6">
        <v>-101.23</v>
      </c>
      <c r="U45" s="2"/>
      <c r="V45" s="7">
        <f t="shared" si="33"/>
        <v>-7.3477753690055986E-4</v>
      </c>
      <c r="W45" s="2"/>
      <c r="X45" s="6">
        <f t="shared" si="34"/>
        <v>41.050000000000004</v>
      </c>
      <c r="Y45" s="2"/>
      <c r="Z45" s="7">
        <f t="shared" si="35"/>
        <v>-0.40551219994072907</v>
      </c>
    </row>
    <row r="46" spans="1:26" s="29" customFormat="1" outlineLevel="1" collapsed="1" x14ac:dyDescent="0.25">
      <c r="A46" s="27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2835.26</v>
      </c>
      <c r="E46" s="1"/>
      <c r="F46" s="5">
        <f t="shared" si="28"/>
        <v>3.3646216429406441E-2</v>
      </c>
      <c r="G46" s="1"/>
      <c r="H46" s="1">
        <f>SUM(OSRRefH22_4x_0)</f>
        <v>2768.7</v>
      </c>
      <c r="I46" s="1"/>
      <c r="J46" s="5">
        <f t="shared" si="29"/>
        <v>3.2311348499022501E-2</v>
      </c>
      <c r="K46" s="1"/>
      <c r="L46" s="1">
        <f t="shared" si="30"/>
        <v>66.5600000000004</v>
      </c>
      <c r="M46" s="1"/>
      <c r="N46" s="5">
        <f t="shared" si="31"/>
        <v>2.4040163253512624E-2</v>
      </c>
      <c r="O46" s="14"/>
      <c r="P46" s="1">
        <f>SUM(OSRRefP22_4x_0)</f>
        <v>4394.16</v>
      </c>
      <c r="Q46" s="1"/>
      <c r="R46" s="5">
        <f t="shared" si="32"/>
        <v>3.2424970361822632E-2</v>
      </c>
      <c r="S46" s="1"/>
      <c r="T46" s="1">
        <f>SUM(OSRRefT22_4x_0)</f>
        <v>4228.67</v>
      </c>
      <c r="U46" s="1"/>
      <c r="V46" s="5">
        <f t="shared" si="33"/>
        <v>3.0693783729776651E-2</v>
      </c>
      <c r="W46" s="1"/>
      <c r="X46" s="1">
        <f t="shared" si="34"/>
        <v>165.48999999999978</v>
      </c>
      <c r="Y46" s="1"/>
      <c r="Z46" s="5">
        <f t="shared" si="35"/>
        <v>3.9135236374557431E-2</v>
      </c>
    </row>
    <row r="47" spans="1:26" s="24" customFormat="1" hidden="1" outlineLevel="2" x14ac:dyDescent="0.25">
      <c r="A47" s="28"/>
      <c r="B47" s="11" t="str">
        <f>CONCATENATE("          ", "6381", " - ", "BANK/CREDIT CARD FEES")</f>
        <v xml:space="preserve">          6381 - BANK/CREDIT CARD FEES</v>
      </c>
      <c r="C47" s="11"/>
      <c r="D47" s="6">
        <v>2835.26</v>
      </c>
      <c r="E47" s="2"/>
      <c r="F47" s="7">
        <f t="shared" si="28"/>
        <v>3.3646216429406441E-2</v>
      </c>
      <c r="G47" s="2"/>
      <c r="H47" s="6">
        <v>2768.7</v>
      </c>
      <c r="I47" s="2"/>
      <c r="J47" s="7">
        <f t="shared" si="29"/>
        <v>3.2311348499022501E-2</v>
      </c>
      <c r="K47" s="2"/>
      <c r="L47" s="6">
        <f t="shared" si="30"/>
        <v>66.5600000000004</v>
      </c>
      <c r="M47" s="2"/>
      <c r="N47" s="7">
        <f t="shared" si="31"/>
        <v>2.4040163253512624E-2</v>
      </c>
      <c r="O47" s="11"/>
      <c r="P47" s="6">
        <v>4394.16</v>
      </c>
      <c r="Q47" s="2"/>
      <c r="R47" s="7">
        <f t="shared" si="32"/>
        <v>3.2424970361822632E-2</v>
      </c>
      <c r="S47" s="2"/>
      <c r="T47" s="6">
        <v>4228.67</v>
      </c>
      <c r="U47" s="2"/>
      <c r="V47" s="7">
        <f t="shared" si="33"/>
        <v>3.0693783729776651E-2</v>
      </c>
      <c r="W47" s="2"/>
      <c r="X47" s="6">
        <f t="shared" si="34"/>
        <v>165.48999999999978</v>
      </c>
      <c r="Y47" s="2"/>
      <c r="Z47" s="7">
        <f t="shared" si="35"/>
        <v>3.9135236374557431E-2</v>
      </c>
    </row>
    <row r="48" spans="1:26" s="29" customFormat="1" outlineLevel="1" collapsed="1" x14ac:dyDescent="0.25">
      <c r="A48" s="27"/>
      <c r="B48" s="14" t="str">
        <f>CONCATENATE("     ","Discounts and Markdowns                           ")</f>
        <v xml:space="preserve">     Discounts and Markdowns                           </v>
      </c>
      <c r="C48" s="14"/>
      <c r="D48" s="1">
        <f>SUM(OSRRefD22_5x_0)</f>
        <v>11.81</v>
      </c>
      <c r="E48" s="1"/>
      <c r="F48" s="5">
        <f t="shared" si="28"/>
        <v>1.4015004480410616E-4</v>
      </c>
      <c r="G48" s="1"/>
      <c r="H48" s="1">
        <f>SUM(OSRRefH22_5x_0)</f>
        <v>8.4499999999999993</v>
      </c>
      <c r="I48" s="1"/>
      <c r="J48" s="5">
        <f t="shared" si="29"/>
        <v>9.8613390694817101E-5</v>
      </c>
      <c r="K48" s="1"/>
      <c r="L48" s="1">
        <f t="shared" si="30"/>
        <v>3.3600000000000012</v>
      </c>
      <c r="M48" s="1"/>
      <c r="N48" s="5">
        <f t="shared" si="31"/>
        <v>0.39763313609467471</v>
      </c>
      <c r="O48" s="14"/>
      <c r="P48" s="1">
        <f>SUM(OSRRefP22_5x_0)</f>
        <v>31.9</v>
      </c>
      <c r="Q48" s="1"/>
      <c r="R48" s="5">
        <f t="shared" si="32"/>
        <v>2.3539346645141322E-4</v>
      </c>
      <c r="S48" s="1"/>
      <c r="T48" s="1">
        <f>SUM(OSRRefT22_5x_0)</f>
        <v>30.81</v>
      </c>
      <c r="U48" s="1"/>
      <c r="V48" s="5">
        <f t="shared" si="33"/>
        <v>2.2363425774875282E-4</v>
      </c>
      <c r="W48" s="1"/>
      <c r="X48" s="1">
        <f t="shared" si="34"/>
        <v>1.0899999999999999</v>
      </c>
      <c r="Y48" s="1"/>
      <c r="Z48" s="5">
        <f t="shared" si="35"/>
        <v>3.5378123985718921E-2</v>
      </c>
    </row>
    <row r="49" spans="1:26" s="24" customFormat="1" hidden="1" outlineLevel="2" x14ac:dyDescent="0.25">
      <c r="A49" s="28"/>
      <c r="B49" s="11" t="str">
        <f>CONCATENATE("          ", "6382", " - ", "DISCOUNTS/MARK DOWNS")</f>
        <v xml:space="preserve">          6382 - DISCOUNTS/MARK DOWNS</v>
      </c>
      <c r="C49" s="11"/>
      <c r="D49" s="6">
        <v>11.81</v>
      </c>
      <c r="E49" s="2"/>
      <c r="F49" s="7">
        <f t="shared" si="28"/>
        <v>1.4015004480410616E-4</v>
      </c>
      <c r="G49" s="2"/>
      <c r="H49" s="6">
        <v>8.4499999999999993</v>
      </c>
      <c r="I49" s="2"/>
      <c r="J49" s="7">
        <f t="shared" si="29"/>
        <v>9.8613390694817101E-5</v>
      </c>
      <c r="K49" s="2"/>
      <c r="L49" s="6">
        <f t="shared" si="30"/>
        <v>3.3600000000000012</v>
      </c>
      <c r="M49" s="2"/>
      <c r="N49" s="7">
        <f t="shared" si="31"/>
        <v>0.39763313609467471</v>
      </c>
      <c r="O49" s="11"/>
      <c r="P49" s="6">
        <v>31.9</v>
      </c>
      <c r="Q49" s="2"/>
      <c r="R49" s="7">
        <f t="shared" si="32"/>
        <v>2.3539346645141322E-4</v>
      </c>
      <c r="S49" s="2"/>
      <c r="T49" s="6">
        <v>30.81</v>
      </c>
      <c r="U49" s="2"/>
      <c r="V49" s="7">
        <f t="shared" si="33"/>
        <v>2.2363425774875282E-4</v>
      </c>
      <c r="W49" s="2"/>
      <c r="X49" s="6">
        <f t="shared" si="34"/>
        <v>1.0899999999999999</v>
      </c>
      <c r="Y49" s="2"/>
      <c r="Z49" s="7">
        <f t="shared" si="35"/>
        <v>3.5378123985718921E-2</v>
      </c>
    </row>
    <row r="50" spans="1:26" s="29" customFormat="1" outlineLevel="1" collapsed="1" x14ac:dyDescent="0.25">
      <c r="A50" s="27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14.38</v>
      </c>
      <c r="I50" s="1"/>
      <c r="J50" s="5">
        <f t="shared" si="29"/>
        <v>1.6781781753745208E-4</v>
      </c>
      <c r="K50" s="1"/>
      <c r="L50" s="1">
        <f t="shared" si="30"/>
        <v>-14.38</v>
      </c>
      <c r="M50" s="1"/>
      <c r="N50" s="5">
        <f t="shared" si="31"/>
        <v>-1</v>
      </c>
      <c r="O50" s="14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14.38</v>
      </c>
      <c r="U50" s="1"/>
      <c r="V50" s="5">
        <f t="shared" si="33"/>
        <v>1.0437717060782428E-4</v>
      </c>
      <c r="W50" s="1"/>
      <c r="X50" s="1">
        <f t="shared" si="34"/>
        <v>-14.38</v>
      </c>
      <c r="Y50" s="1"/>
      <c r="Z50" s="5">
        <f t="shared" si="35"/>
        <v>-1</v>
      </c>
    </row>
    <row r="51" spans="1:26" s="24" customFormat="1" hidden="1" outlineLevel="2" x14ac:dyDescent="0.25">
      <c r="A51" s="28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8"/>
        <v>0</v>
      </c>
      <c r="G51" s="2"/>
      <c r="H51" s="6">
        <v>14.38</v>
      </c>
      <c r="I51" s="2"/>
      <c r="J51" s="7">
        <f t="shared" si="29"/>
        <v>1.6781781753745208E-4</v>
      </c>
      <c r="K51" s="2"/>
      <c r="L51" s="6">
        <f t="shared" si="30"/>
        <v>-14.38</v>
      </c>
      <c r="M51" s="2"/>
      <c r="N51" s="7">
        <f t="shared" si="31"/>
        <v>-1</v>
      </c>
      <c r="O51" s="11"/>
      <c r="P51" s="6"/>
      <c r="Q51" s="2"/>
      <c r="R51" s="7">
        <f t="shared" si="32"/>
        <v>0</v>
      </c>
      <c r="S51" s="2"/>
      <c r="T51" s="6">
        <v>14.38</v>
      </c>
      <c r="U51" s="2"/>
      <c r="V51" s="7">
        <f t="shared" si="33"/>
        <v>1.0437717060782428E-4</v>
      </c>
      <c r="W51" s="2"/>
      <c r="X51" s="6">
        <f t="shared" si="34"/>
        <v>-14.38</v>
      </c>
      <c r="Y51" s="2"/>
      <c r="Z51" s="7">
        <f t="shared" si="35"/>
        <v>-1</v>
      </c>
    </row>
    <row r="52" spans="1:26" s="29" customFormat="1" outlineLevel="1" collapsed="1" x14ac:dyDescent="0.25">
      <c r="A52" s="27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SUM(OSRRefD22_7x_0)</f>
        <v>28.87</v>
      </c>
      <c r="E52" s="1"/>
      <c r="F52" s="5">
        <f t="shared" si="28"/>
        <v>3.4260218403848818E-4</v>
      </c>
      <c r="G52" s="1"/>
      <c r="H52" s="1">
        <f>SUM(OSRRefH22_7x_0)</f>
        <v>22.01</v>
      </c>
      <c r="I52" s="1"/>
      <c r="J52" s="5">
        <f t="shared" si="29"/>
        <v>2.5686162475655914E-4</v>
      </c>
      <c r="K52" s="1"/>
      <c r="L52" s="1">
        <f t="shared" si="30"/>
        <v>6.8599999999999994</v>
      </c>
      <c r="M52" s="1"/>
      <c r="N52" s="5">
        <f t="shared" si="31"/>
        <v>0.31167651067696495</v>
      </c>
      <c r="O52" s="14"/>
      <c r="P52" s="1">
        <f>SUM(OSRRefP22_7x_0)</f>
        <v>145.52000000000001</v>
      </c>
      <c r="Q52" s="1"/>
      <c r="R52" s="5">
        <f t="shared" si="32"/>
        <v>1.0738074369282024E-3</v>
      </c>
      <c r="S52" s="1"/>
      <c r="T52" s="1">
        <f>SUM(OSRRefT22_7x_0)</f>
        <v>95.14</v>
      </c>
      <c r="U52" s="1"/>
      <c r="V52" s="5">
        <f t="shared" si="33"/>
        <v>6.9057329705343544E-4</v>
      </c>
      <c r="W52" s="1"/>
      <c r="X52" s="1">
        <f t="shared" si="34"/>
        <v>50.38000000000001</v>
      </c>
      <c r="Y52" s="1"/>
      <c r="Z52" s="5">
        <f t="shared" si="35"/>
        <v>0.5295354214841288</v>
      </c>
    </row>
    <row r="53" spans="1:26" s="24" customFormat="1" hidden="1" outlineLevel="2" x14ac:dyDescent="0.25">
      <c r="A53" s="28"/>
      <c r="B53" s="11" t="str">
        <f>CONCATENATE("          ", "6305", " - ", "FREIGHT OUT")</f>
        <v xml:space="preserve">          6305 - FREIGHT OUT</v>
      </c>
      <c r="C53" s="11"/>
      <c r="D53" s="6">
        <v>28.87</v>
      </c>
      <c r="E53" s="2"/>
      <c r="F53" s="7">
        <f t="shared" si="28"/>
        <v>3.4260218403848818E-4</v>
      </c>
      <c r="G53" s="2"/>
      <c r="H53" s="6">
        <v>22.01</v>
      </c>
      <c r="I53" s="2"/>
      <c r="J53" s="7">
        <f t="shared" si="29"/>
        <v>2.5686162475655914E-4</v>
      </c>
      <c r="K53" s="2"/>
      <c r="L53" s="6">
        <f t="shared" si="30"/>
        <v>6.8599999999999994</v>
      </c>
      <c r="M53" s="2"/>
      <c r="N53" s="7">
        <f t="shared" si="31"/>
        <v>0.31167651067696495</v>
      </c>
      <c r="O53" s="11"/>
      <c r="P53" s="6">
        <v>145.52000000000001</v>
      </c>
      <c r="Q53" s="2"/>
      <c r="R53" s="7">
        <f t="shared" si="32"/>
        <v>1.0738074369282024E-3</v>
      </c>
      <c r="S53" s="2"/>
      <c r="T53" s="6">
        <v>95.14</v>
      </c>
      <c r="U53" s="2"/>
      <c r="V53" s="7">
        <f t="shared" si="33"/>
        <v>6.9057329705343544E-4</v>
      </c>
      <c r="W53" s="2"/>
      <c r="X53" s="6">
        <f t="shared" si="34"/>
        <v>50.38000000000001</v>
      </c>
      <c r="Y53" s="2"/>
      <c r="Z53" s="7">
        <f t="shared" si="35"/>
        <v>0.5295354214841288</v>
      </c>
    </row>
    <row r="54" spans="1:26" s="29" customFormat="1" outlineLevel="1" collapsed="1" x14ac:dyDescent="0.25">
      <c r="A54" s="27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SUM(OSRRefD22_8x_0)</f>
        <v>50.8</v>
      </c>
      <c r="E54" s="1"/>
      <c r="F54" s="5">
        <f t="shared" si="28"/>
        <v>6.0284693277295456E-4</v>
      </c>
      <c r="G54" s="1"/>
      <c r="H54" s="1">
        <f>SUM(OSRRefH22_8x_0)</f>
        <v>46.55</v>
      </c>
      <c r="I54" s="1"/>
      <c r="J54" s="5">
        <f t="shared" si="29"/>
        <v>5.4324891560280904E-4</v>
      </c>
      <c r="K54" s="1"/>
      <c r="L54" s="1">
        <f t="shared" si="30"/>
        <v>4.25</v>
      </c>
      <c r="M54" s="1"/>
      <c r="N54" s="5">
        <f t="shared" si="31"/>
        <v>9.129967776584319E-2</v>
      </c>
      <c r="O54" s="14"/>
      <c r="P54" s="1">
        <f>SUM(OSRRefP22_8x_0)</f>
        <v>860.6</v>
      </c>
      <c r="Q54" s="1"/>
      <c r="R54" s="5">
        <f t="shared" si="32"/>
        <v>6.3504582203161835E-3</v>
      </c>
      <c r="S54" s="1"/>
      <c r="T54" s="1">
        <f>SUM(OSRRefT22_8x_0)</f>
        <v>788.35</v>
      </c>
      <c r="U54" s="1"/>
      <c r="V54" s="5">
        <f t="shared" si="33"/>
        <v>5.7222352189623274E-3</v>
      </c>
      <c r="W54" s="1"/>
      <c r="X54" s="1">
        <f t="shared" si="34"/>
        <v>72.25</v>
      </c>
      <c r="Y54" s="1"/>
      <c r="Z54" s="5">
        <f t="shared" si="35"/>
        <v>9.1647111054734567E-2</v>
      </c>
    </row>
    <row r="55" spans="1:26" s="24" customFormat="1" hidden="1" outlineLevel="2" x14ac:dyDescent="0.25">
      <c r="A55" s="28"/>
      <c r="B55" s="11" t="str">
        <f>CONCATENATE("          ", "6279", " - ", "GENERAL EXPENSE")</f>
        <v xml:space="preserve">          6279 - GENERAL EXPENSE</v>
      </c>
      <c r="C55" s="11"/>
      <c r="D55" s="6">
        <v>50.8</v>
      </c>
      <c r="E55" s="2"/>
      <c r="F55" s="7">
        <f t="shared" si="28"/>
        <v>6.0284693277295456E-4</v>
      </c>
      <c r="G55" s="2"/>
      <c r="H55" s="6">
        <v>46.55</v>
      </c>
      <c r="I55" s="2"/>
      <c r="J55" s="7">
        <f t="shared" si="29"/>
        <v>5.4324891560280904E-4</v>
      </c>
      <c r="K55" s="2"/>
      <c r="L55" s="6">
        <f t="shared" si="30"/>
        <v>4.25</v>
      </c>
      <c r="M55" s="2"/>
      <c r="N55" s="7">
        <f t="shared" si="31"/>
        <v>9.129967776584319E-2</v>
      </c>
      <c r="O55" s="11"/>
      <c r="P55" s="6">
        <v>860.6</v>
      </c>
      <c r="Q55" s="2"/>
      <c r="R55" s="7">
        <f t="shared" si="32"/>
        <v>6.3504582203161835E-3</v>
      </c>
      <c r="S55" s="2"/>
      <c r="T55" s="6">
        <v>788.35</v>
      </c>
      <c r="U55" s="2"/>
      <c r="V55" s="7">
        <f t="shared" si="33"/>
        <v>5.7222352189623274E-3</v>
      </c>
      <c r="W55" s="2"/>
      <c r="X55" s="6">
        <f t="shared" si="34"/>
        <v>72.25</v>
      </c>
      <c r="Y55" s="2"/>
      <c r="Z55" s="7">
        <f t="shared" si="35"/>
        <v>9.1647111054734567E-2</v>
      </c>
    </row>
    <row r="56" spans="1:26" s="29" customFormat="1" outlineLevel="1" collapsed="1" x14ac:dyDescent="0.25">
      <c r="A56" s="27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SUM(OSRRefD22_9x_0)</f>
        <v>437.31</v>
      </c>
      <c r="E56" s="1"/>
      <c r="F56" s="5">
        <f t="shared" si="28"/>
        <v>5.1895864600578889E-3</v>
      </c>
      <c r="G56" s="1"/>
      <c r="H56" s="1">
        <f>SUM(OSRRefH22_9x_0)</f>
        <v>22.49</v>
      </c>
      <c r="I56" s="1"/>
      <c r="J56" s="5">
        <f t="shared" si="29"/>
        <v>2.6246333215697477E-4</v>
      </c>
      <c r="K56" s="1"/>
      <c r="L56" s="1">
        <f t="shared" si="30"/>
        <v>414.82</v>
      </c>
      <c r="M56" s="1"/>
      <c r="N56" s="5">
        <f t="shared" si="31"/>
        <v>18.444642063139174</v>
      </c>
      <c r="O56" s="14"/>
      <c r="P56" s="1">
        <f>SUM(OSRRefP22_9x_0)</f>
        <v>1017.8900000000001</v>
      </c>
      <c r="Q56" s="1"/>
      <c r="R56" s="5">
        <f t="shared" si="32"/>
        <v>7.5111177293488733E-3</v>
      </c>
      <c r="S56" s="1"/>
      <c r="T56" s="1">
        <f>SUM(OSRRefT22_9x_0)</f>
        <v>258.48</v>
      </c>
      <c r="U56" s="1"/>
      <c r="V56" s="5">
        <f t="shared" si="33"/>
        <v>1.8761760124277064E-3</v>
      </c>
      <c r="W56" s="1"/>
      <c r="X56" s="1">
        <f t="shared" si="34"/>
        <v>759.41000000000008</v>
      </c>
      <c r="Y56" s="1"/>
      <c r="Z56" s="5">
        <f t="shared" si="35"/>
        <v>2.9379835964097802</v>
      </c>
    </row>
    <row r="57" spans="1:26" s="24" customFormat="1" hidden="1" outlineLevel="2" x14ac:dyDescent="0.25">
      <c r="A57" s="28"/>
      <c r="B57" s="11" t="str">
        <f>CONCATENATE("          ", "6371", " - ", "COMPUTER SOFTWARE MAINTENANCE")</f>
        <v xml:space="preserve">          6371 - COMPUTER SOFTWARE MAINTENANCE</v>
      </c>
      <c r="C57" s="11"/>
      <c r="D57" s="6">
        <v>437.31</v>
      </c>
      <c r="E57" s="2"/>
      <c r="F57" s="7">
        <f t="shared" si="28"/>
        <v>5.1895864600578889E-3</v>
      </c>
      <c r="G57" s="2"/>
      <c r="H57" s="6"/>
      <c r="I57" s="2"/>
      <c r="J57" s="7">
        <f t="shared" si="29"/>
        <v>0</v>
      </c>
      <c r="K57" s="2"/>
      <c r="L57" s="6">
        <f t="shared" si="30"/>
        <v>437.31</v>
      </c>
      <c r="M57" s="2"/>
      <c r="N57" s="7">
        <f t="shared" si="31"/>
        <v>0</v>
      </c>
      <c r="O57" s="11"/>
      <c r="P57" s="6">
        <v>437.31</v>
      </c>
      <c r="Q57" s="2"/>
      <c r="R57" s="7">
        <f t="shared" si="32"/>
        <v>3.2269566399331512E-3</v>
      </c>
      <c r="S57" s="2"/>
      <c r="T57" s="6"/>
      <c r="U57" s="2"/>
      <c r="V57" s="7">
        <f t="shared" si="33"/>
        <v>0</v>
      </c>
      <c r="W57" s="2"/>
      <c r="X57" s="6">
        <f t="shared" si="34"/>
        <v>437.31</v>
      </c>
      <c r="Y57" s="2"/>
      <c r="Z57" s="7">
        <f t="shared" si="35"/>
        <v>0</v>
      </c>
    </row>
    <row r="58" spans="1:26" s="24" customFormat="1" hidden="1" outlineLevel="2" x14ac:dyDescent="0.25">
      <c r="A58" s="28"/>
      <c r="B58" s="11" t="str">
        <f>CONCATENATE("          ", "6373", " - ", "MAINTENANCE CONTRACTS")</f>
        <v xml:space="preserve">          6373 - MAINTENANCE CONTRACTS</v>
      </c>
      <c r="C58" s="11"/>
      <c r="D58" s="6"/>
      <c r="E58" s="2"/>
      <c r="F58" s="7">
        <f t="shared" si="28"/>
        <v>0</v>
      </c>
      <c r="G58" s="2"/>
      <c r="H58" s="6">
        <v>22.49</v>
      </c>
      <c r="I58" s="2"/>
      <c r="J58" s="7">
        <f t="shared" si="29"/>
        <v>2.6246333215697477E-4</v>
      </c>
      <c r="K58" s="2"/>
      <c r="L58" s="6">
        <f t="shared" si="30"/>
        <v>-22.49</v>
      </c>
      <c r="M58" s="2"/>
      <c r="N58" s="7">
        <f t="shared" si="31"/>
        <v>-1</v>
      </c>
      <c r="O58" s="11"/>
      <c r="P58" s="6"/>
      <c r="Q58" s="2"/>
      <c r="R58" s="7">
        <f t="shared" si="32"/>
        <v>0</v>
      </c>
      <c r="S58" s="2"/>
      <c r="T58" s="6">
        <v>22.49</v>
      </c>
      <c r="U58" s="2"/>
      <c r="V58" s="7">
        <f t="shared" si="33"/>
        <v>1.6324357211195881E-4</v>
      </c>
      <c r="W58" s="2"/>
      <c r="X58" s="6">
        <f t="shared" si="34"/>
        <v>-22.49</v>
      </c>
      <c r="Y58" s="2"/>
      <c r="Z58" s="7">
        <f t="shared" si="35"/>
        <v>-1</v>
      </c>
    </row>
    <row r="59" spans="1:26" s="24" customFormat="1" hidden="1" outlineLevel="2" x14ac:dyDescent="0.25">
      <c r="A59" s="28"/>
      <c r="B59" s="11" t="str">
        <f>CONCATENATE("          ", "6375", " - ", "OUTSIDE REPAIRS &amp; MAINTENANCE")</f>
        <v xml:space="preserve">          6375 - OUTSIDE REPAIRS &amp; MAINTENANCE</v>
      </c>
      <c r="C59" s="11"/>
      <c r="D59" s="6"/>
      <c r="E59" s="2"/>
      <c r="F59" s="7">
        <f t="shared" si="28"/>
        <v>0</v>
      </c>
      <c r="G59" s="2"/>
      <c r="H59" s="6"/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580.58000000000004</v>
      </c>
      <c r="Q59" s="2"/>
      <c r="R59" s="7">
        <f t="shared" si="32"/>
        <v>4.2841610894157212E-3</v>
      </c>
      <c r="S59" s="2"/>
      <c r="T59" s="6">
        <v>235.99</v>
      </c>
      <c r="U59" s="2"/>
      <c r="V59" s="7">
        <f t="shared" si="33"/>
        <v>1.7129324403157475E-3</v>
      </c>
      <c r="W59" s="2"/>
      <c r="X59" s="6">
        <f t="shared" si="34"/>
        <v>344.59000000000003</v>
      </c>
      <c r="Y59" s="2"/>
      <c r="Z59" s="7">
        <f t="shared" si="35"/>
        <v>1.4601889910589432</v>
      </c>
    </row>
    <row r="60" spans="1:26" s="29" customFormat="1" outlineLevel="1" collapsed="1" x14ac:dyDescent="0.25">
      <c r="A60" s="27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SUM(OSRRefD22_10x_0)</f>
        <v>137.80000000000001</v>
      </c>
      <c r="E60" s="1"/>
      <c r="F60" s="5">
        <f t="shared" ref="F60:F68" si="36">IF(D$12=0,0,D60/D$12)</f>
        <v>1.6352816404746682E-3</v>
      </c>
      <c r="G60" s="1"/>
      <c r="H60" s="1">
        <f>SUM(OSRRefH22_10x_0)</f>
        <v>125.08</v>
      </c>
      <c r="I60" s="1"/>
      <c r="J60" s="5">
        <f t="shared" ref="J60:J68" si="37">IF(H$12=0,0,H60/H$12)</f>
        <v>1.4597115867583106E-3</v>
      </c>
      <c r="K60" s="1"/>
      <c r="L60" s="1">
        <f t="shared" ref="L60:L68" si="38">+D60-H60</f>
        <v>12.720000000000013</v>
      </c>
      <c r="M60" s="1"/>
      <c r="N60" s="5">
        <f t="shared" ref="N60:N68" si="39">IF(H60=0,0,L60/H60)</f>
        <v>0.10169491525423739</v>
      </c>
      <c r="O60" s="14"/>
      <c r="P60" s="1">
        <f>SUM(OSRRefP22_10x_0)</f>
        <v>456.86</v>
      </c>
      <c r="Q60" s="1"/>
      <c r="R60" s="5">
        <f t="shared" ref="R60:R68" si="40">IF(P$12=0,0,P60/P$12)</f>
        <v>3.3712181530718699E-3</v>
      </c>
      <c r="S60" s="1"/>
      <c r="T60" s="1">
        <f>SUM(OSRRefT22_10x_0)</f>
        <v>406.51</v>
      </c>
      <c r="U60" s="1"/>
      <c r="V60" s="5">
        <f t="shared" ref="V60:V68" si="41">IF(T$12=0,0,T60/T$12)</f>
        <v>2.9506511560352324E-3</v>
      </c>
      <c r="W60" s="1"/>
      <c r="X60" s="1">
        <f t="shared" ref="X60:X68" si="42">+P60-T60</f>
        <v>50.350000000000023</v>
      </c>
      <c r="Y60" s="1"/>
      <c r="Z60" s="5">
        <f t="shared" ref="Z60:Z68" si="43">IF(T60=0,0,X60/T60)</f>
        <v>0.12385919165580188</v>
      </c>
    </row>
    <row r="61" spans="1:26" s="24" customFormat="1" hidden="1" outlineLevel="2" x14ac:dyDescent="0.25">
      <c r="A61" s="28"/>
      <c r="B61" s="11" t="str">
        <f>CONCATENATE("          ", "6286", " - ", "LAUNDRY EXPENSE")</f>
        <v xml:space="preserve">          6286 - LAUNDRY EXPENSE</v>
      </c>
      <c r="C61" s="11"/>
      <c r="D61" s="6">
        <v>137.80000000000001</v>
      </c>
      <c r="E61" s="2"/>
      <c r="F61" s="7">
        <f t="shared" si="36"/>
        <v>1.6352816404746682E-3</v>
      </c>
      <c r="G61" s="2"/>
      <c r="H61" s="6">
        <v>125.08</v>
      </c>
      <c r="I61" s="2"/>
      <c r="J61" s="7">
        <f t="shared" si="37"/>
        <v>1.4597115867583106E-3</v>
      </c>
      <c r="K61" s="2"/>
      <c r="L61" s="6">
        <f t="shared" si="38"/>
        <v>12.720000000000013</v>
      </c>
      <c r="M61" s="2"/>
      <c r="N61" s="7">
        <f t="shared" si="39"/>
        <v>0.10169491525423739</v>
      </c>
      <c r="O61" s="11"/>
      <c r="P61" s="6">
        <v>456.86</v>
      </c>
      <c r="Q61" s="2"/>
      <c r="R61" s="7">
        <f t="shared" si="40"/>
        <v>3.3712181530718699E-3</v>
      </c>
      <c r="S61" s="2"/>
      <c r="T61" s="6">
        <v>406.51</v>
      </c>
      <c r="U61" s="2"/>
      <c r="V61" s="7">
        <f t="shared" si="41"/>
        <v>2.9506511560352324E-3</v>
      </c>
      <c r="W61" s="2"/>
      <c r="X61" s="6">
        <f t="shared" si="42"/>
        <v>50.350000000000023</v>
      </c>
      <c r="Y61" s="2"/>
      <c r="Z61" s="7">
        <f t="shared" si="43"/>
        <v>0.12385919165580188</v>
      </c>
    </row>
    <row r="62" spans="1:26" s="29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SUM(OSRRefD22_11x_0)</f>
        <v>382.42</v>
      </c>
      <c r="E62" s="1"/>
      <c r="F62" s="5">
        <f t="shared" si="36"/>
        <v>4.5382032289573481E-3</v>
      </c>
      <c r="G62" s="1"/>
      <c r="H62" s="1">
        <f>SUM(OSRRefH22_11x_0)</f>
        <v>-331.25</v>
      </c>
      <c r="I62" s="1"/>
      <c r="J62" s="5">
        <f t="shared" si="37"/>
        <v>-3.8657616174743396E-3</v>
      </c>
      <c r="K62" s="1"/>
      <c r="L62" s="1">
        <f t="shared" si="38"/>
        <v>713.67000000000007</v>
      </c>
      <c r="M62" s="1"/>
      <c r="N62" s="5">
        <f t="shared" si="39"/>
        <v>-2.1544754716981136</v>
      </c>
      <c r="O62" s="14"/>
      <c r="P62" s="1">
        <f>SUM(OSRRefP22_11x_0)</f>
        <v>2728.99</v>
      </c>
      <c r="Q62" s="1"/>
      <c r="R62" s="5">
        <f t="shared" si="40"/>
        <v>2.0137505204114173E-2</v>
      </c>
      <c r="S62" s="1"/>
      <c r="T62" s="1">
        <f>SUM(OSRRefT22_11x_0)</f>
        <v>662.62</v>
      </c>
      <c r="U62" s="1"/>
      <c r="V62" s="5">
        <f t="shared" si="41"/>
        <v>4.8096245332514961E-3</v>
      </c>
      <c r="W62" s="1"/>
      <c r="X62" s="1">
        <f t="shared" si="42"/>
        <v>2066.37</v>
      </c>
      <c r="Y62" s="1"/>
      <c r="Z62" s="5">
        <f t="shared" si="43"/>
        <v>3.1184841990884666</v>
      </c>
    </row>
    <row r="63" spans="1:26" s="24" customFormat="1" hidden="1" outlineLevel="2" x14ac:dyDescent="0.25">
      <c r="A63" s="28"/>
      <c r="B63" s="11" t="str">
        <f>CONCATENATE("          ", "6234", " - ", "EXPENDABLE SUPPLIES &amp; EQUIPMEN")</f>
        <v xml:space="preserve">          6234 - EXPENDABLE SUPPLIES &amp; EQUIPMEN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354.82</v>
      </c>
      <c r="Q63" s="2"/>
      <c r="R63" s="7">
        <f t="shared" si="40"/>
        <v>2.6182542246486031E-3</v>
      </c>
      <c r="S63" s="2"/>
      <c r="T63" s="6"/>
      <c r="U63" s="2"/>
      <c r="V63" s="7">
        <f t="shared" si="41"/>
        <v>0</v>
      </c>
      <c r="W63" s="2"/>
      <c r="X63" s="6">
        <f t="shared" si="42"/>
        <v>354.82</v>
      </c>
      <c r="Y63" s="2"/>
      <c r="Z63" s="7">
        <f t="shared" si="43"/>
        <v>0</v>
      </c>
    </row>
    <row r="64" spans="1:26" s="24" customFormat="1" hidden="1" outlineLevel="2" x14ac:dyDescent="0.25">
      <c r="A64" s="28"/>
      <c r="B64" s="11" t="str">
        <f>CONCATENATE("          ", "6237", " - ", "JANITORIAL SUPPLIES")</f>
        <v xml:space="preserve">          6237 - JANITORIAL SUPPLIES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>
        <v>111.27</v>
      </c>
      <c r="Q64" s="2"/>
      <c r="R64" s="7">
        <f t="shared" si="40"/>
        <v>8.2107307247801726E-4</v>
      </c>
      <c r="S64" s="2"/>
      <c r="T64" s="6">
        <v>40.21</v>
      </c>
      <c r="U64" s="2"/>
      <c r="V64" s="7">
        <f t="shared" si="41"/>
        <v>2.9186411892493839E-4</v>
      </c>
      <c r="W64" s="2"/>
      <c r="X64" s="6">
        <f t="shared" si="42"/>
        <v>71.06</v>
      </c>
      <c r="Y64" s="2"/>
      <c r="Z64" s="7">
        <f t="shared" si="43"/>
        <v>1.7672220840586919</v>
      </c>
    </row>
    <row r="65" spans="1:26" s="24" customFormat="1" hidden="1" outlineLevel="2" x14ac:dyDescent="0.25">
      <c r="A65" s="28"/>
      <c r="B65" s="11" t="str">
        <f>CONCATENATE("          ", "6241", " - ", "OFFICE EXPENSE")</f>
        <v xml:space="preserve">          6241 - OFFICE EXPENSE</v>
      </c>
      <c r="C65" s="11"/>
      <c r="D65" s="6">
        <v>22.45</v>
      </c>
      <c r="E65" s="2"/>
      <c r="F65" s="7">
        <f t="shared" si="36"/>
        <v>2.6641562284946514E-4</v>
      </c>
      <c r="G65" s="2"/>
      <c r="H65" s="6">
        <v>22.25</v>
      </c>
      <c r="I65" s="2"/>
      <c r="J65" s="7">
        <f t="shared" si="37"/>
        <v>2.5966247845676696E-4</v>
      </c>
      <c r="K65" s="2"/>
      <c r="L65" s="6">
        <f t="shared" si="38"/>
        <v>0.19999999999999929</v>
      </c>
      <c r="M65" s="2"/>
      <c r="N65" s="7">
        <f t="shared" si="39"/>
        <v>8.9887640449437881E-3</v>
      </c>
      <c r="O65" s="11"/>
      <c r="P65" s="6">
        <v>130.19</v>
      </c>
      <c r="Q65" s="2"/>
      <c r="R65" s="7">
        <f t="shared" si="40"/>
        <v>9.6068574913195891E-4</v>
      </c>
      <c r="S65" s="2"/>
      <c r="T65" s="6">
        <v>136.93</v>
      </c>
      <c r="U65" s="2"/>
      <c r="V65" s="7">
        <f t="shared" si="41"/>
        <v>9.9390583945266884E-4</v>
      </c>
      <c r="W65" s="2"/>
      <c r="X65" s="6">
        <f t="shared" si="42"/>
        <v>-6.7400000000000091</v>
      </c>
      <c r="Y65" s="2"/>
      <c r="Z65" s="7">
        <f t="shared" si="43"/>
        <v>-4.9222230336668435E-2</v>
      </c>
    </row>
    <row r="66" spans="1:26" s="24" customFormat="1" hidden="1" outlineLevel="2" x14ac:dyDescent="0.25">
      <c r="A66" s="28"/>
      <c r="B66" s="11" t="str">
        <f>CONCATENATE("          ", "6245", " - ", "PRINTING")</f>
        <v xml:space="preserve">          6245 - PRINTING</v>
      </c>
      <c r="C66" s="11"/>
      <c r="D66" s="6">
        <v>35.54</v>
      </c>
      <c r="E66" s="2"/>
      <c r="F66" s="7">
        <f t="shared" si="36"/>
        <v>4.2175551162895286E-4</v>
      </c>
      <c r="G66" s="2"/>
      <c r="H66" s="6"/>
      <c r="I66" s="2"/>
      <c r="J66" s="7">
        <f t="shared" si="37"/>
        <v>0</v>
      </c>
      <c r="K66" s="2"/>
      <c r="L66" s="6">
        <f t="shared" si="38"/>
        <v>35.54</v>
      </c>
      <c r="M66" s="2"/>
      <c r="N66" s="7">
        <f t="shared" si="39"/>
        <v>0</v>
      </c>
      <c r="O66" s="11"/>
      <c r="P66" s="6">
        <v>35.54</v>
      </c>
      <c r="Q66" s="2"/>
      <c r="R66" s="7">
        <f t="shared" si="40"/>
        <v>2.6225341058568107E-4</v>
      </c>
      <c r="S66" s="2"/>
      <c r="T66" s="6"/>
      <c r="U66" s="2"/>
      <c r="V66" s="7">
        <f t="shared" si="41"/>
        <v>0</v>
      </c>
      <c r="W66" s="2"/>
      <c r="X66" s="6">
        <f t="shared" si="42"/>
        <v>35.54</v>
      </c>
      <c r="Y66" s="2"/>
      <c r="Z66" s="7">
        <f t="shared" si="43"/>
        <v>0</v>
      </c>
    </row>
    <row r="67" spans="1:26" s="24" customFormat="1" hidden="1" outlineLevel="2" x14ac:dyDescent="0.25">
      <c r="A67" s="28"/>
      <c r="B67" s="11" t="str">
        <f>CONCATENATE("          ", "6247", " - ", "STORE SUPPLIES")</f>
        <v xml:space="preserve">          6247 - STORE SUPPLIES</v>
      </c>
      <c r="C67" s="11"/>
      <c r="D67" s="6">
        <v>324.43</v>
      </c>
      <c r="E67" s="2"/>
      <c r="F67" s="7">
        <f t="shared" si="36"/>
        <v>3.8500320944789301E-3</v>
      </c>
      <c r="G67" s="2"/>
      <c r="H67" s="6">
        <v>-353.5</v>
      </c>
      <c r="I67" s="2"/>
      <c r="J67" s="7">
        <f t="shared" si="37"/>
        <v>-4.1254240959311059E-3</v>
      </c>
      <c r="K67" s="2"/>
      <c r="L67" s="6">
        <f t="shared" si="38"/>
        <v>677.93000000000006</v>
      </c>
      <c r="M67" s="2"/>
      <c r="N67" s="7">
        <f t="shared" si="39"/>
        <v>-1.917765205091938</v>
      </c>
      <c r="O67" s="11"/>
      <c r="P67" s="6">
        <v>2097.17</v>
      </c>
      <c r="Q67" s="2"/>
      <c r="R67" s="7">
        <f t="shared" si="40"/>
        <v>1.5475238747269917E-2</v>
      </c>
      <c r="S67" s="2"/>
      <c r="T67" s="6">
        <v>297.61</v>
      </c>
      <c r="U67" s="2"/>
      <c r="V67" s="7">
        <f t="shared" si="41"/>
        <v>2.1602009558132533E-3</v>
      </c>
      <c r="W67" s="2"/>
      <c r="X67" s="6">
        <f t="shared" si="42"/>
        <v>1799.56</v>
      </c>
      <c r="Y67" s="2"/>
      <c r="Z67" s="7">
        <f t="shared" si="43"/>
        <v>6.0467054198447627</v>
      </c>
    </row>
    <row r="68" spans="1:26" s="24" customFormat="1" hidden="1" outlineLevel="2" x14ac:dyDescent="0.25">
      <c r="A68" s="28"/>
      <c r="B68" s="11" t="str">
        <f>CONCATENATE("          ", "6248", " - ", "UNIFORMS")</f>
        <v xml:space="preserve">          6248 - UNIFORMS</v>
      </c>
      <c r="C68" s="11"/>
      <c r="D68" s="6"/>
      <c r="E68" s="2"/>
      <c r="F68" s="7">
        <f t="shared" si="36"/>
        <v>0</v>
      </c>
      <c r="G68" s="2"/>
      <c r="H68" s="6"/>
      <c r="I68" s="2"/>
      <c r="J68" s="7">
        <f t="shared" si="37"/>
        <v>0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/>
      <c r="Q68" s="2"/>
      <c r="R68" s="7">
        <f t="shared" si="40"/>
        <v>0</v>
      </c>
      <c r="S68" s="2"/>
      <c r="T68" s="6">
        <v>187.87</v>
      </c>
      <c r="U68" s="2"/>
      <c r="V68" s="7">
        <f t="shared" si="41"/>
        <v>1.3636536190606359E-3</v>
      </c>
      <c r="W68" s="2"/>
      <c r="X68" s="6">
        <f t="shared" si="42"/>
        <v>-187.87</v>
      </c>
      <c r="Y68" s="2"/>
      <c r="Z68" s="7">
        <f t="shared" si="43"/>
        <v>-1</v>
      </c>
    </row>
    <row r="69" spans="1:26" s="29" customFormat="1" outlineLevel="1" collapsed="1" x14ac:dyDescent="0.25">
      <c r="A69" s="27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SUM(OSRRefD22_12x_0)</f>
        <v>125</v>
      </c>
      <c r="E69" s="1"/>
      <c r="F69" s="5">
        <f t="shared" ref="F69:F72" si="44">IF(D$12=0,0,D69/D$12)</f>
        <v>1.4833832007208527E-3</v>
      </c>
      <c r="G69" s="1"/>
      <c r="H69" s="1">
        <f>SUM(OSRRefH22_12x_0)</f>
        <v>190</v>
      </c>
      <c r="I69" s="1"/>
      <c r="J69" s="5">
        <f t="shared" ref="J69:J72" si="45">IF(H$12=0,0,H69/H$12)</f>
        <v>2.2173425126645269E-3</v>
      </c>
      <c r="K69" s="1"/>
      <c r="L69" s="1">
        <f t="shared" ref="L69:L72" si="46">+D69-H69</f>
        <v>-65</v>
      </c>
      <c r="M69" s="1"/>
      <c r="N69" s="5">
        <f t="shared" ref="N69:N72" si="47">IF(H69=0,0,L69/H69)</f>
        <v>-0.34210526315789475</v>
      </c>
      <c r="O69" s="14"/>
      <c r="P69" s="1">
        <f>SUM(OSRRefP22_12x_0)</f>
        <v>323.60000000000002</v>
      </c>
      <c r="Q69" s="1"/>
      <c r="R69" s="5">
        <f t="shared" ref="R69:R72" si="48">IF(P$12=0,0,P69/P$12)</f>
        <v>2.387878549958537E-3</v>
      </c>
      <c r="S69" s="1"/>
      <c r="T69" s="1">
        <f>SUM(OSRRefT22_12x_0)</f>
        <v>459.35</v>
      </c>
      <c r="U69" s="1"/>
      <c r="V69" s="5">
        <f t="shared" ref="V69:V72" si="49">IF(T$12=0,0,T69/T$12)</f>
        <v>3.334190077795833E-3</v>
      </c>
      <c r="W69" s="1"/>
      <c r="X69" s="1">
        <f t="shared" ref="X69:X72" si="50">+P69-T69</f>
        <v>-135.75</v>
      </c>
      <c r="Y69" s="1"/>
      <c r="Z69" s="5">
        <f t="shared" ref="Z69:Z72" si="51">IF(T69=0,0,X69/T69)</f>
        <v>-0.29552628714487861</v>
      </c>
    </row>
    <row r="70" spans="1:26" s="24" customFormat="1" hidden="1" outlineLevel="2" x14ac:dyDescent="0.25">
      <c r="A70" s="28"/>
      <c r="B70" s="11" t="str">
        <f>CONCATENATE("          ", "6309", " - ", "TELEPHONE")</f>
        <v xml:space="preserve">          6309 - TELEPHONE</v>
      </c>
      <c r="C70" s="11"/>
      <c r="D70" s="6">
        <v>125</v>
      </c>
      <c r="E70" s="2"/>
      <c r="F70" s="7">
        <f t="shared" si="44"/>
        <v>1.4833832007208527E-3</v>
      </c>
      <c r="G70" s="2"/>
      <c r="H70" s="6">
        <v>190</v>
      </c>
      <c r="I70" s="2"/>
      <c r="J70" s="7">
        <f t="shared" si="45"/>
        <v>2.2173425126645269E-3</v>
      </c>
      <c r="K70" s="2"/>
      <c r="L70" s="6">
        <f t="shared" si="46"/>
        <v>-65</v>
      </c>
      <c r="M70" s="2"/>
      <c r="N70" s="7">
        <f t="shared" si="47"/>
        <v>-0.34210526315789475</v>
      </c>
      <c r="O70" s="11"/>
      <c r="P70" s="6">
        <v>323.60000000000002</v>
      </c>
      <c r="Q70" s="2"/>
      <c r="R70" s="7">
        <f t="shared" si="48"/>
        <v>2.387878549958537E-3</v>
      </c>
      <c r="S70" s="2"/>
      <c r="T70" s="6">
        <v>459.35</v>
      </c>
      <c r="U70" s="2"/>
      <c r="V70" s="7">
        <f t="shared" si="49"/>
        <v>3.334190077795833E-3</v>
      </c>
      <c r="W70" s="2"/>
      <c r="X70" s="6">
        <f t="shared" si="50"/>
        <v>-135.75</v>
      </c>
      <c r="Y70" s="2"/>
      <c r="Z70" s="7">
        <f t="shared" si="51"/>
        <v>-0.29552628714487861</v>
      </c>
    </row>
    <row r="71" spans="1:26" s="29" customFormat="1" outlineLevel="1" collapsed="1" x14ac:dyDescent="0.25">
      <c r="A71" s="27"/>
      <c r="B71" s="14" t="str">
        <f>CONCATENATE("     ","Training                                          ")</f>
        <v xml:space="preserve">     Training                                          </v>
      </c>
      <c r="C71" s="14"/>
      <c r="D71" s="1">
        <f>SUM(OSRRefD22_13x_0)</f>
        <v>96</v>
      </c>
      <c r="E71" s="1"/>
      <c r="F71" s="5">
        <f t="shared" si="44"/>
        <v>1.139238298153615E-3</v>
      </c>
      <c r="G71" s="1"/>
      <c r="H71" s="1">
        <f>SUM(OSRRefH22_13x_0)</f>
        <v>0</v>
      </c>
      <c r="I71" s="1"/>
      <c r="J71" s="5">
        <f t="shared" si="45"/>
        <v>0</v>
      </c>
      <c r="K71" s="1"/>
      <c r="L71" s="1">
        <f t="shared" si="46"/>
        <v>96</v>
      </c>
      <c r="M71" s="1"/>
      <c r="N71" s="5">
        <f t="shared" si="47"/>
        <v>0</v>
      </c>
      <c r="O71" s="14"/>
      <c r="P71" s="1">
        <f>SUM(OSRRefP22_13x_0)</f>
        <v>96</v>
      </c>
      <c r="Q71" s="1"/>
      <c r="R71" s="5">
        <f t="shared" si="48"/>
        <v>7.0839413101365738E-4</v>
      </c>
      <c r="S71" s="1"/>
      <c r="T71" s="1">
        <f>SUM(OSRRefT22_13x_0)</f>
        <v>98.82</v>
      </c>
      <c r="U71" s="1"/>
      <c r="V71" s="5">
        <f t="shared" si="49"/>
        <v>7.17284561854325E-4</v>
      </c>
      <c r="W71" s="1"/>
      <c r="X71" s="1">
        <f t="shared" si="50"/>
        <v>-2.8199999999999932</v>
      </c>
      <c r="Y71" s="1"/>
      <c r="Z71" s="5">
        <f t="shared" si="51"/>
        <v>-2.8536733454766174E-2</v>
      </c>
    </row>
    <row r="72" spans="1:26" s="24" customFormat="1" hidden="1" outlineLevel="2" x14ac:dyDescent="0.25">
      <c r="A72" s="28"/>
      <c r="B72" s="11" t="str">
        <f>CONCATENATE("          ", "6376", " - ", "TRAINING")</f>
        <v xml:space="preserve">          6376 - TRAINING</v>
      </c>
      <c r="C72" s="11"/>
      <c r="D72" s="6">
        <v>96</v>
      </c>
      <c r="E72" s="2"/>
      <c r="F72" s="7">
        <f t="shared" si="44"/>
        <v>1.139238298153615E-3</v>
      </c>
      <c r="G72" s="2"/>
      <c r="H72" s="6"/>
      <c r="I72" s="2"/>
      <c r="J72" s="7">
        <f t="shared" si="45"/>
        <v>0</v>
      </c>
      <c r="K72" s="2"/>
      <c r="L72" s="6">
        <f t="shared" si="46"/>
        <v>96</v>
      </c>
      <c r="M72" s="2"/>
      <c r="N72" s="7">
        <f t="shared" si="47"/>
        <v>0</v>
      </c>
      <c r="O72" s="11"/>
      <c r="P72" s="6">
        <v>96</v>
      </c>
      <c r="Q72" s="2"/>
      <c r="R72" s="7">
        <f t="shared" si="48"/>
        <v>7.0839413101365738E-4</v>
      </c>
      <c r="S72" s="2"/>
      <c r="T72" s="6">
        <v>98.82</v>
      </c>
      <c r="U72" s="2"/>
      <c r="V72" s="7">
        <f t="shared" si="49"/>
        <v>7.17284561854325E-4</v>
      </c>
      <c r="W72" s="2"/>
      <c r="X72" s="6">
        <f t="shared" si="50"/>
        <v>-2.8199999999999932</v>
      </c>
      <c r="Y72" s="2"/>
      <c r="Z72" s="7">
        <f t="shared" si="51"/>
        <v>-2.8536733454766174E-2</v>
      </c>
    </row>
    <row r="73" spans="1:26" s="53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5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6" t="s">
        <v>3</v>
      </c>
      <c r="C76" s="26"/>
      <c r="D76" s="21">
        <f>+D24-D26+D74</f>
        <v>25418.410000000011</v>
      </c>
      <c r="E76" s="13"/>
      <c r="F76" s="20">
        <f>IF(D$12=0,0,D76/D$12)</f>
        <v>0.30164193906427955</v>
      </c>
      <c r="G76" s="13"/>
      <c r="H76" s="21">
        <f>+H24-H26+H74</f>
        <v>24026.850000000006</v>
      </c>
      <c r="I76" s="13"/>
      <c r="J76" s="20">
        <f>IF(H$12=0,0,H76/H$12)</f>
        <v>0.28039871552849316</v>
      </c>
      <c r="K76" s="15"/>
      <c r="L76" s="21">
        <f>+D76-H76</f>
        <v>1391.5600000000049</v>
      </c>
      <c r="M76" s="15"/>
      <c r="N76" s="20">
        <f>IF(H76=0,0,L76/H76)</f>
        <v>5.7916872165931221E-2</v>
      </c>
      <c r="O76" s="25"/>
      <c r="P76" s="21">
        <f>+P24-P26+P74</f>
        <v>18710.080000000024</v>
      </c>
      <c r="Q76" s="13"/>
      <c r="R76" s="20">
        <f>IF(P$12=0,0,P76/P$12)</f>
        <v>0.13806365482079194</v>
      </c>
      <c r="S76" s="13"/>
      <c r="T76" s="21">
        <f>+T24-T26+T74</f>
        <v>19763.94000000001</v>
      </c>
      <c r="U76" s="13"/>
      <c r="V76" s="20">
        <f>IF(T$12=0,0,T76/T$12)</f>
        <v>0.1434564768611129</v>
      </c>
      <c r="W76" s="15"/>
      <c r="X76" s="21">
        <f>+P76-T76</f>
        <v>-1053.859999999986</v>
      </c>
      <c r="Y76" s="15"/>
      <c r="Z76" s="20">
        <f>IF(T76=0,0,X76/T76)</f>
        <v>-5.3322363860646489E-2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1"/>
      <c r="B78" s="10" t="s">
        <v>13</v>
      </c>
      <c r="C78" s="10"/>
      <c r="D78" s="4">
        <v>8166.34</v>
      </c>
      <c r="E78" s="4"/>
      <c r="F78" s="12">
        <f>IF(D$12=0,0,D78/D$12)</f>
        <v>9.6910492538997833E-2</v>
      </c>
      <c r="G78" s="4"/>
      <c r="H78" s="4">
        <v>6923.16</v>
      </c>
      <c r="I78" s="4"/>
      <c r="J78" s="12">
        <f>IF(H$12=0,0,H78/H$12)</f>
        <v>8.0794826263044975E-2</v>
      </c>
      <c r="K78" s="4"/>
      <c r="L78" s="4">
        <f>+D78-H78</f>
        <v>1243.1800000000003</v>
      </c>
      <c r="M78" s="4"/>
      <c r="N78" s="12">
        <f>IF(H78=0,0,L78/H78)</f>
        <v>0.17956828962496899</v>
      </c>
      <c r="O78" s="10"/>
      <c r="P78" s="4">
        <v>14556.4</v>
      </c>
      <c r="Q78" s="4"/>
      <c r="R78" s="12">
        <f>IF(P$12=0,0,P78/P$12)</f>
        <v>0.10741321175715836</v>
      </c>
      <c r="S78" s="4"/>
      <c r="T78" s="4">
        <v>12240.43</v>
      </c>
      <c r="U78" s="4"/>
      <c r="V78" s="12">
        <f>IF(T$12=0,0,T78/T$12)</f>
        <v>8.8847110599661369E-2</v>
      </c>
      <c r="W78" s="4"/>
      <c r="X78" s="4">
        <f>+P78-T78</f>
        <v>2315.9699999999993</v>
      </c>
      <c r="Y78" s="4"/>
      <c r="Z78" s="12">
        <f>IF(T78=0,0,X78/T78)</f>
        <v>0.18920658833063866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4</v>
      </c>
      <c r="C80" s="26"/>
      <c r="D80" s="35">
        <f>+D76-D78</f>
        <v>17252.070000000011</v>
      </c>
      <c r="E80" s="13"/>
      <c r="F80" s="30">
        <f>IF(D$12=0,0,D80/D$12)</f>
        <v>0.20473144652528175</v>
      </c>
      <c r="G80" s="13"/>
      <c r="H80" s="35">
        <f>+H76-H78</f>
        <v>17103.690000000006</v>
      </c>
      <c r="I80" s="13"/>
      <c r="J80" s="30">
        <f>IF(H$12=0,0,H80/H$12)</f>
        <v>0.19960388926544817</v>
      </c>
      <c r="K80" s="15"/>
      <c r="L80" s="35">
        <f>D80-H80</f>
        <v>148.38000000000466</v>
      </c>
      <c r="M80" s="15"/>
      <c r="N80" s="30">
        <f>IF(H80=0,0,L80/H80)</f>
        <v>8.6753209395168292E-3</v>
      </c>
      <c r="O80" s="25"/>
      <c r="P80" s="35">
        <f>+P76-P78</f>
        <v>4153.6800000000239</v>
      </c>
      <c r="Q80" s="13"/>
      <c r="R80" s="30">
        <f>IF(P$12=0,0,P80/P$12)</f>
        <v>3.0650443063633598E-2</v>
      </c>
      <c r="S80" s="13"/>
      <c r="T80" s="35">
        <f>+T76-T78</f>
        <v>7523.5100000000093</v>
      </c>
      <c r="U80" s="13"/>
      <c r="V80" s="30">
        <f>IF(T$12=0,0,T80/T$12)</f>
        <v>5.4609366261451527E-2</v>
      </c>
      <c r="W80" s="15"/>
      <c r="X80" s="35">
        <f>P80-T80</f>
        <v>-3369.8299999999854</v>
      </c>
      <c r="Y80" s="15"/>
      <c r="Z80" s="30">
        <f>IF(T80=0,0,X80/T80)</f>
        <v>-0.44790662868793701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5</v>
      </c>
      <c r="C83" s="26"/>
      <c r="D83" s="36">
        <f>SUM(D80:D82)</f>
        <v>17252.070000000011</v>
      </c>
      <c r="E83" s="13"/>
      <c r="F83" s="31">
        <f>IF(D$12=0,0,D83/D$12)</f>
        <v>0.20473144652528175</v>
      </c>
      <c r="G83" s="13"/>
      <c r="H83" s="36">
        <f>SUM(H80:H82)</f>
        <v>17103.690000000006</v>
      </c>
      <c r="I83" s="13"/>
      <c r="J83" s="31">
        <f>IF(H$12=0,0,H83/H$12)</f>
        <v>0.19960388926544817</v>
      </c>
      <c r="K83" s="15"/>
      <c r="L83" s="36">
        <f>+D83-H83</f>
        <v>148.38000000000466</v>
      </c>
      <c r="M83" s="15"/>
      <c r="N83" s="31">
        <f>IF(H83=0,0,L83/H83)</f>
        <v>8.6753209395168292E-3</v>
      </c>
      <c r="O83" s="25"/>
      <c r="P83" s="36">
        <f>SUM(P80:P82)</f>
        <v>4153.6800000000239</v>
      </c>
      <c r="Q83" s="13"/>
      <c r="R83" s="31">
        <f>IF(P$12=0,0,P83/P$12)</f>
        <v>3.0650443063633598E-2</v>
      </c>
      <c r="S83" s="13"/>
      <c r="T83" s="36">
        <f>SUM(T80:T82)</f>
        <v>7523.5100000000093</v>
      </c>
      <c r="U83" s="13"/>
      <c r="V83" s="31">
        <f>IF(T$12=0,0,T83/T$12)</f>
        <v>5.4609366261451527E-2</v>
      </c>
      <c r="W83" s="15"/>
      <c r="X83" s="36">
        <f>+P83-T83</f>
        <v>-3369.8299999999854</v>
      </c>
      <c r="Y83" s="15"/>
      <c r="Z83" s="31">
        <f>IF(T83=0,0,X83/T83)</f>
        <v>-0.44790662868793701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5">
        <v>43756.463010104169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6" t="s">
        <v>313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7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297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","321", " - ", "Student Union C-Store")</f>
        <v>Department 321 - Student Union C-Store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49419.18</v>
      </c>
      <c r="E12" s="4"/>
      <c r="F12" s="12"/>
      <c r="G12" s="4"/>
      <c r="H12" s="4">
        <f>SUM(OSRRefH13x_0)</f>
        <v>45060.66</v>
      </c>
      <c r="I12" s="4"/>
      <c r="J12" s="12"/>
      <c r="K12" s="4"/>
      <c r="L12" s="4">
        <f t="shared" ref="L12:L14" si="0">+D12-H12</f>
        <v>4358.5199999999968</v>
      </c>
      <c r="M12" s="4"/>
      <c r="N12" s="12">
        <f t="shared" ref="N12:N14" si="1">IF(H12=0,0,L12/H12)</f>
        <v>9.6725613872499797E-2</v>
      </c>
      <c r="O12" s="10"/>
      <c r="P12" s="4">
        <f>SUM(OSRRefP13x_0)</f>
        <v>71935.31</v>
      </c>
      <c r="Q12" s="4"/>
      <c r="R12" s="12"/>
      <c r="S12" s="4"/>
      <c r="T12" s="4">
        <f>SUM(OSRRefT13x_0)</f>
        <v>67397.3</v>
      </c>
      <c r="U12" s="4"/>
      <c r="V12" s="12"/>
      <c r="W12" s="4"/>
      <c r="X12" s="4">
        <f t="shared" ref="X12:X14" si="2">+P12-T12</f>
        <v>4538.0099999999948</v>
      </c>
      <c r="Y12" s="4"/>
      <c r="Z12" s="12">
        <f t="shared" ref="Z12:Z14" si="3">IF(T12=0,0,X12/T12)</f>
        <v>6.7332222507429748E-2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--12163.44</f>
        <v>12163.44</v>
      </c>
      <c r="E13" s="2"/>
      <c r="F13" s="19"/>
      <c r="G13" s="2"/>
      <c r="H13" s="2">
        <f>--11807.01</f>
        <v>11807.01</v>
      </c>
      <c r="I13" s="2"/>
      <c r="J13" s="19"/>
      <c r="K13" s="2"/>
      <c r="L13" s="2">
        <f t="shared" si="0"/>
        <v>356.43000000000029</v>
      </c>
      <c r="M13" s="2"/>
      <c r="N13" s="19">
        <f t="shared" si="1"/>
        <v>3.0187998485645417E-2</v>
      </c>
      <c r="O13" s="11"/>
      <c r="P13" s="2">
        <f>--17522.28</f>
        <v>17522.28</v>
      </c>
      <c r="Q13" s="2"/>
      <c r="R13" s="19"/>
      <c r="S13" s="2"/>
      <c r="T13" s="2">
        <f>--17292.59</f>
        <v>17292.59</v>
      </c>
      <c r="U13" s="2"/>
      <c r="V13" s="19"/>
      <c r="W13" s="2"/>
      <c r="X13" s="2">
        <f t="shared" si="2"/>
        <v>229.68999999999869</v>
      </c>
      <c r="Y13" s="2"/>
      <c r="Z13" s="19">
        <f t="shared" si="3"/>
        <v>1.3282567851316587E-2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>--37255.74</f>
        <v>37255.74</v>
      </c>
      <c r="E14" s="2"/>
      <c r="F14" s="19"/>
      <c r="G14" s="2"/>
      <c r="H14" s="2">
        <f>--33253.65</f>
        <v>33253.65</v>
      </c>
      <c r="I14" s="2"/>
      <c r="J14" s="19"/>
      <c r="K14" s="2"/>
      <c r="L14" s="2">
        <f t="shared" si="0"/>
        <v>4002.0899999999965</v>
      </c>
      <c r="M14" s="2"/>
      <c r="N14" s="19">
        <f t="shared" si="1"/>
        <v>0.1203503976255237</v>
      </c>
      <c r="O14" s="11"/>
      <c r="P14" s="2">
        <f>--54413.03</f>
        <v>54413.03</v>
      </c>
      <c r="Q14" s="2"/>
      <c r="R14" s="19"/>
      <c r="S14" s="2"/>
      <c r="T14" s="2">
        <f>--50104.71</f>
        <v>50104.71</v>
      </c>
      <c r="U14" s="2"/>
      <c r="V14" s="19"/>
      <c r="W14" s="2"/>
      <c r="X14" s="2">
        <f t="shared" si="2"/>
        <v>4308.32</v>
      </c>
      <c r="Y14" s="2"/>
      <c r="Z14" s="19">
        <f t="shared" si="3"/>
        <v>8.5986327433089621E-2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23163.639999999996</v>
      </c>
      <c r="E16" s="4"/>
      <c r="F16" s="12">
        <f t="shared" ref="F16:F18" si="4">IF(D$12=0,0,D16/D$12)</f>
        <v>0.46871761125943401</v>
      </c>
      <c r="G16" s="4"/>
      <c r="H16" s="4">
        <f>SUM(OSRRefH16x_0)</f>
        <v>22862.18</v>
      </c>
      <c r="I16" s="4"/>
      <c r="J16" s="12">
        <f t="shared" ref="J16:J18" si="5">IF(H$12=0,0,H16/H$12)</f>
        <v>0.50736451707542674</v>
      </c>
      <c r="K16" s="4"/>
      <c r="L16" s="4">
        <f t="shared" ref="L16:L18" si="6">+D16-H16</f>
        <v>301.45999999999549</v>
      </c>
      <c r="M16" s="4"/>
      <c r="N16" s="12">
        <f t="shared" ref="N16:N18" si="7">IF(H16=0,0,L16/H16)</f>
        <v>1.3185969142050124E-2</v>
      </c>
      <c r="O16" s="10"/>
      <c r="P16" s="4">
        <f>SUM(OSRRefP16x_0)</f>
        <v>33923.17</v>
      </c>
      <c r="Q16" s="4"/>
      <c r="R16" s="12">
        <f t="shared" ref="R16:R18" si="8">IF(P$12=0,0,P16/P$12)</f>
        <v>0.47157883937665662</v>
      </c>
      <c r="S16" s="4"/>
      <c r="T16" s="4">
        <f>SUM(OSRRefT16x_0)</f>
        <v>31892.080000000002</v>
      </c>
      <c r="U16" s="4"/>
      <c r="V16" s="12">
        <f t="shared" ref="V16:V18" si="9">IF(T$12=0,0,T16/T$12)</f>
        <v>0.47319521701907941</v>
      </c>
      <c r="W16" s="4"/>
      <c r="X16" s="4">
        <f t="shared" ref="X16:X18" si="10">+P16-T16</f>
        <v>2031.0899999999965</v>
      </c>
      <c r="Y16" s="4"/>
      <c r="Z16" s="12">
        <f t="shared" ref="Z16:Z18" si="11">IF(T16=0,0,X16/T16)</f>
        <v>6.3686344697492181E-2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22056.929999999997</v>
      </c>
      <c r="E17" s="2"/>
      <c r="F17" s="19">
        <f t="shared" si="4"/>
        <v>0.44632326962932201</v>
      </c>
      <c r="G17" s="2"/>
      <c r="H17" s="2">
        <v>18621.41</v>
      </c>
      <c r="I17" s="2"/>
      <c r="J17" s="19">
        <f t="shared" si="5"/>
        <v>0.41325204735128157</v>
      </c>
      <c r="K17" s="2"/>
      <c r="L17" s="2">
        <f t="shared" si="6"/>
        <v>3435.5199999999968</v>
      </c>
      <c r="M17" s="2"/>
      <c r="N17" s="19">
        <f t="shared" si="7"/>
        <v>0.184493011001852</v>
      </c>
      <c r="O17" s="11"/>
      <c r="P17" s="2">
        <v>38830.400000000001</v>
      </c>
      <c r="Q17" s="2"/>
      <c r="R17" s="19">
        <f t="shared" si="8"/>
        <v>0.53979610291524427</v>
      </c>
      <c r="S17" s="2"/>
      <c r="T17" s="2">
        <v>35424.720000000001</v>
      </c>
      <c r="U17" s="2"/>
      <c r="V17" s="19">
        <f t="shared" si="9"/>
        <v>0.52561037311583703</v>
      </c>
      <c r="W17" s="2"/>
      <c r="X17" s="2">
        <f t="shared" si="10"/>
        <v>3405.6800000000003</v>
      </c>
      <c r="Y17" s="2"/>
      <c r="Z17" s="19">
        <f t="shared" si="11"/>
        <v>9.6138515703158706E-2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1106.71</v>
      </c>
      <c r="E18" s="2"/>
      <c r="F18" s="19">
        <f t="shared" si="4"/>
        <v>2.2394341630112034E-2</v>
      </c>
      <c r="G18" s="2"/>
      <c r="H18" s="2">
        <v>4240.7700000000004</v>
      </c>
      <c r="I18" s="2"/>
      <c r="J18" s="19">
        <f t="shared" si="5"/>
        <v>9.4112469724145192E-2</v>
      </c>
      <c r="K18" s="2"/>
      <c r="L18" s="2">
        <f t="shared" si="6"/>
        <v>-3134.0600000000004</v>
      </c>
      <c r="M18" s="2"/>
      <c r="N18" s="19">
        <f t="shared" si="7"/>
        <v>-0.73903088354237556</v>
      </c>
      <c r="O18" s="11"/>
      <c r="P18" s="2">
        <v>-4907.2299999999996</v>
      </c>
      <c r="Q18" s="2"/>
      <c r="R18" s="19">
        <f t="shared" si="8"/>
        <v>-6.8217263538587647E-2</v>
      </c>
      <c r="S18" s="2"/>
      <c r="T18" s="2">
        <v>-3532.64</v>
      </c>
      <c r="U18" s="2"/>
      <c r="V18" s="19">
        <f t="shared" si="9"/>
        <v>-5.2415156096757579E-2</v>
      </c>
      <c r="W18" s="2"/>
      <c r="X18" s="2">
        <f t="shared" si="10"/>
        <v>-1374.5899999999997</v>
      </c>
      <c r="Y18" s="2"/>
      <c r="Z18" s="19">
        <f t="shared" si="11"/>
        <v>0.38911125956791515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1">
        <f>D12-D16</f>
        <v>26255.540000000005</v>
      </c>
      <c r="E20" s="13"/>
      <c r="F20" s="20">
        <f>IF(D$12=0,0,D20/D$12)</f>
        <v>0.53128238874056599</v>
      </c>
      <c r="G20" s="13"/>
      <c r="H20" s="21">
        <f>H12-H16</f>
        <v>22198.480000000003</v>
      </c>
      <c r="I20" s="13"/>
      <c r="J20" s="20">
        <f>IF(H$12=0,0,H20/H$12)</f>
        <v>0.49263548292457326</v>
      </c>
      <c r="K20" s="15"/>
      <c r="L20" s="21">
        <f>+D20-H20</f>
        <v>4057.0600000000013</v>
      </c>
      <c r="M20" s="15"/>
      <c r="N20" s="20">
        <f>IF(H20=0,0,L20/H20)</f>
        <v>0.18276296395068495</v>
      </c>
      <c r="O20" s="25"/>
      <c r="P20" s="21">
        <f>P12-P16</f>
        <v>38012.14</v>
      </c>
      <c r="Q20" s="13"/>
      <c r="R20" s="20">
        <f>IF(P$12=0,0,P20/P$12)</f>
        <v>0.52842116062334343</v>
      </c>
      <c r="S20" s="13"/>
      <c r="T20" s="21">
        <f>T12-T16</f>
        <v>35505.22</v>
      </c>
      <c r="U20" s="13"/>
      <c r="V20" s="20">
        <f>IF(T$12=0,0,T20/T$12)</f>
        <v>0.52680478298092059</v>
      </c>
      <c r="W20" s="15"/>
      <c r="X20" s="21">
        <f>+P20-T20</f>
        <v>2506.9199999999983</v>
      </c>
      <c r="Y20" s="15"/>
      <c r="Z20" s="20">
        <f>IF(T20=0,0,X20/T20)</f>
        <v>7.0607082564197551E-2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18647.96</v>
      </c>
      <c r="E22" s="22"/>
      <c r="F22" s="34">
        <f t="shared" ref="F22:F30" si="12">IF(D$12=0,0,D22/D$12)</f>
        <v>0.3773425621388295</v>
      </c>
      <c r="G22" s="22"/>
      <c r="H22" s="22">
        <f>SUM(OSRRefH22x_0)</f>
        <v>10440.099999999999</v>
      </c>
      <c r="I22" s="22"/>
      <c r="J22" s="34">
        <f t="shared" ref="J22:J30" si="13">IF(H$12=0,0,H22/H$12)</f>
        <v>0.23168990423131836</v>
      </c>
      <c r="K22" s="4"/>
      <c r="L22" s="22">
        <f t="shared" ref="L22:L30" si="14">+D22-H22</f>
        <v>8207.86</v>
      </c>
      <c r="M22" s="4"/>
      <c r="N22" s="34">
        <f t="shared" ref="N22:N30" si="15">IF(H22=0,0,L22/H22)</f>
        <v>0.78618595607321784</v>
      </c>
      <c r="O22" s="10"/>
      <c r="P22" s="22">
        <f>SUM(OSRRefP22x_0)</f>
        <v>36957.360000000008</v>
      </c>
      <c r="Q22" s="22"/>
      <c r="R22" s="34">
        <f t="shared" ref="R22:R30" si="16">IF(P$12=0,0,P22/P$12)</f>
        <v>0.51375826419598403</v>
      </c>
      <c r="S22" s="22"/>
      <c r="T22" s="22">
        <f>SUM(OSRRefT22x_0)</f>
        <v>20465.960000000003</v>
      </c>
      <c r="U22" s="22"/>
      <c r="V22" s="34">
        <f t="shared" ref="V22:V30" si="17">IF(T$12=0,0,T22/T$12)</f>
        <v>0.30366142263859236</v>
      </c>
      <c r="W22" s="4"/>
      <c r="X22" s="22">
        <f t="shared" ref="X22:X30" si="18">+P22-T22</f>
        <v>16491.400000000005</v>
      </c>
      <c r="Y22" s="4"/>
      <c r="Z22" s="34">
        <f t="shared" ref="Z22:Z30" si="19">IF(T22=0,0,X22/T22)</f>
        <v>0.80579655193306365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1652.27</v>
      </c>
      <c r="E23" s="1"/>
      <c r="F23" s="5">
        <f t="shared" si="12"/>
        <v>3.3433780163895879E-2</v>
      </c>
      <c r="G23" s="1"/>
      <c r="H23" s="1">
        <f>SUM(OSRRefH22_0x_0)</f>
        <v>9.09</v>
      </c>
      <c r="I23" s="1"/>
      <c r="J23" s="5">
        <f t="shared" si="13"/>
        <v>2.0172807056088391E-4</v>
      </c>
      <c r="K23" s="1"/>
      <c r="L23" s="1">
        <f t="shared" si="14"/>
        <v>1643.18</v>
      </c>
      <c r="M23" s="1"/>
      <c r="N23" s="5">
        <f t="shared" si="15"/>
        <v>180.76787678767877</v>
      </c>
      <c r="O23" s="14"/>
      <c r="P23" s="1">
        <f>SUM(OSRRefP22_0x_0)</f>
        <v>4674.1400000000003</v>
      </c>
      <c r="Q23" s="1"/>
      <c r="R23" s="5">
        <f t="shared" si="16"/>
        <v>6.4976991132727452E-2</v>
      </c>
      <c r="S23" s="1"/>
      <c r="T23" s="1">
        <f>SUM(OSRRefT22_0x_0)</f>
        <v>231.62</v>
      </c>
      <c r="U23" s="1"/>
      <c r="V23" s="5">
        <f t="shared" si="17"/>
        <v>3.4366361857225735E-3</v>
      </c>
      <c r="W23" s="1"/>
      <c r="X23" s="1">
        <f t="shared" si="18"/>
        <v>4442.5200000000004</v>
      </c>
      <c r="Y23" s="1"/>
      <c r="Z23" s="5">
        <f t="shared" si="19"/>
        <v>19.18020896295657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>
        <v>253.31</v>
      </c>
      <c r="E24" s="2"/>
      <c r="F24" s="7">
        <f t="shared" si="12"/>
        <v>5.125742677235842E-3</v>
      </c>
      <c r="G24" s="2"/>
      <c r="H24" s="6"/>
      <c r="I24" s="2"/>
      <c r="J24" s="7">
        <f t="shared" si="13"/>
        <v>0</v>
      </c>
      <c r="K24" s="2"/>
      <c r="L24" s="6">
        <f t="shared" si="14"/>
        <v>253.31</v>
      </c>
      <c r="M24" s="2"/>
      <c r="N24" s="7">
        <f t="shared" si="15"/>
        <v>0</v>
      </c>
      <c r="O24" s="11"/>
      <c r="P24" s="6">
        <v>854.31</v>
      </c>
      <c r="Q24" s="2"/>
      <c r="R24" s="7">
        <f t="shared" si="16"/>
        <v>1.1876087000945711E-2</v>
      </c>
      <c r="S24" s="2"/>
      <c r="T24" s="6">
        <v>177.94</v>
      </c>
      <c r="U24" s="2"/>
      <c r="V24" s="7">
        <f t="shared" si="17"/>
        <v>2.6401651104717844E-3</v>
      </c>
      <c r="W24" s="2"/>
      <c r="X24" s="6">
        <f t="shared" si="18"/>
        <v>676.36999999999989</v>
      </c>
      <c r="Y24" s="2"/>
      <c r="Z24" s="7">
        <f t="shared" si="19"/>
        <v>3.8011127346296498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>
        <v>146.96</v>
      </c>
      <c r="E25" s="2"/>
      <c r="F25" s="7">
        <f t="shared" si="12"/>
        <v>2.9737442021498537E-3</v>
      </c>
      <c r="G25" s="2"/>
      <c r="H25" s="6"/>
      <c r="I25" s="2"/>
      <c r="J25" s="7">
        <f t="shared" si="13"/>
        <v>0</v>
      </c>
      <c r="K25" s="2"/>
      <c r="L25" s="6">
        <f t="shared" si="14"/>
        <v>146.96</v>
      </c>
      <c r="M25" s="2"/>
      <c r="N25" s="7">
        <f t="shared" si="15"/>
        <v>0</v>
      </c>
      <c r="O25" s="11"/>
      <c r="P25" s="6">
        <v>252.43</v>
      </c>
      <c r="Q25" s="2"/>
      <c r="R25" s="7">
        <f t="shared" si="16"/>
        <v>3.5091250736251781E-3</v>
      </c>
      <c r="S25" s="2"/>
      <c r="T25" s="6">
        <v>36.6</v>
      </c>
      <c r="U25" s="2"/>
      <c r="V25" s="7">
        <f t="shared" si="17"/>
        <v>5.4304846039826516E-4</v>
      </c>
      <c r="W25" s="2"/>
      <c r="X25" s="6">
        <f t="shared" si="18"/>
        <v>215.83</v>
      </c>
      <c r="Y25" s="2"/>
      <c r="Z25" s="7">
        <f t="shared" si="19"/>
        <v>5.8969945355191262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>
        <v>935.3</v>
      </c>
      <c r="E26" s="2"/>
      <c r="F26" s="7">
        <f t="shared" si="12"/>
        <v>1.8925850246807006E-2</v>
      </c>
      <c r="G26" s="2"/>
      <c r="H26" s="6"/>
      <c r="I26" s="2"/>
      <c r="J26" s="7">
        <f t="shared" si="13"/>
        <v>0</v>
      </c>
      <c r="K26" s="2"/>
      <c r="L26" s="6">
        <f t="shared" si="14"/>
        <v>935.3</v>
      </c>
      <c r="M26" s="2"/>
      <c r="N26" s="7">
        <f t="shared" si="15"/>
        <v>0</v>
      </c>
      <c r="O26" s="11"/>
      <c r="P26" s="6">
        <v>2805.9</v>
      </c>
      <c r="Q26" s="2"/>
      <c r="R26" s="7">
        <f t="shared" si="16"/>
        <v>3.9005879032147077E-2</v>
      </c>
      <c r="S26" s="2"/>
      <c r="T26" s="6"/>
      <c r="U26" s="2"/>
      <c r="V26" s="7">
        <f t="shared" si="17"/>
        <v>0</v>
      </c>
      <c r="W26" s="2"/>
      <c r="X26" s="6">
        <f t="shared" si="18"/>
        <v>2805.9</v>
      </c>
      <c r="Y26" s="2"/>
      <c r="Z26" s="7">
        <f t="shared" si="19"/>
        <v>0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20.11</v>
      </c>
      <c r="E27" s="2"/>
      <c r="F27" s="7">
        <f t="shared" si="12"/>
        <v>4.0692702711781132E-4</v>
      </c>
      <c r="G27" s="2"/>
      <c r="H27" s="6">
        <v>9.09</v>
      </c>
      <c r="I27" s="2"/>
      <c r="J27" s="7">
        <f t="shared" si="13"/>
        <v>2.0172807056088391E-4</v>
      </c>
      <c r="K27" s="2"/>
      <c r="L27" s="6">
        <f t="shared" si="14"/>
        <v>11.02</v>
      </c>
      <c r="M27" s="2"/>
      <c r="N27" s="7">
        <f t="shared" si="15"/>
        <v>1.2123212321232122</v>
      </c>
      <c r="O27" s="11"/>
      <c r="P27" s="6">
        <v>34.21</v>
      </c>
      <c r="Q27" s="2"/>
      <c r="R27" s="7">
        <f t="shared" si="16"/>
        <v>4.7556617188415537E-4</v>
      </c>
      <c r="S27" s="2"/>
      <c r="T27" s="6">
        <v>17.079999999999998</v>
      </c>
      <c r="U27" s="2"/>
      <c r="V27" s="7">
        <f t="shared" si="17"/>
        <v>2.5342261485252371E-4</v>
      </c>
      <c r="W27" s="2"/>
      <c r="X27" s="6">
        <f t="shared" si="18"/>
        <v>17.130000000000003</v>
      </c>
      <c r="Y27" s="2"/>
      <c r="Z27" s="7">
        <f t="shared" si="19"/>
        <v>1.0029274004683844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>
        <v>134.11000000000001</v>
      </c>
      <c r="E28" s="2"/>
      <c r="F28" s="7">
        <f t="shared" si="12"/>
        <v>2.7137236999885471E-3</v>
      </c>
      <c r="G28" s="2"/>
      <c r="H28" s="6"/>
      <c r="I28" s="2"/>
      <c r="J28" s="7">
        <f t="shared" si="13"/>
        <v>0</v>
      </c>
      <c r="K28" s="2"/>
      <c r="L28" s="6">
        <f t="shared" si="14"/>
        <v>134.11000000000001</v>
      </c>
      <c r="M28" s="2"/>
      <c r="N28" s="7">
        <f t="shared" si="15"/>
        <v>0</v>
      </c>
      <c r="O28" s="11"/>
      <c r="P28" s="6">
        <v>402.33</v>
      </c>
      <c r="Q28" s="2"/>
      <c r="R28" s="7">
        <f t="shared" si="16"/>
        <v>5.5929417694870571E-3</v>
      </c>
      <c r="S28" s="2"/>
      <c r="T28" s="6"/>
      <c r="U28" s="2"/>
      <c r="V28" s="7">
        <f t="shared" si="17"/>
        <v>0</v>
      </c>
      <c r="W28" s="2"/>
      <c r="X28" s="6">
        <f t="shared" si="18"/>
        <v>402.33</v>
      </c>
      <c r="Y28" s="2"/>
      <c r="Z28" s="7">
        <f t="shared" si="19"/>
        <v>0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>
        <v>73.92</v>
      </c>
      <c r="E29" s="2"/>
      <c r="F29" s="7">
        <f t="shared" si="12"/>
        <v>1.4957755268298666E-3</v>
      </c>
      <c r="G29" s="2"/>
      <c r="H29" s="6"/>
      <c r="I29" s="2"/>
      <c r="J29" s="7">
        <f t="shared" si="13"/>
        <v>0</v>
      </c>
      <c r="K29" s="2"/>
      <c r="L29" s="6">
        <f t="shared" si="14"/>
        <v>73.92</v>
      </c>
      <c r="M29" s="2"/>
      <c r="N29" s="7">
        <f t="shared" si="15"/>
        <v>0</v>
      </c>
      <c r="O29" s="11"/>
      <c r="P29" s="6">
        <v>147.84</v>
      </c>
      <c r="Q29" s="2"/>
      <c r="R29" s="7">
        <f t="shared" si="16"/>
        <v>2.0551798553450316E-3</v>
      </c>
      <c r="S29" s="2"/>
      <c r="T29" s="6"/>
      <c r="U29" s="2"/>
      <c r="V29" s="7">
        <f t="shared" si="17"/>
        <v>0</v>
      </c>
      <c r="W29" s="2"/>
      <c r="X29" s="6">
        <f t="shared" si="18"/>
        <v>147.84</v>
      </c>
      <c r="Y29" s="2"/>
      <c r="Z29" s="7">
        <f t="shared" si="19"/>
        <v>0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>
        <v>88.56</v>
      </c>
      <c r="E30" s="2"/>
      <c r="F30" s="7">
        <f t="shared" si="12"/>
        <v>1.7920167837669504E-3</v>
      </c>
      <c r="G30" s="2"/>
      <c r="H30" s="6"/>
      <c r="I30" s="2"/>
      <c r="J30" s="7">
        <f t="shared" si="13"/>
        <v>0</v>
      </c>
      <c r="K30" s="2"/>
      <c r="L30" s="6">
        <f t="shared" si="14"/>
        <v>88.56</v>
      </c>
      <c r="M30" s="2"/>
      <c r="N30" s="7">
        <f t="shared" si="15"/>
        <v>0</v>
      </c>
      <c r="O30" s="11"/>
      <c r="P30" s="6">
        <v>177.12</v>
      </c>
      <c r="Q30" s="2"/>
      <c r="R30" s="7">
        <f t="shared" si="16"/>
        <v>2.462212229293236E-3</v>
      </c>
      <c r="S30" s="2"/>
      <c r="T30" s="6"/>
      <c r="U30" s="2"/>
      <c r="V30" s="7">
        <f t="shared" si="17"/>
        <v>0</v>
      </c>
      <c r="W30" s="2"/>
      <c r="X30" s="6">
        <f t="shared" si="18"/>
        <v>177.12</v>
      </c>
      <c r="Y30" s="2"/>
      <c r="Z30" s="7">
        <f t="shared" si="19"/>
        <v>0</v>
      </c>
    </row>
    <row r="31" spans="1:26" s="29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7097.04</v>
      </c>
      <c r="E31" s="1"/>
      <c r="F31" s="5">
        <f t="shared" ref="F31:F36" si="20">IF(D$12=0,0,D31/D$12)</f>
        <v>0.14360901981781163</v>
      </c>
      <c r="G31" s="1"/>
      <c r="H31" s="1">
        <f>SUM(OSRRefH22_1x_0)</f>
        <v>3665.13</v>
      </c>
      <c r="I31" s="1"/>
      <c r="J31" s="5">
        <f t="shared" ref="J31:J36" si="21">IF(H$12=0,0,H31/H$12)</f>
        <v>8.1337690127042075E-2</v>
      </c>
      <c r="K31" s="1"/>
      <c r="L31" s="1">
        <f t="shared" ref="L31:L36" si="22">+D31-H31</f>
        <v>3431.91</v>
      </c>
      <c r="M31" s="1"/>
      <c r="N31" s="5">
        <f t="shared" ref="N31:N36" si="23">IF(H31=0,0,L31/H31)</f>
        <v>0.93636787781060971</v>
      </c>
      <c r="O31" s="14"/>
      <c r="P31" s="1">
        <f>SUM(OSRRefP22_1x_0)</f>
        <v>16696.689999999999</v>
      </c>
      <c r="Q31" s="1"/>
      <c r="R31" s="5">
        <f t="shared" ref="R31:R36" si="24">IF(P$12=0,0,P31/P$12)</f>
        <v>0.2321070139268184</v>
      </c>
      <c r="S31" s="1"/>
      <c r="T31" s="1">
        <f>SUM(OSRRefT22_1x_0)</f>
        <v>6815.89</v>
      </c>
      <c r="U31" s="1"/>
      <c r="V31" s="5">
        <f t="shared" ref="V31:V36" si="25">IF(T$12=0,0,T31/T$12)</f>
        <v>0.1011300155940965</v>
      </c>
      <c r="W31" s="1"/>
      <c r="X31" s="1">
        <f t="shared" ref="X31:X36" si="26">+P31-T31</f>
        <v>9880.7999999999993</v>
      </c>
      <c r="Y31" s="1"/>
      <c r="Z31" s="5">
        <f t="shared" ref="Z31:Z36" si="27">IF(T31=0,0,X31/T31)</f>
        <v>1.4496712828405387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6">
        <v>1920</v>
      </c>
      <c r="E32" s="2"/>
      <c r="F32" s="7">
        <f t="shared" si="20"/>
        <v>3.8851312385191336E-2</v>
      </c>
      <c r="G32" s="2"/>
      <c r="H32" s="6"/>
      <c r="I32" s="2"/>
      <c r="J32" s="7">
        <f t="shared" si="21"/>
        <v>0</v>
      </c>
      <c r="K32" s="2"/>
      <c r="L32" s="6">
        <f t="shared" si="22"/>
        <v>1920</v>
      </c>
      <c r="M32" s="2"/>
      <c r="N32" s="7">
        <f t="shared" si="23"/>
        <v>0</v>
      </c>
      <c r="O32" s="11"/>
      <c r="P32" s="6">
        <v>6048</v>
      </c>
      <c r="Q32" s="2"/>
      <c r="R32" s="7">
        <f t="shared" si="24"/>
        <v>8.40755395368422E-2</v>
      </c>
      <c r="S32" s="2"/>
      <c r="T32" s="6"/>
      <c r="U32" s="2"/>
      <c r="V32" s="7">
        <f t="shared" si="25"/>
        <v>0</v>
      </c>
      <c r="W32" s="2"/>
      <c r="X32" s="6">
        <f t="shared" si="26"/>
        <v>6048</v>
      </c>
      <c r="Y32" s="2"/>
      <c r="Z32" s="7">
        <f t="shared" si="27"/>
        <v>0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20"/>
        <v>0</v>
      </c>
      <c r="G33" s="2"/>
      <c r="H33" s="6"/>
      <c r="I33" s="2"/>
      <c r="J33" s="7">
        <f t="shared" si="21"/>
        <v>0</v>
      </c>
      <c r="K33" s="2"/>
      <c r="L33" s="6">
        <f t="shared" si="22"/>
        <v>0</v>
      </c>
      <c r="M33" s="2"/>
      <c r="N33" s="7">
        <f t="shared" si="23"/>
        <v>0</v>
      </c>
      <c r="O33" s="11"/>
      <c r="P33" s="6">
        <v>1708.78</v>
      </c>
      <c r="Q33" s="2"/>
      <c r="R33" s="7">
        <f t="shared" si="24"/>
        <v>2.375439822251409E-2</v>
      </c>
      <c r="S33" s="2"/>
      <c r="T33" s="6"/>
      <c r="U33" s="2"/>
      <c r="V33" s="7">
        <f t="shared" si="25"/>
        <v>0</v>
      </c>
      <c r="W33" s="2"/>
      <c r="X33" s="6">
        <f t="shared" si="26"/>
        <v>1708.78</v>
      </c>
      <c r="Y33" s="2"/>
      <c r="Z33" s="7">
        <f t="shared" si="27"/>
        <v>0</v>
      </c>
    </row>
    <row r="34" spans="1:26" s="24" customFormat="1" hidden="1" outlineLevel="2" x14ac:dyDescent="0.25">
      <c r="A34" s="28"/>
      <c r="B34" s="11" t="str">
        <f>CONCATENATE("          ", "6006", " - ", "TEMPORARY PART TIME")</f>
        <v xml:space="preserve">          6006 - TEMPORARY PART TIME</v>
      </c>
      <c r="C34" s="11"/>
      <c r="D34" s="6">
        <v>1391.35</v>
      </c>
      <c r="E34" s="2"/>
      <c r="F34" s="7">
        <f t="shared" si="20"/>
        <v>2.8154048691216647E-2</v>
      </c>
      <c r="G34" s="2"/>
      <c r="H34" s="6"/>
      <c r="I34" s="2"/>
      <c r="J34" s="7">
        <f t="shared" si="21"/>
        <v>0</v>
      </c>
      <c r="K34" s="2"/>
      <c r="L34" s="6">
        <f t="shared" si="22"/>
        <v>1391.35</v>
      </c>
      <c r="M34" s="2"/>
      <c r="N34" s="7">
        <f t="shared" si="23"/>
        <v>0</v>
      </c>
      <c r="O34" s="11"/>
      <c r="P34" s="6">
        <v>2299.7800000000002</v>
      </c>
      <c r="Q34" s="2"/>
      <c r="R34" s="7">
        <f t="shared" si="24"/>
        <v>3.1970113147493213E-2</v>
      </c>
      <c r="S34" s="2"/>
      <c r="T34" s="6">
        <v>575.76</v>
      </c>
      <c r="U34" s="2"/>
      <c r="V34" s="7">
        <f t="shared" si="25"/>
        <v>8.5427754524291036E-3</v>
      </c>
      <c r="W34" s="2"/>
      <c r="X34" s="6">
        <f t="shared" si="26"/>
        <v>1724.0200000000002</v>
      </c>
      <c r="Y34" s="2"/>
      <c r="Z34" s="7">
        <f t="shared" si="27"/>
        <v>2.9943379185771852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6">
        <v>3665.69</v>
      </c>
      <c r="E35" s="2"/>
      <c r="F35" s="7">
        <f t="shared" si="20"/>
        <v>7.4175451717329186E-2</v>
      </c>
      <c r="G35" s="2"/>
      <c r="H35" s="6">
        <v>3665.13</v>
      </c>
      <c r="I35" s="2"/>
      <c r="J35" s="7">
        <f t="shared" si="21"/>
        <v>8.1337690127042075E-2</v>
      </c>
      <c r="K35" s="2"/>
      <c r="L35" s="6">
        <f t="shared" si="22"/>
        <v>0.55999999999994543</v>
      </c>
      <c r="M35" s="2"/>
      <c r="N35" s="7">
        <f t="shared" si="23"/>
        <v>1.5279130617466377E-4</v>
      </c>
      <c r="O35" s="11"/>
      <c r="P35" s="6">
        <v>6446.82</v>
      </c>
      <c r="Q35" s="2"/>
      <c r="R35" s="7">
        <f t="shared" si="24"/>
        <v>8.9619687466419476E-2</v>
      </c>
      <c r="S35" s="2"/>
      <c r="T35" s="6">
        <v>6240.13</v>
      </c>
      <c r="U35" s="2"/>
      <c r="V35" s="7">
        <f t="shared" si="25"/>
        <v>9.2587240141667387E-2</v>
      </c>
      <c r="W35" s="2"/>
      <c r="X35" s="6">
        <f t="shared" si="26"/>
        <v>206.6899999999996</v>
      </c>
      <c r="Y35" s="2"/>
      <c r="Z35" s="7">
        <f t="shared" si="27"/>
        <v>3.3122707379493632E-2</v>
      </c>
    </row>
    <row r="36" spans="1:26" s="24" customFormat="1" hidden="1" outlineLevel="2" x14ac:dyDescent="0.25">
      <c r="A36" s="28"/>
      <c r="B36" s="11" t="str">
        <f>CONCATENATE("          ", "6008", " - ", "STUDENT HOURLY-FICA EXEMPT")</f>
        <v xml:space="preserve">          6008 - STUDENT HOURLY-FICA EXEMPT</v>
      </c>
      <c r="C36" s="11"/>
      <c r="D36" s="6">
        <v>120</v>
      </c>
      <c r="E36" s="2"/>
      <c r="F36" s="7">
        <f t="shared" si="20"/>
        <v>2.4282070240744585E-3</v>
      </c>
      <c r="G36" s="2"/>
      <c r="H36" s="6"/>
      <c r="I36" s="2"/>
      <c r="J36" s="7">
        <f t="shared" si="21"/>
        <v>0</v>
      </c>
      <c r="K36" s="2"/>
      <c r="L36" s="6">
        <f t="shared" si="22"/>
        <v>120</v>
      </c>
      <c r="M36" s="2"/>
      <c r="N36" s="7">
        <f t="shared" si="23"/>
        <v>0</v>
      </c>
      <c r="O36" s="11"/>
      <c r="P36" s="6">
        <v>193.31</v>
      </c>
      <c r="Q36" s="2"/>
      <c r="R36" s="7">
        <f t="shared" si="24"/>
        <v>2.6872755535494322E-3</v>
      </c>
      <c r="S36" s="2"/>
      <c r="T36" s="6"/>
      <c r="U36" s="2"/>
      <c r="V36" s="7">
        <f t="shared" si="25"/>
        <v>0</v>
      </c>
      <c r="W36" s="2"/>
      <c r="X36" s="6">
        <f t="shared" si="26"/>
        <v>193.31</v>
      </c>
      <c r="Y36" s="2"/>
      <c r="Z36" s="7">
        <f t="shared" si="27"/>
        <v>0</v>
      </c>
    </row>
    <row r="37" spans="1:26" s="29" customFormat="1" outlineLevel="1" collapsed="1" x14ac:dyDescent="0.25">
      <c r="A37" s="27"/>
      <c r="B37" s="14" t="str">
        <f>CONCATENATE("     ","Bad Debts/Over/Short                              ")</f>
        <v xml:space="preserve">     Bad Debts/Over/Short                              </v>
      </c>
      <c r="C37" s="14"/>
      <c r="D37" s="1">
        <f>SUM(OSRRefD22_2x_0)</f>
        <v>-28.23</v>
      </c>
      <c r="E37" s="1"/>
      <c r="F37" s="5">
        <f t="shared" ref="F37:F48" si="28">IF(D$12=0,0,D37/D$12)</f>
        <v>-5.7123570241351636E-4</v>
      </c>
      <c r="G37" s="1"/>
      <c r="H37" s="1">
        <f>SUM(OSRRefH22_2x_0)</f>
        <v>-71.760000000000005</v>
      </c>
      <c r="I37" s="1"/>
      <c r="J37" s="5">
        <f t="shared" ref="J37:J48" si="29">IF(H$12=0,0,H37/H$12)</f>
        <v>-1.5925199497743708E-3</v>
      </c>
      <c r="K37" s="1"/>
      <c r="L37" s="1">
        <f t="shared" ref="L37:L48" si="30">+D37-H37</f>
        <v>43.53</v>
      </c>
      <c r="M37" s="1"/>
      <c r="N37" s="5">
        <f t="shared" ref="N37:N48" si="31">IF(H37=0,0,L37/H37)</f>
        <v>-0.60660535117056857</v>
      </c>
      <c r="O37" s="14"/>
      <c r="P37" s="1">
        <f>SUM(OSRRefP22_2x_0)</f>
        <v>-26.32</v>
      </c>
      <c r="Q37" s="1"/>
      <c r="R37" s="5">
        <f t="shared" ref="R37:R48" si="32">IF(P$12=0,0,P37/P$12)</f>
        <v>-3.6588429242885031E-4</v>
      </c>
      <c r="S37" s="1"/>
      <c r="T37" s="1">
        <f>SUM(OSRRefT22_2x_0)</f>
        <v>-45.03</v>
      </c>
      <c r="U37" s="1"/>
      <c r="V37" s="5">
        <f t="shared" ref="V37:V48" si="33">IF(T$12=0,0,T37/T$12)</f>
        <v>-6.6812765496540659E-4</v>
      </c>
      <c r="W37" s="1"/>
      <c r="X37" s="1">
        <f t="shared" ref="X37:X48" si="34">+P37-T37</f>
        <v>18.71</v>
      </c>
      <c r="Y37" s="1"/>
      <c r="Z37" s="5">
        <f t="shared" ref="Z37:Z48" si="35">IF(T37=0,0,X37/T37)</f>
        <v>-0.41550077725960471</v>
      </c>
    </row>
    <row r="38" spans="1:26" s="24" customFormat="1" hidden="1" outlineLevel="2" x14ac:dyDescent="0.25">
      <c r="A38" s="28"/>
      <c r="B38" s="11" t="str">
        <f>CONCATENATE("          ", "6272", " - ", "CASH (OVER/SHORT)")</f>
        <v xml:space="preserve">          6272 - CASH (OVER/SHORT)</v>
      </c>
      <c r="C38" s="11"/>
      <c r="D38" s="6">
        <v>-28.23</v>
      </c>
      <c r="E38" s="2"/>
      <c r="F38" s="7">
        <f t="shared" si="28"/>
        <v>-5.7123570241351636E-4</v>
      </c>
      <c r="G38" s="2"/>
      <c r="H38" s="6">
        <v>-71.760000000000005</v>
      </c>
      <c r="I38" s="2"/>
      <c r="J38" s="7">
        <f t="shared" si="29"/>
        <v>-1.5925199497743708E-3</v>
      </c>
      <c r="K38" s="2"/>
      <c r="L38" s="6">
        <f t="shared" si="30"/>
        <v>43.53</v>
      </c>
      <c r="M38" s="2"/>
      <c r="N38" s="7">
        <f t="shared" si="31"/>
        <v>-0.60660535117056857</v>
      </c>
      <c r="O38" s="11"/>
      <c r="P38" s="6">
        <v>-26.32</v>
      </c>
      <c r="Q38" s="2"/>
      <c r="R38" s="7">
        <f t="shared" si="32"/>
        <v>-3.6588429242885031E-4</v>
      </c>
      <c r="S38" s="2"/>
      <c r="T38" s="6">
        <v>-45.03</v>
      </c>
      <c r="U38" s="2"/>
      <c r="V38" s="7">
        <f t="shared" si="33"/>
        <v>-6.6812765496540659E-4</v>
      </c>
      <c r="W38" s="2"/>
      <c r="X38" s="6">
        <f t="shared" si="34"/>
        <v>18.71</v>
      </c>
      <c r="Y38" s="2"/>
      <c r="Z38" s="7">
        <f t="shared" si="35"/>
        <v>-0.41550077725960471</v>
      </c>
    </row>
    <row r="39" spans="1:26" s="29" customFormat="1" outlineLevel="1" collapsed="1" x14ac:dyDescent="0.25">
      <c r="A39" s="27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1684.92</v>
      </c>
      <c r="E39" s="1"/>
      <c r="F39" s="5">
        <f t="shared" si="28"/>
        <v>3.4094454825029472E-2</v>
      </c>
      <c r="G39" s="1"/>
      <c r="H39" s="1">
        <f>SUM(OSRRefH22_3x_0)</f>
        <v>1496.33</v>
      </c>
      <c r="I39" s="1"/>
      <c r="J39" s="5">
        <f t="shared" si="29"/>
        <v>3.3207014721932611E-2</v>
      </c>
      <c r="K39" s="1"/>
      <c r="L39" s="1">
        <f t="shared" si="30"/>
        <v>188.59000000000015</v>
      </c>
      <c r="M39" s="1"/>
      <c r="N39" s="5">
        <f t="shared" si="31"/>
        <v>0.12603503237922126</v>
      </c>
      <c r="O39" s="14"/>
      <c r="P39" s="1">
        <f>SUM(OSRRefP22_3x_0)</f>
        <v>2434.0100000000002</v>
      </c>
      <c r="Q39" s="1"/>
      <c r="R39" s="5">
        <f t="shared" si="32"/>
        <v>3.3836095236122569E-2</v>
      </c>
      <c r="S39" s="1"/>
      <c r="T39" s="1">
        <f>SUM(OSRRefT22_3x_0)</f>
        <v>2132.33</v>
      </c>
      <c r="U39" s="1"/>
      <c r="V39" s="5">
        <f t="shared" si="33"/>
        <v>3.1638211026257725E-2</v>
      </c>
      <c r="W39" s="1"/>
      <c r="X39" s="1">
        <f t="shared" si="34"/>
        <v>301.68000000000029</v>
      </c>
      <c r="Y39" s="1"/>
      <c r="Z39" s="5">
        <f t="shared" si="35"/>
        <v>0.14147903936069947</v>
      </c>
    </row>
    <row r="40" spans="1:26" s="24" customFormat="1" hidden="1" outlineLevel="2" x14ac:dyDescent="0.25">
      <c r="A40" s="28"/>
      <c r="B40" s="11" t="str">
        <f>CONCATENATE("          ", "6381", " - ", "BANK/CREDIT CARD FEES")</f>
        <v xml:space="preserve">          6381 - BANK/CREDIT CARD FEES</v>
      </c>
      <c r="C40" s="11"/>
      <c r="D40" s="6">
        <v>1684.92</v>
      </c>
      <c r="E40" s="2"/>
      <c r="F40" s="7">
        <f t="shared" si="28"/>
        <v>3.4094454825029472E-2</v>
      </c>
      <c r="G40" s="2"/>
      <c r="H40" s="6">
        <v>1496.33</v>
      </c>
      <c r="I40" s="2"/>
      <c r="J40" s="7">
        <f t="shared" si="29"/>
        <v>3.3207014721932611E-2</v>
      </c>
      <c r="K40" s="2"/>
      <c r="L40" s="6">
        <f t="shared" si="30"/>
        <v>188.59000000000015</v>
      </c>
      <c r="M40" s="2"/>
      <c r="N40" s="7">
        <f t="shared" si="31"/>
        <v>0.12603503237922126</v>
      </c>
      <c r="O40" s="11"/>
      <c r="P40" s="6">
        <v>2434.0100000000002</v>
      </c>
      <c r="Q40" s="2"/>
      <c r="R40" s="7">
        <f t="shared" si="32"/>
        <v>3.3836095236122569E-2</v>
      </c>
      <c r="S40" s="2"/>
      <c r="T40" s="6">
        <v>2132.33</v>
      </c>
      <c r="U40" s="2"/>
      <c r="V40" s="7">
        <f t="shared" si="33"/>
        <v>3.1638211026257725E-2</v>
      </c>
      <c r="W40" s="2"/>
      <c r="X40" s="6">
        <f t="shared" si="34"/>
        <v>301.68000000000029</v>
      </c>
      <c r="Y40" s="2"/>
      <c r="Z40" s="7">
        <f t="shared" si="35"/>
        <v>0.14147903936069947</v>
      </c>
    </row>
    <row r="41" spans="1:26" s="29" customFormat="1" outlineLevel="1" collapsed="1" x14ac:dyDescent="0.25">
      <c r="A41" s="27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SUM(OSRRefD22_4x_0)</f>
        <v>968.86</v>
      </c>
      <c r="E41" s="1"/>
      <c r="F41" s="5">
        <f t="shared" si="28"/>
        <v>1.96049388112065E-2</v>
      </c>
      <c r="G41" s="1"/>
      <c r="H41" s="1">
        <f>SUM(OSRRefH22_4x_0)</f>
        <v>968.86</v>
      </c>
      <c r="I41" s="1"/>
      <c r="J41" s="5">
        <f t="shared" si="29"/>
        <v>2.1501238552653245E-2</v>
      </c>
      <c r="K41" s="1"/>
      <c r="L41" s="1">
        <f t="shared" si="30"/>
        <v>0</v>
      </c>
      <c r="M41" s="1"/>
      <c r="N41" s="5">
        <f t="shared" si="31"/>
        <v>0</v>
      </c>
      <c r="O41" s="14"/>
      <c r="P41" s="1">
        <f>SUM(OSRRefP22_4x_0)</f>
        <v>2906.58</v>
      </c>
      <c r="Q41" s="1"/>
      <c r="R41" s="5">
        <f t="shared" si="32"/>
        <v>4.0405469858960784E-2</v>
      </c>
      <c r="S41" s="1"/>
      <c r="T41" s="1">
        <f>SUM(OSRRefT22_4x_0)</f>
        <v>2906.58</v>
      </c>
      <c r="U41" s="1"/>
      <c r="V41" s="5">
        <f t="shared" si="33"/>
        <v>4.3126059946021575E-2</v>
      </c>
      <c r="W41" s="1"/>
      <c r="X41" s="1">
        <f t="shared" si="34"/>
        <v>0</v>
      </c>
      <c r="Y41" s="1"/>
      <c r="Z41" s="5">
        <f t="shared" si="35"/>
        <v>0</v>
      </c>
    </row>
    <row r="42" spans="1:26" s="24" customFormat="1" hidden="1" outlineLevel="2" x14ac:dyDescent="0.25">
      <c r="A42" s="28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968.86</v>
      </c>
      <c r="E42" s="2"/>
      <c r="F42" s="7">
        <f t="shared" si="28"/>
        <v>1.96049388112065E-2</v>
      </c>
      <c r="G42" s="2"/>
      <c r="H42" s="6">
        <v>968.86</v>
      </c>
      <c r="I42" s="2"/>
      <c r="J42" s="7">
        <f t="shared" si="29"/>
        <v>2.1501238552653245E-2</v>
      </c>
      <c r="K42" s="2"/>
      <c r="L42" s="6">
        <f t="shared" si="30"/>
        <v>0</v>
      </c>
      <c r="M42" s="2"/>
      <c r="N42" s="7">
        <f t="shared" si="31"/>
        <v>0</v>
      </c>
      <c r="O42" s="11"/>
      <c r="P42" s="6">
        <v>2906.58</v>
      </c>
      <c r="Q42" s="2"/>
      <c r="R42" s="7">
        <f t="shared" si="32"/>
        <v>4.0405469858960784E-2</v>
      </c>
      <c r="S42" s="2"/>
      <c r="T42" s="6">
        <v>2906.58</v>
      </c>
      <c r="U42" s="2"/>
      <c r="V42" s="7">
        <f t="shared" si="33"/>
        <v>4.3126059946021575E-2</v>
      </c>
      <c r="W42" s="2"/>
      <c r="X42" s="6">
        <f t="shared" si="34"/>
        <v>0</v>
      </c>
      <c r="Y42" s="2"/>
      <c r="Z42" s="7">
        <f t="shared" si="35"/>
        <v>0</v>
      </c>
    </row>
    <row r="43" spans="1:26" s="29" customFormat="1" outlineLevel="1" collapsed="1" x14ac:dyDescent="0.25">
      <c r="A43" s="27"/>
      <c r="B43" s="14" t="str">
        <f>CONCATENATE("     ","General                                           ")</f>
        <v xml:space="preserve">     General                                           </v>
      </c>
      <c r="C43" s="14"/>
      <c r="D43" s="1">
        <f>SUM(OSRRefD22_5x_0)</f>
        <v>0</v>
      </c>
      <c r="E43" s="1"/>
      <c r="F43" s="5">
        <f t="shared" si="28"/>
        <v>0</v>
      </c>
      <c r="G43" s="1"/>
      <c r="H43" s="1">
        <f>SUM(OSRRefH22_5x_0)</f>
        <v>10.75</v>
      </c>
      <c r="I43" s="1"/>
      <c r="J43" s="5">
        <f t="shared" si="29"/>
        <v>2.3856730016826204E-4</v>
      </c>
      <c r="K43" s="1"/>
      <c r="L43" s="1">
        <f t="shared" si="30"/>
        <v>-10.75</v>
      </c>
      <c r="M43" s="1"/>
      <c r="N43" s="5">
        <f t="shared" si="31"/>
        <v>-1</v>
      </c>
      <c r="O43" s="14"/>
      <c r="P43" s="1">
        <f>SUM(OSRRefP22_5x_0)</f>
        <v>746.3</v>
      </c>
      <c r="Q43" s="1"/>
      <c r="R43" s="5">
        <f t="shared" si="32"/>
        <v>1.037459906685604E-2</v>
      </c>
      <c r="S43" s="1"/>
      <c r="T43" s="1">
        <f>SUM(OSRRefT22_5x_0)</f>
        <v>734.95</v>
      </c>
      <c r="U43" s="1"/>
      <c r="V43" s="5">
        <f t="shared" si="33"/>
        <v>1.0904739507368989E-2</v>
      </c>
      <c r="W43" s="1"/>
      <c r="X43" s="1">
        <f t="shared" si="34"/>
        <v>11.349999999999909</v>
      </c>
      <c r="Y43" s="1"/>
      <c r="Z43" s="5">
        <f t="shared" si="35"/>
        <v>1.544322743043732E-2</v>
      </c>
    </row>
    <row r="44" spans="1:26" s="24" customFormat="1" hidden="1" outlineLevel="2" x14ac:dyDescent="0.25">
      <c r="A44" s="28"/>
      <c r="B44" s="11" t="str">
        <f>CONCATENATE("          ", "6279", " - ", "GENERAL EXPENSE")</f>
        <v xml:space="preserve">          6279 - GENERAL EXPENSE</v>
      </c>
      <c r="C44" s="11"/>
      <c r="D44" s="6"/>
      <c r="E44" s="2"/>
      <c r="F44" s="7">
        <f t="shared" si="28"/>
        <v>0</v>
      </c>
      <c r="G44" s="2"/>
      <c r="H44" s="6">
        <v>10.75</v>
      </c>
      <c r="I44" s="2"/>
      <c r="J44" s="7">
        <f t="shared" si="29"/>
        <v>2.3856730016826204E-4</v>
      </c>
      <c r="K44" s="2"/>
      <c r="L44" s="6">
        <f t="shared" si="30"/>
        <v>-10.75</v>
      </c>
      <c r="M44" s="2"/>
      <c r="N44" s="7">
        <f t="shared" si="31"/>
        <v>-1</v>
      </c>
      <c r="O44" s="11"/>
      <c r="P44" s="6">
        <v>746.3</v>
      </c>
      <c r="Q44" s="2"/>
      <c r="R44" s="7">
        <f t="shared" si="32"/>
        <v>1.037459906685604E-2</v>
      </c>
      <c r="S44" s="2"/>
      <c r="T44" s="6">
        <v>734.95</v>
      </c>
      <c r="U44" s="2"/>
      <c r="V44" s="7">
        <f t="shared" si="33"/>
        <v>1.0904739507368989E-2</v>
      </c>
      <c r="W44" s="2"/>
      <c r="X44" s="6">
        <f t="shared" si="34"/>
        <v>11.349999999999909</v>
      </c>
      <c r="Y44" s="2"/>
      <c r="Z44" s="7">
        <f t="shared" si="35"/>
        <v>1.544322743043732E-2</v>
      </c>
    </row>
    <row r="45" spans="1:26" s="29" customFormat="1" outlineLevel="1" collapsed="1" x14ac:dyDescent="0.25">
      <c r="A45" s="27"/>
      <c r="B45" s="14" t="str">
        <f>CONCATENATE("     ","Repair and Maintenance                            ")</f>
        <v xml:space="preserve">     Repair and Maintenance                            </v>
      </c>
      <c r="C45" s="14"/>
      <c r="D45" s="1">
        <f>SUM(OSRRefD22_6x_0)</f>
        <v>437.31</v>
      </c>
      <c r="E45" s="1"/>
      <c r="F45" s="5">
        <f t="shared" si="28"/>
        <v>8.848993447483345E-3</v>
      </c>
      <c r="G45" s="1"/>
      <c r="H45" s="1">
        <f>SUM(OSRRefH22_6x_0)</f>
        <v>44.98</v>
      </c>
      <c r="I45" s="1"/>
      <c r="J45" s="5">
        <f t="shared" si="29"/>
        <v>9.9820996851799314E-4</v>
      </c>
      <c r="K45" s="1"/>
      <c r="L45" s="1">
        <f t="shared" si="30"/>
        <v>392.33</v>
      </c>
      <c r="M45" s="1"/>
      <c r="N45" s="5">
        <f t="shared" si="31"/>
        <v>8.7223210315695869</v>
      </c>
      <c r="O45" s="14"/>
      <c r="P45" s="1">
        <f>SUM(OSRRefP22_6x_0)</f>
        <v>473.73</v>
      </c>
      <c r="Q45" s="1"/>
      <c r="R45" s="5">
        <f t="shared" si="32"/>
        <v>6.5855002223525558E-3</v>
      </c>
      <c r="S45" s="1"/>
      <c r="T45" s="1">
        <f>SUM(OSRRefT22_6x_0)</f>
        <v>44.98</v>
      </c>
      <c r="U45" s="1"/>
      <c r="V45" s="5">
        <f t="shared" si="33"/>
        <v>6.6738578548398812E-4</v>
      </c>
      <c r="W45" s="1"/>
      <c r="X45" s="1">
        <f t="shared" si="34"/>
        <v>428.75</v>
      </c>
      <c r="Y45" s="1"/>
      <c r="Z45" s="5">
        <f t="shared" si="35"/>
        <v>9.5320142285460214</v>
      </c>
    </row>
    <row r="46" spans="1:26" s="24" customFormat="1" hidden="1" outlineLevel="2" x14ac:dyDescent="0.25">
      <c r="A46" s="28"/>
      <c r="B46" s="11" t="str">
        <f>CONCATENATE("          ", "6371", " - ", "COMPUTER SOFTWARE MAINTENANCE")</f>
        <v xml:space="preserve">          6371 - COMPUTER SOFTWARE MAINTENANCE</v>
      </c>
      <c r="C46" s="11"/>
      <c r="D46" s="6">
        <v>437.31</v>
      </c>
      <c r="E46" s="2"/>
      <c r="F46" s="7">
        <f t="shared" si="28"/>
        <v>8.848993447483345E-3</v>
      </c>
      <c r="G46" s="2"/>
      <c r="H46" s="6"/>
      <c r="I46" s="2"/>
      <c r="J46" s="7">
        <f t="shared" si="29"/>
        <v>0</v>
      </c>
      <c r="K46" s="2"/>
      <c r="L46" s="6">
        <f t="shared" si="30"/>
        <v>437.31</v>
      </c>
      <c r="M46" s="2"/>
      <c r="N46" s="7">
        <f t="shared" si="31"/>
        <v>0</v>
      </c>
      <c r="O46" s="11"/>
      <c r="P46" s="6">
        <v>437.31</v>
      </c>
      <c r="Q46" s="2"/>
      <c r="R46" s="7">
        <f t="shared" si="32"/>
        <v>6.0792120031178017E-3</v>
      </c>
      <c r="S46" s="2"/>
      <c r="T46" s="6"/>
      <c r="U46" s="2"/>
      <c r="V46" s="7">
        <f t="shared" si="33"/>
        <v>0</v>
      </c>
      <c r="W46" s="2"/>
      <c r="X46" s="6">
        <f t="shared" si="34"/>
        <v>437.31</v>
      </c>
      <c r="Y46" s="2"/>
      <c r="Z46" s="7">
        <f t="shared" si="35"/>
        <v>0</v>
      </c>
    </row>
    <row r="47" spans="1:26" s="24" customFormat="1" hidden="1" outlineLevel="2" x14ac:dyDescent="0.25">
      <c r="A47" s="28"/>
      <c r="B47" s="11" t="str">
        <f>CONCATENATE("          ", "6373", " - ", "MAINTENANCE CONTRACTS")</f>
        <v xml:space="preserve">          6373 - MAINTENANCE CONTRACTS</v>
      </c>
      <c r="C47" s="11"/>
      <c r="D47" s="6"/>
      <c r="E47" s="2"/>
      <c r="F47" s="7">
        <f t="shared" si="28"/>
        <v>0</v>
      </c>
      <c r="G47" s="2"/>
      <c r="H47" s="6">
        <v>44.98</v>
      </c>
      <c r="I47" s="2"/>
      <c r="J47" s="7">
        <f t="shared" si="29"/>
        <v>9.9820996851799314E-4</v>
      </c>
      <c r="K47" s="2"/>
      <c r="L47" s="6">
        <f t="shared" si="30"/>
        <v>-44.98</v>
      </c>
      <c r="M47" s="2"/>
      <c r="N47" s="7">
        <f t="shared" si="31"/>
        <v>-1</v>
      </c>
      <c r="O47" s="11"/>
      <c r="P47" s="6"/>
      <c r="Q47" s="2"/>
      <c r="R47" s="7">
        <f t="shared" si="32"/>
        <v>0</v>
      </c>
      <c r="S47" s="2"/>
      <c r="T47" s="6">
        <v>44.98</v>
      </c>
      <c r="U47" s="2"/>
      <c r="V47" s="7">
        <f t="shared" si="33"/>
        <v>6.6738578548398812E-4</v>
      </c>
      <c r="W47" s="2"/>
      <c r="X47" s="6">
        <f t="shared" si="34"/>
        <v>-44.98</v>
      </c>
      <c r="Y47" s="2"/>
      <c r="Z47" s="7">
        <f t="shared" si="35"/>
        <v>-1</v>
      </c>
    </row>
    <row r="48" spans="1:26" s="24" customFormat="1" hidden="1" outlineLevel="2" x14ac:dyDescent="0.25">
      <c r="A48" s="28"/>
      <c r="B48" s="11" t="str">
        <f>CONCATENATE("          ", "6375", " - ", "OUTSIDE REPAIRS &amp; MAINTENANCE")</f>
        <v xml:space="preserve">          6375 - OUTSIDE REPAIRS &amp; MAINTENANCE</v>
      </c>
      <c r="C48" s="11"/>
      <c r="D48" s="6"/>
      <c r="E48" s="2"/>
      <c r="F48" s="7">
        <f t="shared" si="28"/>
        <v>0</v>
      </c>
      <c r="G48" s="2"/>
      <c r="H48" s="6"/>
      <c r="I48" s="2"/>
      <c r="J48" s="7">
        <f t="shared" si="29"/>
        <v>0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36.42</v>
      </c>
      <c r="Q48" s="2"/>
      <c r="R48" s="7">
        <f t="shared" si="32"/>
        <v>5.0628821923475419E-4</v>
      </c>
      <c r="S48" s="2"/>
      <c r="T48" s="6"/>
      <c r="U48" s="2"/>
      <c r="V48" s="7">
        <f t="shared" si="33"/>
        <v>0</v>
      </c>
      <c r="W48" s="2"/>
      <c r="X48" s="6">
        <f t="shared" si="34"/>
        <v>36.42</v>
      </c>
      <c r="Y48" s="2"/>
      <c r="Z48" s="7">
        <f t="shared" si="35"/>
        <v>0</v>
      </c>
    </row>
    <row r="49" spans="1:26" s="29" customFormat="1" outlineLevel="1" collapsed="1" x14ac:dyDescent="0.25">
      <c r="A49" s="27"/>
      <c r="B49" s="14" t="str">
        <f>CONCATENATE("     ","Royalty &amp; Commissions                             ")</f>
        <v xml:space="preserve">     Royalty &amp; Commissions                             </v>
      </c>
      <c r="C49" s="14"/>
      <c r="D49" s="1">
        <f>SUM(OSRRefD22_7x_0)</f>
        <v>5673.45</v>
      </c>
      <c r="E49" s="1"/>
      <c r="F49" s="5">
        <f t="shared" ref="F49:F54" si="36">IF(D$12=0,0,D49/D$12)</f>
        <v>0.1148025928394603</v>
      </c>
      <c r="G49" s="1"/>
      <c r="H49" s="1">
        <f>SUM(OSRRefH22_7x_0)</f>
        <v>3675.6</v>
      </c>
      <c r="I49" s="1"/>
      <c r="J49" s="5">
        <f t="shared" ref="J49:J54" si="37">IF(H$12=0,0,H49/H$12)</f>
        <v>8.1570043581252458E-2</v>
      </c>
      <c r="K49" s="1"/>
      <c r="L49" s="1">
        <f t="shared" ref="L49:L54" si="38">+D49-H49</f>
        <v>1997.85</v>
      </c>
      <c r="M49" s="1"/>
      <c r="N49" s="5">
        <f t="shared" ref="N49:N54" si="39">IF(H49=0,0,L49/H49)</f>
        <v>0.54354391119817169</v>
      </c>
      <c r="O49" s="14"/>
      <c r="P49" s="1">
        <f>SUM(OSRRefP22_7x_0)</f>
        <v>5673.45</v>
      </c>
      <c r="Q49" s="1"/>
      <c r="R49" s="5">
        <f t="shared" ref="R49:R54" si="40">IF(P$12=0,0,P49/P$12)</f>
        <v>7.8868778072965842E-2</v>
      </c>
      <c r="S49" s="1"/>
      <c r="T49" s="1">
        <f>SUM(OSRRefT22_7x_0)</f>
        <v>5350.8</v>
      </c>
      <c r="U49" s="1"/>
      <c r="V49" s="5">
        <f t="shared" ref="V49:V54" si="41">IF(T$12=0,0,T49/T$12)</f>
        <v>7.9391904423470966E-2</v>
      </c>
      <c r="W49" s="1"/>
      <c r="X49" s="1">
        <f t="shared" ref="X49:X54" si="42">+P49-T49</f>
        <v>322.64999999999964</v>
      </c>
      <c r="Y49" s="1"/>
      <c r="Z49" s="5">
        <f t="shared" ref="Z49:Z54" si="43">IF(T49=0,0,X49/T49)</f>
        <v>6.0299394483067884E-2</v>
      </c>
    </row>
    <row r="50" spans="1:26" s="24" customFormat="1" hidden="1" outlineLevel="2" x14ac:dyDescent="0.25">
      <c r="A50" s="28"/>
      <c r="B50" s="11" t="str">
        <f>CONCATENATE("          ", "6254", " - ", "ROYALTY &amp; COMMISSIONS")</f>
        <v xml:space="preserve">          6254 - ROYALTY &amp; COMMISSIONS</v>
      </c>
      <c r="C50" s="11"/>
      <c r="D50" s="6">
        <v>5673.45</v>
      </c>
      <c r="E50" s="2"/>
      <c r="F50" s="7">
        <f t="shared" si="36"/>
        <v>0.1148025928394603</v>
      </c>
      <c r="G50" s="2"/>
      <c r="H50" s="6">
        <v>3675.6</v>
      </c>
      <c r="I50" s="2"/>
      <c r="J50" s="7">
        <f t="shared" si="37"/>
        <v>8.1570043581252458E-2</v>
      </c>
      <c r="K50" s="2"/>
      <c r="L50" s="6">
        <f t="shared" si="38"/>
        <v>1997.85</v>
      </c>
      <c r="M50" s="2"/>
      <c r="N50" s="7">
        <f t="shared" si="39"/>
        <v>0.54354391119817169</v>
      </c>
      <c r="O50" s="11"/>
      <c r="P50" s="6">
        <v>5673.45</v>
      </c>
      <c r="Q50" s="2"/>
      <c r="R50" s="7">
        <f t="shared" si="40"/>
        <v>7.8868778072965842E-2</v>
      </c>
      <c r="S50" s="2"/>
      <c r="T50" s="6">
        <v>5350.8</v>
      </c>
      <c r="U50" s="2"/>
      <c r="V50" s="7">
        <f t="shared" si="41"/>
        <v>7.9391904423470966E-2</v>
      </c>
      <c r="W50" s="2"/>
      <c r="X50" s="6">
        <f t="shared" si="42"/>
        <v>322.64999999999964</v>
      </c>
      <c r="Y50" s="2"/>
      <c r="Z50" s="7">
        <f t="shared" si="43"/>
        <v>6.0299394483067884E-2</v>
      </c>
    </row>
    <row r="51" spans="1:26" s="29" customFormat="1" outlineLevel="1" collapsed="1" x14ac:dyDescent="0.25">
      <c r="A51" s="27"/>
      <c r="B51" s="14" t="str">
        <f>CONCATENATE("     ","Services                                          ")</f>
        <v xml:space="preserve">     Services                                          </v>
      </c>
      <c r="C51" s="14"/>
      <c r="D51" s="1">
        <f>SUM(OSRRefD22_8x_0)</f>
        <v>272.36</v>
      </c>
      <c r="E51" s="1"/>
      <c r="F51" s="5">
        <f t="shared" si="36"/>
        <v>5.511220542307663E-3</v>
      </c>
      <c r="G51" s="1"/>
      <c r="H51" s="1">
        <f>SUM(OSRRefH22_8x_0)</f>
        <v>185.34</v>
      </c>
      <c r="I51" s="1"/>
      <c r="J51" s="5">
        <f t="shared" si="37"/>
        <v>4.1131221779707617E-3</v>
      </c>
      <c r="K51" s="1"/>
      <c r="L51" s="1">
        <f t="shared" si="38"/>
        <v>87.02000000000001</v>
      </c>
      <c r="M51" s="1"/>
      <c r="N51" s="5">
        <f t="shared" si="39"/>
        <v>0.46951548505449447</v>
      </c>
      <c r="O51" s="14"/>
      <c r="P51" s="1">
        <f>SUM(OSRRefP22_8x_0)</f>
        <v>563.54</v>
      </c>
      <c r="Q51" s="1"/>
      <c r="R51" s="5">
        <f t="shared" si="40"/>
        <v>7.833983060613765E-3</v>
      </c>
      <c r="S51" s="1"/>
      <c r="T51" s="1">
        <f>SUM(OSRRefT22_8x_0)</f>
        <v>404.58</v>
      </c>
      <c r="U51" s="1"/>
      <c r="V51" s="5">
        <f t="shared" si="41"/>
        <v>6.002911095845085E-3</v>
      </c>
      <c r="W51" s="1"/>
      <c r="X51" s="1">
        <f t="shared" si="42"/>
        <v>158.95999999999998</v>
      </c>
      <c r="Y51" s="1"/>
      <c r="Z51" s="5">
        <f t="shared" si="43"/>
        <v>0.39290128034010574</v>
      </c>
    </row>
    <row r="52" spans="1:26" s="24" customFormat="1" hidden="1" outlineLevel="2" x14ac:dyDescent="0.25">
      <c r="A52" s="28"/>
      <c r="B52" s="11" t="str">
        <f>CONCATENATE("          ", "6282", " - ", "JANITORIAL/EXTERMINATOR EXPENS")</f>
        <v xml:space="preserve">          6282 - JANITORIAL/EXTERMINATOR EXPENS</v>
      </c>
      <c r="C52" s="11"/>
      <c r="D52" s="6">
        <v>41</v>
      </c>
      <c r="E52" s="2"/>
      <c r="F52" s="7">
        <f t="shared" si="36"/>
        <v>8.2963739989210666E-4</v>
      </c>
      <c r="G52" s="2"/>
      <c r="H52" s="6">
        <v>38.5</v>
      </c>
      <c r="I52" s="2"/>
      <c r="J52" s="7">
        <f t="shared" si="37"/>
        <v>8.5440381920726409E-4</v>
      </c>
      <c r="K52" s="2"/>
      <c r="L52" s="6">
        <f t="shared" si="38"/>
        <v>2.5</v>
      </c>
      <c r="M52" s="2"/>
      <c r="N52" s="7">
        <f t="shared" si="39"/>
        <v>6.4935064935064929E-2</v>
      </c>
      <c r="O52" s="11"/>
      <c r="P52" s="6">
        <v>41</v>
      </c>
      <c r="Q52" s="2"/>
      <c r="R52" s="7">
        <f t="shared" si="40"/>
        <v>5.6995653455861942E-4</v>
      </c>
      <c r="S52" s="2"/>
      <c r="T52" s="6">
        <v>38.5</v>
      </c>
      <c r="U52" s="2"/>
      <c r="V52" s="7">
        <f t="shared" si="41"/>
        <v>5.7123950069216424E-4</v>
      </c>
      <c r="W52" s="2"/>
      <c r="X52" s="6">
        <f t="shared" si="42"/>
        <v>2.5</v>
      </c>
      <c r="Y52" s="2"/>
      <c r="Z52" s="7">
        <f t="shared" si="43"/>
        <v>6.4935064935064929E-2</v>
      </c>
    </row>
    <row r="53" spans="1:26" s="24" customFormat="1" hidden="1" outlineLevel="2" x14ac:dyDescent="0.25">
      <c r="A53" s="28"/>
      <c r="B53" s="11" t="str">
        <f>CONCATENATE("          ", "6285", " - ", "JANITORIAL SERVICES")</f>
        <v xml:space="preserve">          6285 - JANITORIAL SERVICES</v>
      </c>
      <c r="C53" s="11"/>
      <c r="D53" s="6">
        <v>22.62</v>
      </c>
      <c r="E53" s="2"/>
      <c r="F53" s="7">
        <f t="shared" si="36"/>
        <v>4.5771702403803546E-4</v>
      </c>
      <c r="G53" s="2"/>
      <c r="H53" s="6">
        <v>21</v>
      </c>
      <c r="I53" s="2"/>
      <c r="J53" s="7">
        <f t="shared" si="37"/>
        <v>4.6603844684032586E-4</v>
      </c>
      <c r="K53" s="2"/>
      <c r="L53" s="6">
        <f t="shared" si="38"/>
        <v>1.620000000000001</v>
      </c>
      <c r="M53" s="2"/>
      <c r="N53" s="7">
        <f t="shared" si="39"/>
        <v>7.7142857142857194E-2</v>
      </c>
      <c r="O53" s="11"/>
      <c r="P53" s="6">
        <v>67.86</v>
      </c>
      <c r="Q53" s="2"/>
      <c r="R53" s="7">
        <f t="shared" si="40"/>
        <v>9.4334757158897351E-4</v>
      </c>
      <c r="S53" s="2"/>
      <c r="T53" s="6">
        <v>63</v>
      </c>
      <c r="U53" s="2"/>
      <c r="V53" s="7">
        <f t="shared" si="41"/>
        <v>9.3475554658717776E-4</v>
      </c>
      <c r="W53" s="2"/>
      <c r="X53" s="6">
        <f t="shared" si="42"/>
        <v>4.8599999999999994</v>
      </c>
      <c r="Y53" s="2"/>
      <c r="Z53" s="7">
        <f t="shared" si="43"/>
        <v>7.7142857142857138E-2</v>
      </c>
    </row>
    <row r="54" spans="1:26" s="24" customFormat="1" hidden="1" outlineLevel="2" x14ac:dyDescent="0.25">
      <c r="A54" s="28"/>
      <c r="B54" s="11" t="str">
        <f>CONCATENATE("          ", "6286", " - ", "LAUNDRY EXPENSE")</f>
        <v xml:space="preserve">          6286 - LAUNDRY EXPENSE</v>
      </c>
      <c r="C54" s="11"/>
      <c r="D54" s="6">
        <v>208.74</v>
      </c>
      <c r="E54" s="2"/>
      <c r="F54" s="7">
        <f t="shared" si="36"/>
        <v>4.2238661183775211E-3</v>
      </c>
      <c r="G54" s="2"/>
      <c r="H54" s="6">
        <v>125.84</v>
      </c>
      <c r="I54" s="2"/>
      <c r="J54" s="7">
        <f t="shared" si="37"/>
        <v>2.7926799119231717E-3</v>
      </c>
      <c r="K54" s="2"/>
      <c r="L54" s="6">
        <f t="shared" si="38"/>
        <v>82.9</v>
      </c>
      <c r="M54" s="2"/>
      <c r="N54" s="7">
        <f t="shared" si="39"/>
        <v>0.65877304513668156</v>
      </c>
      <c r="O54" s="11"/>
      <c r="P54" s="6">
        <v>454.68</v>
      </c>
      <c r="Q54" s="2"/>
      <c r="R54" s="7">
        <f t="shared" si="40"/>
        <v>6.3206789544661725E-3</v>
      </c>
      <c r="S54" s="2"/>
      <c r="T54" s="6">
        <v>303.08</v>
      </c>
      <c r="U54" s="2"/>
      <c r="V54" s="7">
        <f t="shared" si="41"/>
        <v>4.4969160485657435E-3</v>
      </c>
      <c r="W54" s="2"/>
      <c r="X54" s="6">
        <f t="shared" si="42"/>
        <v>151.60000000000002</v>
      </c>
      <c r="Y54" s="2"/>
      <c r="Z54" s="7">
        <f t="shared" si="43"/>
        <v>0.50019796753332468</v>
      </c>
    </row>
    <row r="55" spans="1:26" s="29" customFormat="1" outlineLevel="1" collapsed="1" x14ac:dyDescent="0.25">
      <c r="A55" s="27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SUM(OSRRefD22_9x_0)</f>
        <v>768.98</v>
      </c>
      <c r="E55" s="1"/>
      <c r="F55" s="5">
        <f t="shared" ref="F55:F60" si="44">IF(D$12=0,0,D55/D$12)</f>
        <v>1.5560355311439809E-2</v>
      </c>
      <c r="G55" s="1"/>
      <c r="H55" s="1">
        <f>SUM(OSRRefH22_9x_0)</f>
        <v>523.55999999999995</v>
      </c>
      <c r="I55" s="1"/>
      <c r="J55" s="5">
        <f t="shared" ref="J55:J60" si="45">IF(H$12=0,0,H55/H$12)</f>
        <v>1.1619004248939096E-2</v>
      </c>
      <c r="K55" s="1"/>
      <c r="L55" s="1">
        <f t="shared" ref="L55:L60" si="46">+D55-H55</f>
        <v>245.42000000000007</v>
      </c>
      <c r="M55" s="1"/>
      <c r="N55" s="5">
        <f t="shared" ref="N55:N60" si="47">IF(H55=0,0,L55/H55)</f>
        <v>0.46875238750095521</v>
      </c>
      <c r="O55" s="14"/>
      <c r="P55" s="1">
        <f>SUM(OSRRefP22_9x_0)</f>
        <v>3493.62</v>
      </c>
      <c r="Q55" s="1"/>
      <c r="R55" s="5">
        <f t="shared" ref="R55:R60" si="48">IF(P$12=0,0,P55/P$12)</f>
        <v>4.8566135323528874E-2</v>
      </c>
      <c r="S55" s="1"/>
      <c r="T55" s="1">
        <f>SUM(OSRRefT22_9x_0)</f>
        <v>1833.54</v>
      </c>
      <c r="U55" s="1"/>
      <c r="V55" s="5">
        <f t="shared" ref="V55:V60" si="49">IF(T$12=0,0,T55/T$12)</f>
        <v>2.720494737919768E-2</v>
      </c>
      <c r="W55" s="1"/>
      <c r="X55" s="1">
        <f t="shared" ref="X55:X60" si="50">+P55-T55</f>
        <v>1660.08</v>
      </c>
      <c r="Y55" s="1"/>
      <c r="Z55" s="5">
        <f t="shared" ref="Z55:Z60" si="51">IF(T55=0,0,X55/T55)</f>
        <v>0.90539611898295103</v>
      </c>
    </row>
    <row r="56" spans="1:26" s="24" customFormat="1" hidden="1" outlineLevel="2" x14ac:dyDescent="0.25">
      <c r="A56" s="28"/>
      <c r="B56" s="11" t="str">
        <f>CONCATENATE("          ", "6234", " - ", "EXPENDABLE SUPPLIES &amp; EQUIPMEN")</f>
        <v xml:space="preserve">          6234 - EXPENDABLE SUPPLIES &amp; EQUIPMEN</v>
      </c>
      <c r="C56" s="11"/>
      <c r="D56" s="6"/>
      <c r="E56" s="2"/>
      <c r="F56" s="7">
        <f t="shared" si="44"/>
        <v>0</v>
      </c>
      <c r="G56" s="2"/>
      <c r="H56" s="6"/>
      <c r="I56" s="2"/>
      <c r="J56" s="7">
        <f t="shared" si="45"/>
        <v>0</v>
      </c>
      <c r="K56" s="2"/>
      <c r="L56" s="6">
        <f t="shared" si="46"/>
        <v>0</v>
      </c>
      <c r="M56" s="2"/>
      <c r="N56" s="7">
        <f t="shared" si="47"/>
        <v>0</v>
      </c>
      <c r="O56" s="11"/>
      <c r="P56" s="6">
        <v>354.71</v>
      </c>
      <c r="Q56" s="2"/>
      <c r="R56" s="7">
        <f t="shared" si="48"/>
        <v>4.9309581066655584E-3</v>
      </c>
      <c r="S56" s="2"/>
      <c r="T56" s="6"/>
      <c r="U56" s="2"/>
      <c r="V56" s="7">
        <f t="shared" si="49"/>
        <v>0</v>
      </c>
      <c r="W56" s="2"/>
      <c r="X56" s="6">
        <f t="shared" si="50"/>
        <v>354.71</v>
      </c>
      <c r="Y56" s="2"/>
      <c r="Z56" s="7">
        <f t="shared" si="51"/>
        <v>0</v>
      </c>
    </row>
    <row r="57" spans="1:26" s="24" customFormat="1" hidden="1" outlineLevel="2" x14ac:dyDescent="0.25">
      <c r="A57" s="28"/>
      <c r="B57" s="11" t="str">
        <f>CONCATENATE("          ", "6237", " - ", "JANITORIAL SUPPLIES")</f>
        <v xml:space="preserve">          6237 - JANITORIAL SUPPLIES</v>
      </c>
      <c r="C57" s="11"/>
      <c r="D57" s="6"/>
      <c r="E57" s="2"/>
      <c r="F57" s="7">
        <f t="shared" si="44"/>
        <v>0</v>
      </c>
      <c r="G57" s="2"/>
      <c r="H57" s="6"/>
      <c r="I57" s="2"/>
      <c r="J57" s="7">
        <f t="shared" si="45"/>
        <v>0</v>
      </c>
      <c r="K57" s="2"/>
      <c r="L57" s="6">
        <f t="shared" si="46"/>
        <v>0</v>
      </c>
      <c r="M57" s="2"/>
      <c r="N57" s="7">
        <f t="shared" si="47"/>
        <v>0</v>
      </c>
      <c r="O57" s="11"/>
      <c r="P57" s="6">
        <v>20.93</v>
      </c>
      <c r="Q57" s="2"/>
      <c r="R57" s="7">
        <f t="shared" si="48"/>
        <v>2.9095586020272938E-4</v>
      </c>
      <c r="S57" s="2"/>
      <c r="T57" s="6">
        <v>18.88</v>
      </c>
      <c r="U57" s="2"/>
      <c r="V57" s="7">
        <f t="shared" si="49"/>
        <v>2.8012991618358598E-4</v>
      </c>
      <c r="W57" s="2"/>
      <c r="X57" s="6">
        <f t="shared" si="50"/>
        <v>2.0500000000000007</v>
      </c>
      <c r="Y57" s="2"/>
      <c r="Z57" s="7">
        <f t="shared" si="51"/>
        <v>0.10858050847457631</v>
      </c>
    </row>
    <row r="58" spans="1:26" s="24" customFormat="1" hidden="1" outlineLevel="2" x14ac:dyDescent="0.25">
      <c r="A58" s="28"/>
      <c r="B58" s="11" t="str">
        <f>CONCATENATE("          ", "6243", " - ", "PAPER SUPPLIES")</f>
        <v xml:space="preserve">          6243 - PAPER SUPPLIES</v>
      </c>
      <c r="C58" s="11"/>
      <c r="D58" s="6"/>
      <c r="E58" s="2"/>
      <c r="F58" s="7">
        <f t="shared" si="44"/>
        <v>0</v>
      </c>
      <c r="G58" s="2"/>
      <c r="H58" s="6"/>
      <c r="I58" s="2"/>
      <c r="J58" s="7">
        <f t="shared" si="45"/>
        <v>0</v>
      </c>
      <c r="K58" s="2"/>
      <c r="L58" s="6">
        <f t="shared" si="46"/>
        <v>0</v>
      </c>
      <c r="M58" s="2"/>
      <c r="N58" s="7">
        <f t="shared" si="47"/>
        <v>0</v>
      </c>
      <c r="O58" s="11"/>
      <c r="P58" s="6"/>
      <c r="Q58" s="2"/>
      <c r="R58" s="7">
        <f t="shared" si="48"/>
        <v>0</v>
      </c>
      <c r="S58" s="2"/>
      <c r="T58" s="6">
        <v>45.85</v>
      </c>
      <c r="U58" s="2"/>
      <c r="V58" s="7">
        <f t="shared" si="49"/>
        <v>6.8029431446066835E-4</v>
      </c>
      <c r="W58" s="2"/>
      <c r="X58" s="6">
        <f t="shared" si="50"/>
        <v>-45.85</v>
      </c>
      <c r="Y58" s="2"/>
      <c r="Z58" s="7">
        <f t="shared" si="51"/>
        <v>-1</v>
      </c>
    </row>
    <row r="59" spans="1:26" s="24" customFormat="1" hidden="1" outlineLevel="2" x14ac:dyDescent="0.25">
      <c r="A59" s="28"/>
      <c r="B59" s="11" t="str">
        <f>CONCATENATE("          ", "6247", " - ", "STORE SUPPLIES")</f>
        <v xml:space="preserve">          6247 - STORE SUPPLIES</v>
      </c>
      <c r="C59" s="11"/>
      <c r="D59" s="6">
        <v>768.98</v>
      </c>
      <c r="E59" s="2"/>
      <c r="F59" s="7">
        <f t="shared" si="44"/>
        <v>1.5560355311439809E-2</v>
      </c>
      <c r="G59" s="2"/>
      <c r="H59" s="6">
        <v>523.55999999999995</v>
      </c>
      <c r="I59" s="2"/>
      <c r="J59" s="7">
        <f t="shared" si="45"/>
        <v>1.1619004248939096E-2</v>
      </c>
      <c r="K59" s="2"/>
      <c r="L59" s="6">
        <f t="shared" si="46"/>
        <v>245.42000000000007</v>
      </c>
      <c r="M59" s="2"/>
      <c r="N59" s="7">
        <f t="shared" si="47"/>
        <v>0.46875238750095521</v>
      </c>
      <c r="O59" s="11"/>
      <c r="P59" s="6">
        <v>3117.98</v>
      </c>
      <c r="Q59" s="2"/>
      <c r="R59" s="7">
        <f t="shared" si="48"/>
        <v>4.3344221356660592E-2</v>
      </c>
      <c r="S59" s="2"/>
      <c r="T59" s="6">
        <v>1580.94</v>
      </c>
      <c r="U59" s="2"/>
      <c r="V59" s="7">
        <f t="shared" si="49"/>
        <v>2.3457022759071952E-2</v>
      </c>
      <c r="W59" s="2"/>
      <c r="X59" s="6">
        <f t="shared" si="50"/>
        <v>1537.04</v>
      </c>
      <c r="Y59" s="2"/>
      <c r="Z59" s="7">
        <f t="shared" si="51"/>
        <v>0.97223171024833321</v>
      </c>
    </row>
    <row r="60" spans="1:26" s="24" customFormat="1" hidden="1" outlineLevel="2" x14ac:dyDescent="0.25">
      <c r="A60" s="28"/>
      <c r="B60" s="11" t="str">
        <f>CONCATENATE("          ", "6248", " - ", "UNIFORMS")</f>
        <v xml:space="preserve">          6248 - UNIFORMS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187.87</v>
      </c>
      <c r="U60" s="2"/>
      <c r="V60" s="7">
        <f t="shared" si="49"/>
        <v>2.7875003894814775E-3</v>
      </c>
      <c r="W60" s="2"/>
      <c r="X60" s="6">
        <f t="shared" si="50"/>
        <v>-187.87</v>
      </c>
      <c r="Y60" s="2"/>
      <c r="Z60" s="7">
        <f t="shared" si="51"/>
        <v>-1</v>
      </c>
    </row>
    <row r="61" spans="1:26" s="29" customFormat="1" outlineLevel="1" collapsed="1" x14ac:dyDescent="0.25">
      <c r="A61" s="27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75</v>
      </c>
      <c r="E61" s="1"/>
      <c r="F61" s="5">
        <f t="shared" ref="F61:F64" si="52">IF(D$12=0,0,D61/D$12)</f>
        <v>1.5176293900465367E-3</v>
      </c>
      <c r="G61" s="1"/>
      <c r="H61" s="1">
        <f>SUM(OSRRefH22_10x_0)</f>
        <v>60</v>
      </c>
      <c r="I61" s="1"/>
      <c r="J61" s="5">
        <f t="shared" ref="J61:J64" si="53">IF(H$12=0,0,H61/H$12)</f>
        <v>1.3315384195437881E-3</v>
      </c>
      <c r="K61" s="1"/>
      <c r="L61" s="1">
        <f t="shared" ref="L61:L64" si="54">+D61-H61</f>
        <v>15</v>
      </c>
      <c r="M61" s="1"/>
      <c r="N61" s="5">
        <f t="shared" ref="N61:N64" si="55">IF(H61=0,0,L61/H61)</f>
        <v>0.25</v>
      </c>
      <c r="O61" s="14"/>
      <c r="P61" s="1">
        <f>SUM(OSRRefP22_10x_0)</f>
        <v>172.5</v>
      </c>
      <c r="Q61" s="1"/>
      <c r="R61" s="5">
        <f t="shared" ref="R61:R64" si="56">IF(P$12=0,0,P61/P$12)</f>
        <v>2.3979878588137036E-3</v>
      </c>
      <c r="S61" s="1"/>
      <c r="T61" s="1">
        <f>SUM(OSRRefT22_10x_0)</f>
        <v>157.5</v>
      </c>
      <c r="U61" s="1"/>
      <c r="V61" s="5">
        <f t="shared" ref="V61:V64" si="57">IF(T$12=0,0,T61/T$12)</f>
        <v>2.3368888664679443E-3</v>
      </c>
      <c r="W61" s="1"/>
      <c r="X61" s="1">
        <f t="shared" ref="X61:X64" si="58">+P61-T61</f>
        <v>15</v>
      </c>
      <c r="Y61" s="1"/>
      <c r="Z61" s="5">
        <f t="shared" ref="Z61:Z64" si="59">IF(T61=0,0,X61/T61)</f>
        <v>9.5238095238095233E-2</v>
      </c>
    </row>
    <row r="62" spans="1:26" s="24" customFormat="1" hidden="1" outlineLevel="2" x14ac:dyDescent="0.25">
      <c r="A62" s="28"/>
      <c r="B62" s="11" t="str">
        <f>CONCATENATE("          ", "6309", " - ", "TELEPHONE")</f>
        <v xml:space="preserve">          6309 - TELEPHONE</v>
      </c>
      <c r="C62" s="11"/>
      <c r="D62" s="6">
        <v>75</v>
      </c>
      <c r="E62" s="2"/>
      <c r="F62" s="7">
        <f t="shared" si="52"/>
        <v>1.5176293900465367E-3</v>
      </c>
      <c r="G62" s="2"/>
      <c r="H62" s="6">
        <v>60</v>
      </c>
      <c r="I62" s="2"/>
      <c r="J62" s="7">
        <f t="shared" si="53"/>
        <v>1.3315384195437881E-3</v>
      </c>
      <c r="K62" s="2"/>
      <c r="L62" s="6">
        <f t="shared" si="54"/>
        <v>15</v>
      </c>
      <c r="M62" s="2"/>
      <c r="N62" s="7">
        <f t="shared" si="55"/>
        <v>0.25</v>
      </c>
      <c r="O62" s="11"/>
      <c r="P62" s="6">
        <v>172.5</v>
      </c>
      <c r="Q62" s="2"/>
      <c r="R62" s="7">
        <f t="shared" si="56"/>
        <v>2.3979878588137036E-3</v>
      </c>
      <c r="S62" s="2"/>
      <c r="T62" s="6">
        <v>157.5</v>
      </c>
      <c r="U62" s="2"/>
      <c r="V62" s="7">
        <f t="shared" si="57"/>
        <v>2.3368888664679443E-3</v>
      </c>
      <c r="W62" s="2"/>
      <c r="X62" s="6">
        <f t="shared" si="58"/>
        <v>15</v>
      </c>
      <c r="Y62" s="2"/>
      <c r="Z62" s="7">
        <f t="shared" si="59"/>
        <v>9.5238095238095233E-2</v>
      </c>
    </row>
    <row r="63" spans="1:26" s="29" customFormat="1" outlineLevel="1" collapsed="1" x14ac:dyDescent="0.25">
      <c r="A63" s="27"/>
      <c r="B63" s="14" t="str">
        <f>CONCATENATE("     ","Utilities                                         ")</f>
        <v xml:space="preserve">     Utilities                                         </v>
      </c>
      <c r="C63" s="14"/>
      <c r="D63" s="1">
        <f>SUM(OSRRefD22_11x_0)</f>
        <v>46</v>
      </c>
      <c r="E63" s="1"/>
      <c r="F63" s="5">
        <f t="shared" si="52"/>
        <v>9.3081269256187573E-4</v>
      </c>
      <c r="G63" s="1"/>
      <c r="H63" s="1">
        <f>SUM(OSRRefH22_11x_0)</f>
        <v>-127.78</v>
      </c>
      <c r="I63" s="1"/>
      <c r="J63" s="5">
        <f t="shared" si="53"/>
        <v>-2.835732987488421E-3</v>
      </c>
      <c r="K63" s="1"/>
      <c r="L63" s="1">
        <f t="shared" si="54"/>
        <v>173.78</v>
      </c>
      <c r="M63" s="1"/>
      <c r="N63" s="5">
        <f t="shared" si="55"/>
        <v>-1.3599937392393175</v>
      </c>
      <c r="O63" s="14"/>
      <c r="P63" s="1">
        <f>SUM(OSRRefP22_11x_0)</f>
        <v>-850.88</v>
      </c>
      <c r="Q63" s="1"/>
      <c r="R63" s="5">
        <f t="shared" si="56"/>
        <v>-1.1828405271347271E-2</v>
      </c>
      <c r="S63" s="1"/>
      <c r="T63" s="1">
        <f>SUM(OSRRefT22_11x_0)</f>
        <v>-101.78</v>
      </c>
      <c r="U63" s="1"/>
      <c r="V63" s="5">
        <f t="shared" si="57"/>
        <v>-1.5101495163752851E-3</v>
      </c>
      <c r="W63" s="1"/>
      <c r="X63" s="1">
        <f t="shared" si="58"/>
        <v>-749.1</v>
      </c>
      <c r="Y63" s="1"/>
      <c r="Z63" s="5">
        <f t="shared" si="59"/>
        <v>7.3599921399096093</v>
      </c>
    </row>
    <row r="64" spans="1:26" s="24" customFormat="1" hidden="1" outlineLevel="2" x14ac:dyDescent="0.25">
      <c r="A64" s="28"/>
      <c r="B64" s="11" t="str">
        <f>CONCATENATE("          ", "6274", " - ", "UTILITIES")</f>
        <v xml:space="preserve">          6274 - UTILITIES</v>
      </c>
      <c r="C64" s="11"/>
      <c r="D64" s="6">
        <v>46</v>
      </c>
      <c r="E64" s="2"/>
      <c r="F64" s="7">
        <f t="shared" si="52"/>
        <v>9.3081269256187573E-4</v>
      </c>
      <c r="G64" s="2"/>
      <c r="H64" s="6">
        <v>-127.78</v>
      </c>
      <c r="I64" s="2"/>
      <c r="J64" s="7">
        <f t="shared" si="53"/>
        <v>-2.835732987488421E-3</v>
      </c>
      <c r="K64" s="2"/>
      <c r="L64" s="6">
        <f t="shared" si="54"/>
        <v>173.78</v>
      </c>
      <c r="M64" s="2"/>
      <c r="N64" s="7">
        <f t="shared" si="55"/>
        <v>-1.3599937392393175</v>
      </c>
      <c r="O64" s="11"/>
      <c r="P64" s="6">
        <v>-850.88</v>
      </c>
      <c r="Q64" s="2"/>
      <c r="R64" s="7">
        <f t="shared" si="56"/>
        <v>-1.1828405271347271E-2</v>
      </c>
      <c r="S64" s="2"/>
      <c r="T64" s="6">
        <v>-101.78</v>
      </c>
      <c r="U64" s="2"/>
      <c r="V64" s="7">
        <f t="shared" si="57"/>
        <v>-1.5101495163752851E-3</v>
      </c>
      <c r="W64" s="2"/>
      <c r="X64" s="6">
        <f t="shared" si="58"/>
        <v>-749.1</v>
      </c>
      <c r="Y64" s="2"/>
      <c r="Z64" s="7">
        <f t="shared" si="59"/>
        <v>7.3599921399096093</v>
      </c>
    </row>
    <row r="65" spans="1:26" s="53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5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6" t="s">
        <v>3</v>
      </c>
      <c r="C68" s="26"/>
      <c r="D68" s="21">
        <f>+D20-D22+D66</f>
        <v>7607.5800000000054</v>
      </c>
      <c r="E68" s="13"/>
      <c r="F68" s="20">
        <f>IF(D$12=0,0,D68/D$12)</f>
        <v>0.15393982660173652</v>
      </c>
      <c r="G68" s="13"/>
      <c r="H68" s="21">
        <f>+H20-H22+H66</f>
        <v>11758.380000000005</v>
      </c>
      <c r="I68" s="13"/>
      <c r="J68" s="20">
        <f>IF(H$12=0,0,H68/H$12)</f>
        <v>0.26094557869325491</v>
      </c>
      <c r="K68" s="15"/>
      <c r="L68" s="21">
        <f>+D68-H68</f>
        <v>-4150.7999999999993</v>
      </c>
      <c r="M68" s="15"/>
      <c r="N68" s="20">
        <f>IF(H68=0,0,L68/H68)</f>
        <v>-0.35300781230067385</v>
      </c>
      <c r="O68" s="25"/>
      <c r="P68" s="21">
        <f>+P20-P22+P66</f>
        <v>1054.7799999999916</v>
      </c>
      <c r="Q68" s="13"/>
      <c r="R68" s="20">
        <f>IF(P$12=0,0,P68/P$12)</f>
        <v>1.466289642735941E-2</v>
      </c>
      <c r="S68" s="13"/>
      <c r="T68" s="21">
        <f>+T20-T22+T66</f>
        <v>15039.259999999998</v>
      </c>
      <c r="U68" s="13"/>
      <c r="V68" s="20">
        <f>IF(T$12=0,0,T68/T$12)</f>
        <v>0.22314336034232821</v>
      </c>
      <c r="W68" s="15"/>
      <c r="X68" s="21">
        <f>+P68-T68</f>
        <v>-13984.480000000007</v>
      </c>
      <c r="Y68" s="15"/>
      <c r="Z68" s="20">
        <f>IF(T68=0,0,X68/T68)</f>
        <v>-0.92986490026769986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>
        <v>4919.46</v>
      </c>
      <c r="E70" s="4"/>
      <c r="F70" s="12">
        <f>IF(D$12=0,0,D70/D$12)</f>
        <v>9.9545561055444459E-2</v>
      </c>
      <c r="G70" s="4"/>
      <c r="H70" s="4">
        <v>3707.59</v>
      </c>
      <c r="I70" s="4"/>
      <c r="J70" s="12">
        <f>IF(H$12=0,0,H70/H$12)</f>
        <v>8.227997548193923E-2</v>
      </c>
      <c r="K70" s="4"/>
      <c r="L70" s="4">
        <f>+D70-H70</f>
        <v>1211.8699999999999</v>
      </c>
      <c r="M70" s="4"/>
      <c r="N70" s="12">
        <f>IF(H70=0,0,L70/H70)</f>
        <v>0.32686192378337409</v>
      </c>
      <c r="O70" s="10"/>
      <c r="P70" s="4">
        <v>7726.81</v>
      </c>
      <c r="Q70" s="4"/>
      <c r="R70" s="12">
        <f>IF(P$12=0,0,P70/P$12)</f>
        <v>0.10741331343397284</v>
      </c>
      <c r="S70" s="4"/>
      <c r="T70" s="4">
        <v>5988.06</v>
      </c>
      <c r="U70" s="4"/>
      <c r="V70" s="12">
        <f>IF(T$12=0,0,T70/T$12)</f>
        <v>8.8847179338044702E-2</v>
      </c>
      <c r="W70" s="4"/>
      <c r="X70" s="4">
        <f>+P70-T70</f>
        <v>1738.75</v>
      </c>
      <c r="Y70" s="4"/>
      <c r="Z70" s="12">
        <f>IF(T70=0,0,X70/T70)</f>
        <v>0.29036950197559808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6" t="s">
        <v>4</v>
      </c>
      <c r="C72" s="26"/>
      <c r="D72" s="35">
        <f>+D68-D70</f>
        <v>2688.1200000000053</v>
      </c>
      <c r="E72" s="13"/>
      <c r="F72" s="30">
        <f>IF(D$12=0,0,D72/D$12)</f>
        <v>5.439426554629205E-2</v>
      </c>
      <c r="G72" s="13"/>
      <c r="H72" s="35">
        <f>+H68-H70</f>
        <v>8050.7900000000045</v>
      </c>
      <c r="I72" s="13"/>
      <c r="J72" s="30">
        <f>IF(H$12=0,0,H72/H$12)</f>
        <v>0.17866560321131567</v>
      </c>
      <c r="K72" s="15"/>
      <c r="L72" s="35">
        <f>D72-H72</f>
        <v>-5362.6699999999992</v>
      </c>
      <c r="M72" s="15"/>
      <c r="N72" s="30">
        <f>IF(H72=0,0,L72/H72)</f>
        <v>-0.666104817042799</v>
      </c>
      <c r="O72" s="25"/>
      <c r="P72" s="35">
        <f>+P68-P70</f>
        <v>-6672.0300000000088</v>
      </c>
      <c r="Q72" s="13"/>
      <c r="R72" s="30">
        <f>IF(P$12=0,0,P72/P$12)</f>
        <v>-9.2750417006613434E-2</v>
      </c>
      <c r="S72" s="13"/>
      <c r="T72" s="35">
        <f>+T68-T70</f>
        <v>9051.1999999999971</v>
      </c>
      <c r="U72" s="13"/>
      <c r="V72" s="30">
        <f>IF(T$12=0,0,T72/T$12)</f>
        <v>0.1342961810042835</v>
      </c>
      <c r="W72" s="15"/>
      <c r="X72" s="35">
        <f>P72-T72</f>
        <v>-15723.230000000007</v>
      </c>
      <c r="Y72" s="15"/>
      <c r="Z72" s="30">
        <f>IF(T72=0,0,X72/T72)</f>
        <v>-1.7371431412409417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5</v>
      </c>
      <c r="C75" s="26"/>
      <c r="D75" s="36">
        <f>SUM(D72:D74)</f>
        <v>2688.1200000000053</v>
      </c>
      <c r="E75" s="13"/>
      <c r="F75" s="31">
        <f>IF(D$12=0,0,D75/D$12)</f>
        <v>5.439426554629205E-2</v>
      </c>
      <c r="G75" s="13"/>
      <c r="H75" s="36">
        <f>SUM(H72:H74)</f>
        <v>8050.7900000000045</v>
      </c>
      <c r="I75" s="13"/>
      <c r="J75" s="31">
        <f>IF(H$12=0,0,H75/H$12)</f>
        <v>0.17866560321131567</v>
      </c>
      <c r="K75" s="15"/>
      <c r="L75" s="36">
        <f>+D75-H75</f>
        <v>-5362.6699999999992</v>
      </c>
      <c r="M75" s="15"/>
      <c r="N75" s="31">
        <f>IF(H75=0,0,L75/H75)</f>
        <v>-0.666104817042799</v>
      </c>
      <c r="O75" s="25"/>
      <c r="P75" s="36">
        <f>SUM(P72:P74)</f>
        <v>-6672.0300000000088</v>
      </c>
      <c r="Q75" s="13"/>
      <c r="R75" s="31">
        <f>IF(P$12=0,0,P75/P$12)</f>
        <v>-9.2750417006613434E-2</v>
      </c>
      <c r="S75" s="13"/>
      <c r="T75" s="36">
        <f>SUM(T72:T74)</f>
        <v>9051.1999999999971</v>
      </c>
      <c r="U75" s="13"/>
      <c r="V75" s="31">
        <f>IF(T$12=0,0,T75/T$12)</f>
        <v>0.1342961810042835</v>
      </c>
      <c r="W75" s="15"/>
      <c r="X75" s="36">
        <f>+P75-T75</f>
        <v>-15723.230000000007</v>
      </c>
      <c r="Y75" s="15"/>
      <c r="Z75" s="31">
        <f>IF(T75=0,0,X75/T75)</f>
        <v>-1.7371431412409417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5">
        <v>43756.463129548611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6" t="s">
        <v>313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7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","322", " - ", "Beach Hut")</f>
        <v>Department 322 - Beach Hut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114695.58</v>
      </c>
      <c r="E12" s="4"/>
      <c r="F12" s="12"/>
      <c r="G12" s="4"/>
      <c r="H12" s="4">
        <f>SUM(OSRRefH13x_0)</f>
        <v>108365.37000000001</v>
      </c>
      <c r="I12" s="4"/>
      <c r="J12" s="12"/>
      <c r="K12" s="4"/>
      <c r="L12" s="4">
        <f t="shared" ref="L12:L14" si="0">+D12-H12</f>
        <v>6330.2099999999919</v>
      </c>
      <c r="M12" s="4"/>
      <c r="N12" s="12">
        <f t="shared" ref="N12:N14" si="1">IF(H12=0,0,L12/H12)</f>
        <v>5.8415432900750408E-2</v>
      </c>
      <c r="O12" s="10"/>
      <c r="P12" s="4">
        <f>SUM(OSRRefP13x_0)</f>
        <v>162111.57</v>
      </c>
      <c r="Q12" s="4"/>
      <c r="R12" s="12"/>
      <c r="S12" s="4"/>
      <c r="T12" s="4">
        <f>SUM(OSRRefT13x_0)</f>
        <v>159591.97</v>
      </c>
      <c r="U12" s="4"/>
      <c r="V12" s="12"/>
      <c r="W12" s="4"/>
      <c r="X12" s="4">
        <f t="shared" ref="X12:X14" si="2">+P12-T12</f>
        <v>2519.6000000000058</v>
      </c>
      <c r="Y12" s="4"/>
      <c r="Z12" s="12">
        <f t="shared" ref="Z12:Z14" si="3">IF(T12=0,0,X12/T12)</f>
        <v>1.5787761752674684E-2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--15778.52</f>
        <v>15778.52</v>
      </c>
      <c r="E13" s="2"/>
      <c r="F13" s="19"/>
      <c r="G13" s="2"/>
      <c r="H13" s="2">
        <f>--20847.52</f>
        <v>20847.52</v>
      </c>
      <c r="I13" s="2"/>
      <c r="J13" s="19"/>
      <c r="K13" s="2"/>
      <c r="L13" s="2">
        <f t="shared" si="0"/>
        <v>-5069</v>
      </c>
      <c r="M13" s="2"/>
      <c r="N13" s="19">
        <f t="shared" si="1"/>
        <v>-0.24314642700906391</v>
      </c>
      <c r="O13" s="11"/>
      <c r="P13" s="2">
        <f>--23258.1</f>
        <v>23258.1</v>
      </c>
      <c r="Q13" s="2"/>
      <c r="R13" s="19"/>
      <c r="S13" s="2"/>
      <c r="T13" s="2">
        <f>--30876.01</f>
        <v>30876.01</v>
      </c>
      <c r="U13" s="2"/>
      <c r="V13" s="19"/>
      <c r="W13" s="2"/>
      <c r="X13" s="2">
        <f t="shared" si="2"/>
        <v>-7617.91</v>
      </c>
      <c r="Y13" s="2"/>
      <c r="Z13" s="19">
        <f t="shared" si="3"/>
        <v>-0.24672585609345249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--98917.06</f>
        <v>98917.06</v>
      </c>
      <c r="E14" s="2"/>
      <c r="F14" s="19"/>
      <c r="G14" s="2"/>
      <c r="H14" s="2">
        <f>--87517.85</f>
        <v>87517.85</v>
      </c>
      <c r="I14" s="2"/>
      <c r="J14" s="19"/>
      <c r="K14" s="2"/>
      <c r="L14" s="2">
        <f t="shared" si="0"/>
        <v>11399.209999999992</v>
      </c>
      <c r="M14" s="2"/>
      <c r="N14" s="19">
        <f t="shared" si="1"/>
        <v>0.13025011469088868</v>
      </c>
      <c r="O14" s="11"/>
      <c r="P14" s="2">
        <f>--138853.47</f>
        <v>138853.47</v>
      </c>
      <c r="Q14" s="2"/>
      <c r="R14" s="19"/>
      <c r="S14" s="2"/>
      <c r="T14" s="2">
        <f>--128715.96</f>
        <v>128715.96</v>
      </c>
      <c r="U14" s="2"/>
      <c r="V14" s="19"/>
      <c r="W14" s="2"/>
      <c r="X14" s="2">
        <f t="shared" si="2"/>
        <v>10137.509999999995</v>
      </c>
      <c r="Y14" s="2"/>
      <c r="Z14" s="19">
        <f t="shared" si="3"/>
        <v>7.8758764647367696E-2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54599.94</v>
      </c>
      <c r="E16" s="4"/>
      <c r="F16" s="12">
        <f t="shared" ref="F16:F18" si="4">IF(D$12=0,0,D16/D$12)</f>
        <v>0.47604223283931257</v>
      </c>
      <c r="G16" s="4"/>
      <c r="H16" s="4">
        <f>SUM(OSRRefH16x_0)</f>
        <v>50387.3</v>
      </c>
      <c r="I16" s="4"/>
      <c r="J16" s="12">
        <f t="shared" ref="J16:J18" si="5">IF(H$12=0,0,H16/H$12)</f>
        <v>0.46497603431797446</v>
      </c>
      <c r="K16" s="4"/>
      <c r="L16" s="4">
        <f t="shared" ref="L16:L18" si="6">+D16-H16</f>
        <v>4212.6399999999994</v>
      </c>
      <c r="M16" s="4"/>
      <c r="N16" s="12">
        <f t="shared" ref="N16:N18" si="7">IF(H16=0,0,L16/H16)</f>
        <v>8.3605194165990229E-2</v>
      </c>
      <c r="O16" s="10"/>
      <c r="P16" s="4">
        <f>SUM(OSRRefP16x_0)</f>
        <v>80500.27</v>
      </c>
      <c r="Q16" s="4"/>
      <c r="R16" s="12">
        <f t="shared" ref="R16:R18" si="8">IF(P$12=0,0,P16/P$12)</f>
        <v>0.4965732550736508</v>
      </c>
      <c r="S16" s="4"/>
      <c r="T16" s="4">
        <f>SUM(OSRRefT16x_0)</f>
        <v>73682.27</v>
      </c>
      <c r="U16" s="4"/>
      <c r="V16" s="12">
        <f t="shared" ref="V16:V18" si="9">IF(T$12=0,0,T16/T$12)</f>
        <v>0.46169158761559248</v>
      </c>
      <c r="W16" s="4"/>
      <c r="X16" s="4">
        <f t="shared" ref="X16:X18" si="10">+P16-T16</f>
        <v>6818</v>
      </c>
      <c r="Y16" s="4"/>
      <c r="Z16" s="12">
        <f t="shared" ref="Z16:Z18" si="11">IF(T16=0,0,X16/T16)</f>
        <v>9.2532436907820564E-2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59761.51</v>
      </c>
      <c r="E17" s="2"/>
      <c r="F17" s="19">
        <f t="shared" si="4"/>
        <v>0.52104457730629206</v>
      </c>
      <c r="G17" s="2"/>
      <c r="H17" s="2">
        <v>57549.97</v>
      </c>
      <c r="I17" s="2"/>
      <c r="J17" s="19">
        <f t="shared" si="5"/>
        <v>0.53107344163545966</v>
      </c>
      <c r="K17" s="2"/>
      <c r="L17" s="2">
        <f t="shared" si="6"/>
        <v>2211.5400000000009</v>
      </c>
      <c r="M17" s="2"/>
      <c r="N17" s="19">
        <f t="shared" si="7"/>
        <v>3.8428169467334225E-2</v>
      </c>
      <c r="O17" s="11"/>
      <c r="P17" s="2">
        <v>101382.21</v>
      </c>
      <c r="Q17" s="2"/>
      <c r="R17" s="19">
        <f t="shared" si="8"/>
        <v>0.62538540586584912</v>
      </c>
      <c r="S17" s="2"/>
      <c r="T17" s="2">
        <v>96183.900000000009</v>
      </c>
      <c r="U17" s="2"/>
      <c r="V17" s="19">
        <f t="shared" si="9"/>
        <v>0.6026863381660118</v>
      </c>
      <c r="W17" s="2"/>
      <c r="X17" s="2">
        <f t="shared" si="10"/>
        <v>5198.3099999999977</v>
      </c>
      <c r="Y17" s="2"/>
      <c r="Z17" s="19">
        <f t="shared" si="11"/>
        <v>5.4045531528665369E-2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-5161.57</v>
      </c>
      <c r="E18" s="2"/>
      <c r="F18" s="19">
        <f t="shared" si="4"/>
        <v>-4.5002344466979455E-2</v>
      </c>
      <c r="G18" s="2"/>
      <c r="H18" s="2">
        <v>-7162.67</v>
      </c>
      <c r="I18" s="2"/>
      <c r="J18" s="19">
        <f t="shared" si="5"/>
        <v>-6.6097407317485271E-2</v>
      </c>
      <c r="K18" s="2"/>
      <c r="L18" s="2">
        <f t="shared" si="6"/>
        <v>2001.1000000000004</v>
      </c>
      <c r="M18" s="2"/>
      <c r="N18" s="19">
        <f t="shared" si="7"/>
        <v>-0.27937905836789917</v>
      </c>
      <c r="O18" s="11"/>
      <c r="P18" s="2">
        <v>-20881.939999999999</v>
      </c>
      <c r="Q18" s="2"/>
      <c r="R18" s="19">
        <f t="shared" si="8"/>
        <v>-0.12881215079219821</v>
      </c>
      <c r="S18" s="2"/>
      <c r="T18" s="2">
        <v>-22501.63</v>
      </c>
      <c r="U18" s="2"/>
      <c r="V18" s="19">
        <f t="shared" si="9"/>
        <v>-0.1409947505504193</v>
      </c>
      <c r="W18" s="2"/>
      <c r="X18" s="2">
        <f t="shared" si="10"/>
        <v>1619.6900000000023</v>
      </c>
      <c r="Y18" s="2"/>
      <c r="Z18" s="19">
        <f t="shared" si="11"/>
        <v>-7.198100759811632E-2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1">
        <f>D12-D16</f>
        <v>60095.64</v>
      </c>
      <c r="E20" s="13"/>
      <c r="F20" s="20">
        <f>IF(D$12=0,0,D20/D$12)</f>
        <v>0.52395776716068743</v>
      </c>
      <c r="G20" s="13"/>
      <c r="H20" s="21">
        <f>H12-H16</f>
        <v>57978.070000000007</v>
      </c>
      <c r="I20" s="13"/>
      <c r="J20" s="20">
        <f>IF(H$12=0,0,H20/H$12)</f>
        <v>0.53502396568202559</v>
      </c>
      <c r="K20" s="15"/>
      <c r="L20" s="21">
        <f>+D20-H20</f>
        <v>2117.5699999999924</v>
      </c>
      <c r="M20" s="15"/>
      <c r="N20" s="20">
        <f>IF(H20=0,0,L20/H20)</f>
        <v>3.6523637299413249E-2</v>
      </c>
      <c r="O20" s="25"/>
      <c r="P20" s="21">
        <f>P12-P16</f>
        <v>81611.3</v>
      </c>
      <c r="Q20" s="13"/>
      <c r="R20" s="20">
        <f>IF(P$12=0,0,P20/P$12)</f>
        <v>0.5034267449263492</v>
      </c>
      <c r="S20" s="13"/>
      <c r="T20" s="21">
        <f>T12-T16</f>
        <v>85909.7</v>
      </c>
      <c r="U20" s="13"/>
      <c r="V20" s="20">
        <f>IF(T$12=0,0,T20/T$12)</f>
        <v>0.53830841238440752</v>
      </c>
      <c r="W20" s="15"/>
      <c r="X20" s="21">
        <f>+P20-T20</f>
        <v>-4298.3999999999942</v>
      </c>
      <c r="Y20" s="15"/>
      <c r="Z20" s="20">
        <f>IF(T20=0,0,X20/T20)</f>
        <v>-5.0033930976362322E-2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30810.43</v>
      </c>
      <c r="E22" s="22"/>
      <c r="F22" s="34">
        <f t="shared" ref="F22:F31" si="12">IF(D$12=0,0,D22/D$12)</f>
        <v>0.26862787563391721</v>
      </c>
      <c r="G22" s="22"/>
      <c r="H22" s="22">
        <f>SUM(OSRRefH22x_0)</f>
        <v>30664.809999999998</v>
      </c>
      <c r="I22" s="22"/>
      <c r="J22" s="34">
        <f t="shared" ref="J22:J31" si="13">IF(H$12=0,0,H22/H$12)</f>
        <v>0.28297610205179013</v>
      </c>
      <c r="K22" s="4"/>
      <c r="L22" s="22">
        <f t="shared" ref="L22:L31" si="14">+D22-H22</f>
        <v>145.62000000000262</v>
      </c>
      <c r="M22" s="4"/>
      <c r="N22" s="34">
        <f t="shared" ref="N22:N31" si="15">IF(H22=0,0,L22/H22)</f>
        <v>4.7487657676666718E-3</v>
      </c>
      <c r="O22" s="10"/>
      <c r="P22" s="22">
        <f>SUM(OSRRefP22x_0)</f>
        <v>76134.790000000023</v>
      </c>
      <c r="Q22" s="22"/>
      <c r="R22" s="34">
        <f t="shared" ref="R22:R31" si="16">IF(P$12=0,0,P22/P$12)</f>
        <v>0.46964439367282679</v>
      </c>
      <c r="S22" s="22"/>
      <c r="T22" s="22">
        <f>SUM(OSRRefT22x_0)</f>
        <v>68274.42</v>
      </c>
      <c r="U22" s="22"/>
      <c r="V22" s="34">
        <f t="shared" ref="V22:V31" si="17">IF(T$12=0,0,T22/T$12)</f>
        <v>0.42780611079617603</v>
      </c>
      <c r="W22" s="4"/>
      <c r="X22" s="22">
        <f t="shared" ref="X22:X31" si="18">+P22-T22</f>
        <v>7860.3700000000244</v>
      </c>
      <c r="Y22" s="4"/>
      <c r="Z22" s="34">
        <f t="shared" ref="Z22:Z31" si="19">IF(T22=0,0,X22/T22)</f>
        <v>0.11512906297849215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2340.6000000000004</v>
      </c>
      <c r="E23" s="1"/>
      <c r="F23" s="5">
        <f t="shared" si="12"/>
        <v>2.0407063637500243E-2</v>
      </c>
      <c r="G23" s="1"/>
      <c r="H23" s="1">
        <f>SUM(OSRRefH22_0x_0)</f>
        <v>2025.4299999999998</v>
      </c>
      <c r="I23" s="1"/>
      <c r="J23" s="5">
        <f t="shared" si="13"/>
        <v>1.8690749637084243E-2</v>
      </c>
      <c r="K23" s="1"/>
      <c r="L23" s="1">
        <f t="shared" si="14"/>
        <v>315.17000000000053</v>
      </c>
      <c r="M23" s="1"/>
      <c r="N23" s="5">
        <f t="shared" si="15"/>
        <v>0.15560646381262278</v>
      </c>
      <c r="O23" s="14"/>
      <c r="P23" s="1">
        <f>SUM(OSRRefP22_0x_0)</f>
        <v>7186.7799999999988</v>
      </c>
      <c r="Q23" s="1"/>
      <c r="R23" s="5">
        <f t="shared" si="16"/>
        <v>4.4332307681678729E-2</v>
      </c>
      <c r="S23" s="1"/>
      <c r="T23" s="1">
        <f>SUM(OSRRefT22_0x_0)</f>
        <v>6281.78</v>
      </c>
      <c r="U23" s="1"/>
      <c r="V23" s="5">
        <f t="shared" si="17"/>
        <v>3.9361504216032919E-2</v>
      </c>
      <c r="W23" s="1"/>
      <c r="X23" s="1">
        <f t="shared" si="18"/>
        <v>904.99999999999909</v>
      </c>
      <c r="Y23" s="1"/>
      <c r="Z23" s="5">
        <f t="shared" si="19"/>
        <v>0.14406744585133499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>
        <v>417.72</v>
      </c>
      <c r="E24" s="2"/>
      <c r="F24" s="7">
        <f t="shared" si="12"/>
        <v>3.6419886450724608E-3</v>
      </c>
      <c r="G24" s="2"/>
      <c r="H24" s="6">
        <v>509.26</v>
      </c>
      <c r="I24" s="2"/>
      <c r="J24" s="7">
        <f t="shared" si="13"/>
        <v>4.6994717962020515E-3</v>
      </c>
      <c r="K24" s="2"/>
      <c r="L24" s="6">
        <f t="shared" si="14"/>
        <v>-91.539999999999964</v>
      </c>
      <c r="M24" s="2"/>
      <c r="N24" s="7">
        <f t="shared" si="15"/>
        <v>-0.17975101127125626</v>
      </c>
      <c r="O24" s="11"/>
      <c r="P24" s="6">
        <v>1939.5</v>
      </c>
      <c r="Q24" s="2"/>
      <c r="R24" s="7">
        <f t="shared" si="16"/>
        <v>1.196398258310619E-2</v>
      </c>
      <c r="S24" s="2"/>
      <c r="T24" s="6">
        <v>1759.35</v>
      </c>
      <c r="U24" s="2"/>
      <c r="V24" s="7">
        <f t="shared" si="17"/>
        <v>1.1024050896796374E-2</v>
      </c>
      <c r="W24" s="2"/>
      <c r="X24" s="6">
        <f t="shared" si="18"/>
        <v>180.15000000000009</v>
      </c>
      <c r="Y24" s="2"/>
      <c r="Z24" s="7">
        <f t="shared" si="19"/>
        <v>0.10239577116548731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>
        <v>388.94</v>
      </c>
      <c r="E25" s="2"/>
      <c r="F25" s="7">
        <f t="shared" si="12"/>
        <v>3.3910635440354371E-3</v>
      </c>
      <c r="G25" s="2"/>
      <c r="H25" s="6"/>
      <c r="I25" s="2"/>
      <c r="J25" s="7">
        <f t="shared" si="13"/>
        <v>0</v>
      </c>
      <c r="K25" s="2"/>
      <c r="L25" s="6">
        <f t="shared" si="14"/>
        <v>388.94</v>
      </c>
      <c r="M25" s="2"/>
      <c r="N25" s="7">
        <f t="shared" si="15"/>
        <v>0</v>
      </c>
      <c r="O25" s="11"/>
      <c r="P25" s="6">
        <v>779.28</v>
      </c>
      <c r="Q25" s="2"/>
      <c r="R25" s="7">
        <f t="shared" si="16"/>
        <v>4.8070597305300286E-3</v>
      </c>
      <c r="S25" s="2"/>
      <c r="T25" s="6">
        <v>245.6</v>
      </c>
      <c r="U25" s="2"/>
      <c r="V25" s="7">
        <f t="shared" si="17"/>
        <v>1.5389245461410119E-3</v>
      </c>
      <c r="W25" s="2"/>
      <c r="X25" s="6">
        <f t="shared" si="18"/>
        <v>533.67999999999995</v>
      </c>
      <c r="Y25" s="2"/>
      <c r="Z25" s="7">
        <f t="shared" si="19"/>
        <v>2.1729641693811073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>
        <v>641.14</v>
      </c>
      <c r="E26" s="2"/>
      <c r="F26" s="7">
        <f t="shared" si="12"/>
        <v>5.5899277025322162E-3</v>
      </c>
      <c r="G26" s="2"/>
      <c r="H26" s="6">
        <v>691.52</v>
      </c>
      <c r="I26" s="2"/>
      <c r="J26" s="7">
        <f t="shared" si="13"/>
        <v>6.3813744187834172E-3</v>
      </c>
      <c r="K26" s="2"/>
      <c r="L26" s="6">
        <f t="shared" si="14"/>
        <v>-50.379999999999995</v>
      </c>
      <c r="M26" s="2"/>
      <c r="N26" s="7">
        <f t="shared" si="15"/>
        <v>-7.2854002776492358E-2</v>
      </c>
      <c r="O26" s="11"/>
      <c r="P26" s="6">
        <v>1923.42</v>
      </c>
      <c r="Q26" s="2"/>
      <c r="R26" s="7">
        <f t="shared" si="16"/>
        <v>1.1864791637018875E-2</v>
      </c>
      <c r="S26" s="2"/>
      <c r="T26" s="6">
        <v>1648.32</v>
      </c>
      <c r="U26" s="2"/>
      <c r="V26" s="7">
        <f t="shared" si="17"/>
        <v>1.0328339201527495E-2</v>
      </c>
      <c r="W26" s="2"/>
      <c r="X26" s="6">
        <f t="shared" si="18"/>
        <v>275.10000000000014</v>
      </c>
      <c r="Y26" s="2"/>
      <c r="Z26" s="7">
        <f t="shared" si="19"/>
        <v>0.16689720442632508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53.22</v>
      </c>
      <c r="E27" s="2"/>
      <c r="F27" s="7">
        <f t="shared" si="12"/>
        <v>4.6401090608722673E-4</v>
      </c>
      <c r="G27" s="2"/>
      <c r="H27" s="6">
        <v>50.81</v>
      </c>
      <c r="I27" s="2"/>
      <c r="J27" s="7">
        <f t="shared" si="13"/>
        <v>4.6887672694699421E-4</v>
      </c>
      <c r="K27" s="2"/>
      <c r="L27" s="6">
        <f t="shared" si="14"/>
        <v>2.4099999999999966</v>
      </c>
      <c r="M27" s="2"/>
      <c r="N27" s="7">
        <f t="shared" si="15"/>
        <v>4.7431607951190641E-2</v>
      </c>
      <c r="O27" s="11"/>
      <c r="P27" s="6">
        <v>102.82</v>
      </c>
      <c r="Q27" s="2"/>
      <c r="R27" s="7">
        <f t="shared" si="16"/>
        <v>6.3425454457075449E-4</v>
      </c>
      <c r="S27" s="2"/>
      <c r="T27" s="6">
        <v>104.47</v>
      </c>
      <c r="U27" s="2"/>
      <c r="V27" s="7">
        <f t="shared" si="17"/>
        <v>6.5460687025794596E-4</v>
      </c>
      <c r="W27" s="2"/>
      <c r="X27" s="6">
        <f t="shared" si="18"/>
        <v>-1.6500000000000057</v>
      </c>
      <c r="Y27" s="2"/>
      <c r="Z27" s="7">
        <f t="shared" si="19"/>
        <v>-1.5794007849143348E-2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>
        <v>268.22000000000003</v>
      </c>
      <c r="E28" s="2"/>
      <c r="F28" s="7">
        <f t="shared" si="12"/>
        <v>2.338538241839834E-3</v>
      </c>
      <c r="G28" s="2"/>
      <c r="H28" s="6">
        <v>248.06</v>
      </c>
      <c r="I28" s="2"/>
      <c r="J28" s="7">
        <f t="shared" si="13"/>
        <v>2.2891076734200232E-3</v>
      </c>
      <c r="K28" s="2"/>
      <c r="L28" s="6">
        <f t="shared" si="14"/>
        <v>20.160000000000025</v>
      </c>
      <c r="M28" s="2"/>
      <c r="N28" s="7">
        <f t="shared" si="15"/>
        <v>8.1270660324115229E-2</v>
      </c>
      <c r="O28" s="11"/>
      <c r="P28" s="6">
        <v>804.66</v>
      </c>
      <c r="Q28" s="2"/>
      <c r="R28" s="7">
        <f t="shared" si="16"/>
        <v>4.9636185745409777E-3</v>
      </c>
      <c r="S28" s="2"/>
      <c r="T28" s="6">
        <v>864.6</v>
      </c>
      <c r="U28" s="2"/>
      <c r="V28" s="7">
        <f t="shared" si="17"/>
        <v>5.4175658086055333E-3</v>
      </c>
      <c r="W28" s="2"/>
      <c r="X28" s="6">
        <f t="shared" si="18"/>
        <v>-59.940000000000055</v>
      </c>
      <c r="Y28" s="2"/>
      <c r="Z28" s="7">
        <f t="shared" si="19"/>
        <v>-6.9326856349757174E-2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>
        <v>221.28</v>
      </c>
      <c r="E29" s="2"/>
      <c r="F29" s="7">
        <f t="shared" si="12"/>
        <v>1.9292809714201715E-3</v>
      </c>
      <c r="G29" s="2"/>
      <c r="H29" s="6">
        <v>208.92</v>
      </c>
      <c r="I29" s="2"/>
      <c r="J29" s="7">
        <f t="shared" si="13"/>
        <v>1.9279221766141709E-3</v>
      </c>
      <c r="K29" s="2"/>
      <c r="L29" s="6">
        <f t="shared" si="14"/>
        <v>12.360000000000014</v>
      </c>
      <c r="M29" s="2"/>
      <c r="N29" s="7">
        <f t="shared" si="15"/>
        <v>5.9161401493394668E-2</v>
      </c>
      <c r="O29" s="11"/>
      <c r="P29" s="6">
        <v>663.84</v>
      </c>
      <c r="Q29" s="2"/>
      <c r="R29" s="7">
        <f t="shared" si="16"/>
        <v>4.0949575653360217E-3</v>
      </c>
      <c r="S29" s="2"/>
      <c r="T29" s="6">
        <v>660.39</v>
      </c>
      <c r="U29" s="2"/>
      <c r="V29" s="7">
        <f t="shared" si="17"/>
        <v>4.1379901507575846E-3</v>
      </c>
      <c r="W29" s="2"/>
      <c r="X29" s="6">
        <f t="shared" si="18"/>
        <v>3.4500000000000455</v>
      </c>
      <c r="Y29" s="2"/>
      <c r="Z29" s="7">
        <f t="shared" si="19"/>
        <v>5.2241857084450788E-3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>
        <v>177.12</v>
      </c>
      <c r="E30" s="2"/>
      <c r="F30" s="7">
        <f t="shared" si="12"/>
        <v>1.5442617753883804E-3</v>
      </c>
      <c r="G30" s="2"/>
      <c r="H30" s="6">
        <v>167.24</v>
      </c>
      <c r="I30" s="2"/>
      <c r="J30" s="7">
        <f t="shared" si="13"/>
        <v>1.5432974574811121E-3</v>
      </c>
      <c r="K30" s="2"/>
      <c r="L30" s="6">
        <f t="shared" si="14"/>
        <v>9.8799999999999955</v>
      </c>
      <c r="M30" s="2"/>
      <c r="N30" s="7">
        <f t="shared" si="15"/>
        <v>5.907677589093515E-2</v>
      </c>
      <c r="O30" s="11"/>
      <c r="P30" s="6">
        <v>531.36</v>
      </c>
      <c r="Q30" s="2"/>
      <c r="R30" s="7">
        <f t="shared" si="16"/>
        <v>3.2777426065270974E-3</v>
      </c>
      <c r="S30" s="2"/>
      <c r="T30" s="6">
        <v>549.51</v>
      </c>
      <c r="U30" s="2"/>
      <c r="V30" s="7">
        <f t="shared" si="17"/>
        <v>3.4432183524020664E-3</v>
      </c>
      <c r="W30" s="2"/>
      <c r="X30" s="6">
        <f t="shared" si="18"/>
        <v>-18.149999999999977</v>
      </c>
      <c r="Y30" s="2"/>
      <c r="Z30" s="7">
        <f t="shared" si="19"/>
        <v>-3.3029426216083381E-2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>
        <v>172.96</v>
      </c>
      <c r="E31" s="2"/>
      <c r="F31" s="7">
        <f t="shared" si="12"/>
        <v>1.5079918511245159E-3</v>
      </c>
      <c r="G31" s="2"/>
      <c r="H31" s="6">
        <v>149.62</v>
      </c>
      <c r="I31" s="2"/>
      <c r="J31" s="7">
        <f t="shared" si="13"/>
        <v>1.3806993876364746E-3</v>
      </c>
      <c r="K31" s="2"/>
      <c r="L31" s="6">
        <f t="shared" si="14"/>
        <v>23.340000000000003</v>
      </c>
      <c r="M31" s="2"/>
      <c r="N31" s="7">
        <f t="shared" si="15"/>
        <v>0.15599518780911645</v>
      </c>
      <c r="O31" s="11"/>
      <c r="P31" s="6">
        <v>441.9</v>
      </c>
      <c r="Q31" s="2"/>
      <c r="R31" s="7">
        <f t="shared" si="16"/>
        <v>2.7259004400487885E-3</v>
      </c>
      <c r="S31" s="2"/>
      <c r="T31" s="6">
        <v>449.54</v>
      </c>
      <c r="U31" s="2"/>
      <c r="V31" s="7">
        <f t="shared" si="17"/>
        <v>2.8168083895449125E-3</v>
      </c>
      <c r="W31" s="2"/>
      <c r="X31" s="6">
        <f t="shared" si="18"/>
        <v>-7.6400000000000432</v>
      </c>
      <c r="Y31" s="2"/>
      <c r="Z31" s="7">
        <f t="shared" si="19"/>
        <v>-1.6995150598389561E-2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19740.04</v>
      </c>
      <c r="E32" s="1"/>
      <c r="F32" s="5">
        <f t="shared" ref="F32:F37" si="20">IF(D$12=0,0,D32/D$12)</f>
        <v>0.1721081143667437</v>
      </c>
      <c r="G32" s="1"/>
      <c r="H32" s="1">
        <f>SUM(OSRRefH22_1x_0)</f>
        <v>17895.059999999998</v>
      </c>
      <c r="I32" s="1"/>
      <c r="J32" s="5">
        <f t="shared" ref="J32:J37" si="21">IF(H$12=0,0,H32/H$12)</f>
        <v>0.16513633460578778</v>
      </c>
      <c r="K32" s="1"/>
      <c r="L32" s="1">
        <f t="shared" ref="L32:L37" si="22">+D32-H32</f>
        <v>1844.9800000000032</v>
      </c>
      <c r="M32" s="1"/>
      <c r="N32" s="5">
        <f t="shared" ref="N32:N37" si="23">IF(H32=0,0,L32/H32)</f>
        <v>0.10309996166539835</v>
      </c>
      <c r="O32" s="14"/>
      <c r="P32" s="1">
        <f>SUM(OSRRefP22_1x_0)</f>
        <v>43516.990000000005</v>
      </c>
      <c r="Q32" s="1"/>
      <c r="R32" s="5">
        <f t="shared" ref="R32:R37" si="24">IF(P$12=0,0,P32/P$12)</f>
        <v>0.26843852045847194</v>
      </c>
      <c r="S32" s="1"/>
      <c r="T32" s="1">
        <f>SUM(OSRRefT22_1x_0)</f>
        <v>38233.199999999997</v>
      </c>
      <c r="U32" s="1"/>
      <c r="V32" s="5">
        <f t="shared" ref="V32:V37" si="25">IF(T$12=0,0,T32/T$12)</f>
        <v>0.23956844445243702</v>
      </c>
      <c r="W32" s="1"/>
      <c r="X32" s="1">
        <f t="shared" ref="X32:X37" si="26">+P32-T32</f>
        <v>5283.7900000000081</v>
      </c>
      <c r="Y32" s="1"/>
      <c r="Z32" s="5">
        <f t="shared" ref="Z32:Z37" si="27">IF(T32=0,0,X32/T32)</f>
        <v>0.13819899982214434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>
        <v>3456</v>
      </c>
      <c r="E33" s="2"/>
      <c r="F33" s="7">
        <f t="shared" si="20"/>
        <v>3.0131937080748884E-2</v>
      </c>
      <c r="G33" s="2"/>
      <c r="H33" s="6">
        <v>3625.6</v>
      </c>
      <c r="I33" s="2"/>
      <c r="J33" s="7">
        <f t="shared" si="21"/>
        <v>3.3457182862015787E-2</v>
      </c>
      <c r="K33" s="2"/>
      <c r="L33" s="6">
        <f t="shared" si="22"/>
        <v>-169.59999999999991</v>
      </c>
      <c r="M33" s="2"/>
      <c r="N33" s="7">
        <f t="shared" si="23"/>
        <v>-4.6778464254192388E-2</v>
      </c>
      <c r="O33" s="11"/>
      <c r="P33" s="6">
        <v>10752</v>
      </c>
      <c r="Q33" s="2"/>
      <c r="R33" s="7">
        <f t="shared" si="24"/>
        <v>6.6324692309130059E-2</v>
      </c>
      <c r="S33" s="2"/>
      <c r="T33" s="6">
        <v>11057.68</v>
      </c>
      <c r="U33" s="2"/>
      <c r="V33" s="7">
        <f t="shared" si="25"/>
        <v>6.9287195339464758E-2</v>
      </c>
      <c r="W33" s="2"/>
      <c r="X33" s="6">
        <f t="shared" si="26"/>
        <v>-305.68000000000029</v>
      </c>
      <c r="Y33" s="2"/>
      <c r="Z33" s="7">
        <f t="shared" si="27"/>
        <v>-2.7644135116950418E-2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>
        <v>1620.5</v>
      </c>
      <c r="E34" s="2"/>
      <c r="F34" s="7">
        <f t="shared" si="20"/>
        <v>1.4128704872498139E-2</v>
      </c>
      <c r="G34" s="2"/>
      <c r="H34" s="6"/>
      <c r="I34" s="2"/>
      <c r="J34" s="7">
        <f t="shared" si="21"/>
        <v>0</v>
      </c>
      <c r="K34" s="2"/>
      <c r="L34" s="6">
        <f t="shared" si="22"/>
        <v>1620.5</v>
      </c>
      <c r="M34" s="2"/>
      <c r="N34" s="7">
        <f t="shared" si="23"/>
        <v>0</v>
      </c>
      <c r="O34" s="11"/>
      <c r="P34" s="6">
        <v>3731</v>
      </c>
      <c r="Q34" s="2"/>
      <c r="R34" s="7">
        <f t="shared" si="24"/>
        <v>2.3015013672373907E-2</v>
      </c>
      <c r="S34" s="2"/>
      <c r="T34" s="6"/>
      <c r="U34" s="2"/>
      <c r="V34" s="7">
        <f t="shared" si="25"/>
        <v>0</v>
      </c>
      <c r="W34" s="2"/>
      <c r="X34" s="6">
        <f t="shared" si="26"/>
        <v>3731</v>
      </c>
      <c r="Y34" s="2"/>
      <c r="Z34" s="7">
        <f t="shared" si="27"/>
        <v>0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>
        <v>3031.32</v>
      </c>
      <c r="I35" s="2"/>
      <c r="J35" s="7">
        <f t="shared" si="21"/>
        <v>2.7973143080672357E-2</v>
      </c>
      <c r="K35" s="2"/>
      <c r="L35" s="6">
        <f t="shared" si="22"/>
        <v>-3031.32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5631.13</v>
      </c>
      <c r="U35" s="2"/>
      <c r="V35" s="7">
        <f t="shared" si="25"/>
        <v>3.5284544704849499E-2</v>
      </c>
      <c r="W35" s="2"/>
      <c r="X35" s="6">
        <f t="shared" si="26"/>
        <v>-5631.13</v>
      </c>
      <c r="Y35" s="2"/>
      <c r="Z35" s="7">
        <f t="shared" si="27"/>
        <v>-1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6">
        <v>14198.54</v>
      </c>
      <c r="E36" s="2"/>
      <c r="F36" s="7">
        <f t="shared" si="20"/>
        <v>0.12379326212919452</v>
      </c>
      <c r="G36" s="2"/>
      <c r="H36" s="6">
        <v>10899.89</v>
      </c>
      <c r="I36" s="2"/>
      <c r="J36" s="7">
        <f t="shared" si="21"/>
        <v>0.10058462403625806</v>
      </c>
      <c r="K36" s="2"/>
      <c r="L36" s="6">
        <f t="shared" si="22"/>
        <v>3298.6500000000015</v>
      </c>
      <c r="M36" s="2"/>
      <c r="N36" s="7">
        <f t="shared" si="23"/>
        <v>0.30263149444627435</v>
      </c>
      <c r="O36" s="11"/>
      <c r="P36" s="6">
        <v>28568.99</v>
      </c>
      <c r="Q36" s="2"/>
      <c r="R36" s="7">
        <f t="shared" si="24"/>
        <v>0.17623041958078625</v>
      </c>
      <c r="S36" s="2"/>
      <c r="T36" s="6">
        <v>21206.14</v>
      </c>
      <c r="U36" s="2"/>
      <c r="V36" s="7">
        <f t="shared" si="25"/>
        <v>0.13287723686849656</v>
      </c>
      <c r="W36" s="2"/>
      <c r="X36" s="6">
        <f t="shared" si="26"/>
        <v>7362.8500000000022</v>
      </c>
      <c r="Y36" s="2"/>
      <c r="Z36" s="7">
        <f t="shared" si="27"/>
        <v>0.34720368723398048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>
        <v>465</v>
      </c>
      <c r="E37" s="2"/>
      <c r="F37" s="7">
        <f t="shared" si="20"/>
        <v>4.0542102843021503E-3</v>
      </c>
      <c r="G37" s="2"/>
      <c r="H37" s="6">
        <v>338.25</v>
      </c>
      <c r="I37" s="2"/>
      <c r="J37" s="7">
        <f t="shared" si="21"/>
        <v>3.1213846268415822E-3</v>
      </c>
      <c r="K37" s="2"/>
      <c r="L37" s="6">
        <f t="shared" si="22"/>
        <v>126.75</v>
      </c>
      <c r="M37" s="2"/>
      <c r="N37" s="7">
        <f t="shared" si="23"/>
        <v>0.37472283813747226</v>
      </c>
      <c r="O37" s="11"/>
      <c r="P37" s="6">
        <v>465</v>
      </c>
      <c r="Q37" s="2"/>
      <c r="R37" s="7">
        <f t="shared" si="24"/>
        <v>2.8683948961816851E-3</v>
      </c>
      <c r="S37" s="2"/>
      <c r="T37" s="6">
        <v>338.25</v>
      </c>
      <c r="U37" s="2"/>
      <c r="V37" s="7">
        <f t="shared" si="25"/>
        <v>2.1194675396262103E-3</v>
      </c>
      <c r="W37" s="2"/>
      <c r="X37" s="6">
        <f t="shared" si="26"/>
        <v>126.75</v>
      </c>
      <c r="Y37" s="2"/>
      <c r="Z37" s="7">
        <f t="shared" si="27"/>
        <v>0.37472283813747226</v>
      </c>
    </row>
    <row r="38" spans="1:26" s="29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54" si="28">IF(D$12=0,0,D38/D$12)</f>
        <v>0</v>
      </c>
      <c r="G38" s="1"/>
      <c r="H38" s="1">
        <f>SUM(OSRRefH22_2x_0)</f>
        <v>48</v>
      </c>
      <c r="I38" s="1"/>
      <c r="J38" s="5">
        <f t="shared" ref="J38:J54" si="29">IF(H$12=0,0,H38/H$12)</f>
        <v>4.4294593374248614E-4</v>
      </c>
      <c r="K38" s="1"/>
      <c r="L38" s="1">
        <f t="shared" ref="L38:L54" si="30">+D38-H38</f>
        <v>-48</v>
      </c>
      <c r="M38" s="1"/>
      <c r="N38" s="5">
        <f t="shared" ref="N38:N54" si="31">IF(H38=0,0,L38/H38)</f>
        <v>-1</v>
      </c>
      <c r="O38" s="14"/>
      <c r="P38" s="1">
        <f>SUM(OSRRefP22_2x_0)</f>
        <v>60</v>
      </c>
      <c r="Q38" s="1"/>
      <c r="R38" s="5">
        <f t="shared" ref="R38:R54" si="32">IF(P$12=0,0,P38/P$12)</f>
        <v>3.7011547047505612E-4</v>
      </c>
      <c r="S38" s="1"/>
      <c r="T38" s="1">
        <f>SUM(OSRRefT22_2x_0)</f>
        <v>150</v>
      </c>
      <c r="U38" s="1"/>
      <c r="V38" s="5">
        <f t="shared" ref="V38:V54" si="33">IF(T$12=0,0,T38/T$12)</f>
        <v>9.398969133597386E-4</v>
      </c>
      <c r="W38" s="1"/>
      <c r="X38" s="1">
        <f t="shared" ref="X38:X54" si="34">+P38-T38</f>
        <v>-90</v>
      </c>
      <c r="Y38" s="1"/>
      <c r="Z38" s="5">
        <f t="shared" ref="Z38:Z54" si="35">IF(T38=0,0,X38/T38)</f>
        <v>-0.6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28"/>
        <v>0</v>
      </c>
      <c r="G39" s="2"/>
      <c r="H39" s="6">
        <v>48</v>
      </c>
      <c r="I39" s="2"/>
      <c r="J39" s="7">
        <f t="shared" si="29"/>
        <v>4.4294593374248614E-4</v>
      </c>
      <c r="K39" s="2"/>
      <c r="L39" s="6">
        <f t="shared" si="30"/>
        <v>-48</v>
      </c>
      <c r="M39" s="2"/>
      <c r="N39" s="7">
        <f t="shared" si="31"/>
        <v>-1</v>
      </c>
      <c r="O39" s="11"/>
      <c r="P39" s="6">
        <v>60</v>
      </c>
      <c r="Q39" s="2"/>
      <c r="R39" s="7">
        <f t="shared" si="32"/>
        <v>3.7011547047505612E-4</v>
      </c>
      <c r="S39" s="2"/>
      <c r="T39" s="6">
        <v>150</v>
      </c>
      <c r="U39" s="2"/>
      <c r="V39" s="7">
        <f t="shared" si="33"/>
        <v>9.398969133597386E-4</v>
      </c>
      <c r="W39" s="2"/>
      <c r="X39" s="6">
        <f t="shared" si="34"/>
        <v>-90</v>
      </c>
      <c r="Y39" s="2"/>
      <c r="Z39" s="7">
        <f t="shared" si="35"/>
        <v>-0.6</v>
      </c>
    </row>
    <row r="40" spans="1:26" s="29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-17.239999999999998</v>
      </c>
      <c r="E40" s="1"/>
      <c r="F40" s="5">
        <f t="shared" si="28"/>
        <v>-1.5031093613197648E-4</v>
      </c>
      <c r="G40" s="1"/>
      <c r="H40" s="1">
        <f>SUM(OSRRefH22_3x_0)</f>
        <v>-23.16</v>
      </c>
      <c r="I40" s="1"/>
      <c r="J40" s="5">
        <f t="shared" si="29"/>
        <v>-2.1372141303074957E-4</v>
      </c>
      <c r="K40" s="1"/>
      <c r="L40" s="1">
        <f t="shared" si="30"/>
        <v>5.9200000000000017</v>
      </c>
      <c r="M40" s="1"/>
      <c r="N40" s="5">
        <f t="shared" si="31"/>
        <v>-0.25561312607944742</v>
      </c>
      <c r="O40" s="14"/>
      <c r="P40" s="1">
        <f>SUM(OSRRefP22_3x_0)</f>
        <v>-25.08</v>
      </c>
      <c r="Q40" s="1"/>
      <c r="R40" s="5">
        <f t="shared" si="32"/>
        <v>-1.5470826665857346E-4</v>
      </c>
      <c r="S40" s="1"/>
      <c r="T40" s="1">
        <f>SUM(OSRRefT22_3x_0)</f>
        <v>-45.38</v>
      </c>
      <c r="U40" s="1"/>
      <c r="V40" s="5">
        <f t="shared" si="33"/>
        <v>-2.8435014618843294E-4</v>
      </c>
      <c r="W40" s="1"/>
      <c r="X40" s="1">
        <f t="shared" si="34"/>
        <v>20.300000000000004</v>
      </c>
      <c r="Y40" s="1"/>
      <c r="Z40" s="5">
        <f t="shared" si="35"/>
        <v>-0.44733362714852365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6">
        <v>-17.239999999999998</v>
      </c>
      <c r="E41" s="2"/>
      <c r="F41" s="7">
        <f t="shared" si="28"/>
        <v>-1.5031093613197648E-4</v>
      </c>
      <c r="G41" s="2"/>
      <c r="H41" s="6">
        <v>-23.16</v>
      </c>
      <c r="I41" s="2"/>
      <c r="J41" s="7">
        <f t="shared" si="29"/>
        <v>-2.1372141303074957E-4</v>
      </c>
      <c r="K41" s="2"/>
      <c r="L41" s="6">
        <f t="shared" si="30"/>
        <v>5.9200000000000017</v>
      </c>
      <c r="M41" s="2"/>
      <c r="N41" s="7">
        <f t="shared" si="31"/>
        <v>-0.25561312607944742</v>
      </c>
      <c r="O41" s="11"/>
      <c r="P41" s="6">
        <v>-25.08</v>
      </c>
      <c r="Q41" s="2"/>
      <c r="R41" s="7">
        <f t="shared" si="32"/>
        <v>-1.5470826665857346E-4</v>
      </c>
      <c r="S41" s="2"/>
      <c r="T41" s="6">
        <v>-45.38</v>
      </c>
      <c r="U41" s="2"/>
      <c r="V41" s="7">
        <f t="shared" si="33"/>
        <v>-2.8435014618843294E-4</v>
      </c>
      <c r="W41" s="2"/>
      <c r="X41" s="6">
        <f t="shared" si="34"/>
        <v>20.300000000000004</v>
      </c>
      <c r="Y41" s="2"/>
      <c r="Z41" s="7">
        <f t="shared" si="35"/>
        <v>-0.44733362714852365</v>
      </c>
    </row>
    <row r="42" spans="1:26" s="29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3924.9</v>
      </c>
      <c r="E42" s="1"/>
      <c r="F42" s="5">
        <f t="shared" si="28"/>
        <v>3.4220150419048405E-2</v>
      </c>
      <c r="G42" s="1"/>
      <c r="H42" s="1">
        <f>SUM(OSRRefH22_4x_0)</f>
        <v>3686.7</v>
      </c>
      <c r="I42" s="1"/>
      <c r="J42" s="5">
        <f t="shared" si="29"/>
        <v>3.4021016123508822E-2</v>
      </c>
      <c r="K42" s="1"/>
      <c r="L42" s="1">
        <f t="shared" si="30"/>
        <v>238.20000000000027</v>
      </c>
      <c r="M42" s="1"/>
      <c r="N42" s="5">
        <f t="shared" si="31"/>
        <v>6.4610627390349173E-2</v>
      </c>
      <c r="O42" s="14"/>
      <c r="P42" s="1">
        <f>SUM(OSRRefP22_4x_0)</f>
        <v>5394.42</v>
      </c>
      <c r="Q42" s="1"/>
      <c r="R42" s="5">
        <f t="shared" si="32"/>
        <v>3.3275971604000872E-2</v>
      </c>
      <c r="S42" s="1"/>
      <c r="T42" s="1">
        <f>SUM(OSRRefT22_4x_0)</f>
        <v>5085</v>
      </c>
      <c r="U42" s="1"/>
      <c r="V42" s="5">
        <f t="shared" si="33"/>
        <v>3.1862505362895137E-2</v>
      </c>
      <c r="W42" s="1"/>
      <c r="X42" s="1">
        <f t="shared" si="34"/>
        <v>309.42000000000007</v>
      </c>
      <c r="Y42" s="1"/>
      <c r="Z42" s="5">
        <f t="shared" si="35"/>
        <v>6.0849557522123905E-2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6">
        <v>3924.9</v>
      </c>
      <c r="E43" s="2"/>
      <c r="F43" s="7">
        <f t="shared" si="28"/>
        <v>3.4220150419048405E-2</v>
      </c>
      <c r="G43" s="2"/>
      <c r="H43" s="6">
        <v>3686.7</v>
      </c>
      <c r="I43" s="2"/>
      <c r="J43" s="7">
        <f t="shared" si="29"/>
        <v>3.4021016123508822E-2</v>
      </c>
      <c r="K43" s="2"/>
      <c r="L43" s="6">
        <f t="shared" si="30"/>
        <v>238.20000000000027</v>
      </c>
      <c r="M43" s="2"/>
      <c r="N43" s="7">
        <f t="shared" si="31"/>
        <v>6.4610627390349173E-2</v>
      </c>
      <c r="O43" s="11"/>
      <c r="P43" s="6">
        <v>5394.42</v>
      </c>
      <c r="Q43" s="2"/>
      <c r="R43" s="7">
        <f t="shared" si="32"/>
        <v>3.3275971604000872E-2</v>
      </c>
      <c r="S43" s="2"/>
      <c r="T43" s="6">
        <v>5085</v>
      </c>
      <c r="U43" s="2"/>
      <c r="V43" s="7">
        <f t="shared" si="33"/>
        <v>3.1862505362895137E-2</v>
      </c>
      <c r="W43" s="2"/>
      <c r="X43" s="6">
        <f t="shared" si="34"/>
        <v>309.42000000000007</v>
      </c>
      <c r="Y43" s="2"/>
      <c r="Z43" s="7">
        <f t="shared" si="35"/>
        <v>6.0849557522123905E-2</v>
      </c>
    </row>
    <row r="44" spans="1:26" s="29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1857.58</v>
      </c>
      <c r="E44" s="1"/>
      <c r="F44" s="5">
        <f t="shared" si="28"/>
        <v>1.619574180626664E-2</v>
      </c>
      <c r="G44" s="1"/>
      <c r="H44" s="1">
        <f>SUM(OSRRefH22_5x_0)</f>
        <v>2114.62</v>
      </c>
      <c r="I44" s="1"/>
      <c r="J44" s="5">
        <f t="shared" si="29"/>
        <v>1.9513798550219501E-2</v>
      </c>
      <c r="K44" s="1"/>
      <c r="L44" s="1">
        <f t="shared" si="30"/>
        <v>-257.03999999999996</v>
      </c>
      <c r="M44" s="1"/>
      <c r="N44" s="5">
        <f t="shared" si="31"/>
        <v>-0.12155375433884101</v>
      </c>
      <c r="O44" s="14"/>
      <c r="P44" s="1">
        <f>SUM(OSRRefP22_5x_0)</f>
        <v>5572.74</v>
      </c>
      <c r="Q44" s="1"/>
      <c r="R44" s="5">
        <f t="shared" si="32"/>
        <v>3.4375954782252735E-2</v>
      </c>
      <c r="S44" s="1"/>
      <c r="T44" s="1">
        <f>SUM(OSRRefT22_5x_0)</f>
        <v>6343.86</v>
      </c>
      <c r="U44" s="1"/>
      <c r="V44" s="5">
        <f t="shared" si="33"/>
        <v>3.9750496218575404E-2</v>
      </c>
      <c r="W44" s="1"/>
      <c r="X44" s="1">
        <f t="shared" si="34"/>
        <v>-771.11999999999989</v>
      </c>
      <c r="Y44" s="1"/>
      <c r="Z44" s="5">
        <f t="shared" si="35"/>
        <v>-0.12155375433884101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1857.58</v>
      </c>
      <c r="E45" s="2"/>
      <c r="F45" s="7">
        <f t="shared" si="28"/>
        <v>1.619574180626664E-2</v>
      </c>
      <c r="G45" s="2"/>
      <c r="H45" s="6">
        <v>2114.62</v>
      </c>
      <c r="I45" s="2"/>
      <c r="J45" s="7">
        <f t="shared" si="29"/>
        <v>1.9513798550219501E-2</v>
      </c>
      <c r="K45" s="2"/>
      <c r="L45" s="6">
        <f t="shared" si="30"/>
        <v>-257.03999999999996</v>
      </c>
      <c r="M45" s="2"/>
      <c r="N45" s="7">
        <f t="shared" si="31"/>
        <v>-0.12155375433884101</v>
      </c>
      <c r="O45" s="11"/>
      <c r="P45" s="6">
        <v>5572.74</v>
      </c>
      <c r="Q45" s="2"/>
      <c r="R45" s="7">
        <f t="shared" si="32"/>
        <v>3.4375954782252735E-2</v>
      </c>
      <c r="S45" s="2"/>
      <c r="T45" s="6">
        <v>6343.86</v>
      </c>
      <c r="U45" s="2"/>
      <c r="V45" s="7">
        <f t="shared" si="33"/>
        <v>3.9750496218575404E-2</v>
      </c>
      <c r="W45" s="2"/>
      <c r="X45" s="6">
        <f t="shared" si="34"/>
        <v>-771.11999999999989</v>
      </c>
      <c r="Y45" s="2"/>
      <c r="Z45" s="7">
        <f t="shared" si="35"/>
        <v>-0.12155375433884101</v>
      </c>
    </row>
    <row r="46" spans="1:26" s="29" customFormat="1" outlineLevel="1" collapsed="1" x14ac:dyDescent="0.25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SUM(OSRRefD22_6x_0)</f>
        <v>0</v>
      </c>
      <c r="E46" s="1"/>
      <c r="F46" s="5">
        <f t="shared" si="28"/>
        <v>0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0</v>
      </c>
      <c r="M46" s="1"/>
      <c r="N46" s="5">
        <f t="shared" si="31"/>
        <v>0</v>
      </c>
      <c r="O46" s="14"/>
      <c r="P46" s="1">
        <f>SUM(OSRRefP22_6x_0)</f>
        <v>0</v>
      </c>
      <c r="Q46" s="1"/>
      <c r="R46" s="5">
        <f t="shared" si="32"/>
        <v>0</v>
      </c>
      <c r="S46" s="1"/>
      <c r="T46" s="1">
        <f>SUM(OSRRefT22_6x_0)</f>
        <v>61.8</v>
      </c>
      <c r="U46" s="1"/>
      <c r="V46" s="5">
        <f t="shared" si="33"/>
        <v>3.872375283042123E-4</v>
      </c>
      <c r="W46" s="1"/>
      <c r="X46" s="1">
        <f t="shared" si="34"/>
        <v>-61.8</v>
      </c>
      <c r="Y46" s="1"/>
      <c r="Z46" s="5">
        <f t="shared" si="35"/>
        <v>-1</v>
      </c>
    </row>
    <row r="47" spans="1:26" s="24" customFormat="1" hidden="1" outlineLevel="2" x14ac:dyDescent="0.25">
      <c r="A47" s="28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8"/>
        <v>0</v>
      </c>
      <c r="G47" s="2"/>
      <c r="H47" s="6"/>
      <c r="I47" s="2"/>
      <c r="J47" s="7">
        <f t="shared" si="29"/>
        <v>0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/>
      <c r="Q47" s="2"/>
      <c r="R47" s="7">
        <f t="shared" si="32"/>
        <v>0</v>
      </c>
      <c r="S47" s="2"/>
      <c r="T47" s="6">
        <v>61.8</v>
      </c>
      <c r="U47" s="2"/>
      <c r="V47" s="7">
        <f t="shared" si="33"/>
        <v>3.872375283042123E-4</v>
      </c>
      <c r="W47" s="2"/>
      <c r="X47" s="6">
        <f t="shared" si="34"/>
        <v>-61.8</v>
      </c>
      <c r="Y47" s="2"/>
      <c r="Z47" s="7">
        <f t="shared" si="35"/>
        <v>-1</v>
      </c>
    </row>
    <row r="48" spans="1:26" s="29" customFormat="1" outlineLevel="1" collapsed="1" x14ac:dyDescent="0.2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91.5</v>
      </c>
      <c r="E48" s="1"/>
      <c r="F48" s="5">
        <f t="shared" si="28"/>
        <v>7.9776395916913274E-4</v>
      </c>
      <c r="G48" s="1"/>
      <c r="H48" s="1">
        <f>SUM(OSRRefH22_7x_0)</f>
        <v>81.25</v>
      </c>
      <c r="I48" s="1"/>
      <c r="J48" s="5">
        <f t="shared" si="29"/>
        <v>7.4977827326202086E-4</v>
      </c>
      <c r="K48" s="1"/>
      <c r="L48" s="1">
        <f t="shared" si="30"/>
        <v>10.25</v>
      </c>
      <c r="M48" s="1"/>
      <c r="N48" s="5">
        <f t="shared" si="31"/>
        <v>0.12615384615384614</v>
      </c>
      <c r="O48" s="14"/>
      <c r="P48" s="1">
        <f>SUM(OSRRefP22_7x_0)</f>
        <v>860.05</v>
      </c>
      <c r="Q48" s="1"/>
      <c r="R48" s="5">
        <f t="shared" si="32"/>
        <v>5.3052968397012002E-3</v>
      </c>
      <c r="S48" s="1"/>
      <c r="T48" s="1">
        <f>SUM(OSRRefT22_7x_0)</f>
        <v>842.15</v>
      </c>
      <c r="U48" s="1"/>
      <c r="V48" s="5">
        <f t="shared" si="33"/>
        <v>5.2768945705726922E-3</v>
      </c>
      <c r="W48" s="1"/>
      <c r="X48" s="1">
        <f t="shared" si="34"/>
        <v>17.899999999999977</v>
      </c>
      <c r="Y48" s="1"/>
      <c r="Z48" s="5">
        <f t="shared" si="35"/>
        <v>2.125512082170632E-2</v>
      </c>
    </row>
    <row r="49" spans="1:26" s="24" customFormat="1" hidden="1" outlineLevel="2" x14ac:dyDescent="0.25">
      <c r="A49" s="28"/>
      <c r="B49" s="11" t="str">
        <f>CONCATENATE("          ", "6279", " - ", "GENERAL EXPENSE")</f>
        <v xml:space="preserve">          6279 - GENERAL EXPENSE</v>
      </c>
      <c r="C49" s="11"/>
      <c r="D49" s="6">
        <v>91.5</v>
      </c>
      <c r="E49" s="2"/>
      <c r="F49" s="7">
        <f t="shared" si="28"/>
        <v>7.9776395916913274E-4</v>
      </c>
      <c r="G49" s="2"/>
      <c r="H49" s="6">
        <v>81.25</v>
      </c>
      <c r="I49" s="2"/>
      <c r="J49" s="7">
        <f t="shared" si="29"/>
        <v>7.4977827326202086E-4</v>
      </c>
      <c r="K49" s="2"/>
      <c r="L49" s="6">
        <f t="shared" si="30"/>
        <v>10.25</v>
      </c>
      <c r="M49" s="2"/>
      <c r="N49" s="7">
        <f t="shared" si="31"/>
        <v>0.12615384615384614</v>
      </c>
      <c r="O49" s="11"/>
      <c r="P49" s="6">
        <v>860.05</v>
      </c>
      <c r="Q49" s="2"/>
      <c r="R49" s="7">
        <f t="shared" si="32"/>
        <v>5.3052968397012002E-3</v>
      </c>
      <c r="S49" s="2"/>
      <c r="T49" s="6">
        <v>842.15</v>
      </c>
      <c r="U49" s="2"/>
      <c r="V49" s="7">
        <f t="shared" si="33"/>
        <v>5.2768945705726922E-3</v>
      </c>
      <c r="W49" s="2"/>
      <c r="X49" s="6">
        <f t="shared" si="34"/>
        <v>17.899999999999977</v>
      </c>
      <c r="Y49" s="2"/>
      <c r="Z49" s="7">
        <f t="shared" si="35"/>
        <v>2.125512082170632E-2</v>
      </c>
    </row>
    <row r="50" spans="1:26" s="29" customFormat="1" outlineLevel="1" collapsed="1" x14ac:dyDescent="0.25">
      <c r="A50" s="27"/>
      <c r="B50" s="14" t="str">
        <f>CONCATENATE("     ","Rent                                              ")</f>
        <v xml:space="preserve">     Rent                                              </v>
      </c>
      <c r="C50" s="14"/>
      <c r="D50" s="1">
        <f>SUM(OSRRefD22_8x_0)</f>
        <v>1150</v>
      </c>
      <c r="E50" s="1"/>
      <c r="F50" s="5">
        <f t="shared" si="28"/>
        <v>1.0026541563327898E-2</v>
      </c>
      <c r="G50" s="1"/>
      <c r="H50" s="1">
        <f>SUM(OSRRefH22_8x_0)</f>
        <v>1150</v>
      </c>
      <c r="I50" s="1"/>
      <c r="J50" s="5">
        <f t="shared" si="29"/>
        <v>1.0612246329247064E-2</v>
      </c>
      <c r="K50" s="1"/>
      <c r="L50" s="1">
        <f t="shared" si="30"/>
        <v>0</v>
      </c>
      <c r="M50" s="1"/>
      <c r="N50" s="5">
        <f t="shared" si="31"/>
        <v>0</v>
      </c>
      <c r="O50" s="14"/>
      <c r="P50" s="1">
        <f>SUM(OSRRefP22_8x_0)</f>
        <v>3450</v>
      </c>
      <c r="Q50" s="1"/>
      <c r="R50" s="5">
        <f t="shared" si="32"/>
        <v>2.1281639552315729E-2</v>
      </c>
      <c r="S50" s="1"/>
      <c r="T50" s="1">
        <f>SUM(OSRRefT22_8x_0)</f>
        <v>3450</v>
      </c>
      <c r="U50" s="1"/>
      <c r="V50" s="5">
        <f t="shared" si="33"/>
        <v>2.1617629007273986E-2</v>
      </c>
      <c r="W50" s="1"/>
      <c r="X50" s="1">
        <f t="shared" si="34"/>
        <v>0</v>
      </c>
      <c r="Y50" s="1"/>
      <c r="Z50" s="5">
        <f t="shared" si="35"/>
        <v>0</v>
      </c>
    </row>
    <row r="51" spans="1:26" s="24" customFormat="1" hidden="1" outlineLevel="2" x14ac:dyDescent="0.25">
      <c r="A51" s="28"/>
      <c r="B51" s="11" t="str">
        <f>CONCATENATE("          ", "6273", " - ", "RENT")</f>
        <v xml:space="preserve">          6273 - RENT</v>
      </c>
      <c r="C51" s="11"/>
      <c r="D51" s="6">
        <v>1150</v>
      </c>
      <c r="E51" s="2"/>
      <c r="F51" s="7">
        <f t="shared" si="28"/>
        <v>1.0026541563327898E-2</v>
      </c>
      <c r="G51" s="2"/>
      <c r="H51" s="6">
        <v>1150</v>
      </c>
      <c r="I51" s="2"/>
      <c r="J51" s="7">
        <f t="shared" si="29"/>
        <v>1.0612246329247064E-2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>
        <v>3450</v>
      </c>
      <c r="Q51" s="2"/>
      <c r="R51" s="7">
        <f t="shared" si="32"/>
        <v>2.1281639552315729E-2</v>
      </c>
      <c r="S51" s="2"/>
      <c r="T51" s="6">
        <v>3450</v>
      </c>
      <c r="U51" s="2"/>
      <c r="V51" s="7">
        <f t="shared" si="33"/>
        <v>2.1617629007273986E-2</v>
      </c>
      <c r="W51" s="2"/>
      <c r="X51" s="6">
        <f t="shared" si="34"/>
        <v>0</v>
      </c>
      <c r="Y51" s="2"/>
      <c r="Z51" s="7">
        <f t="shared" si="35"/>
        <v>0</v>
      </c>
    </row>
    <row r="52" spans="1:26" s="29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SUM(OSRRefD22_9x_0)</f>
        <v>509.14</v>
      </c>
      <c r="E52" s="1"/>
      <c r="F52" s="5">
        <f t="shared" si="28"/>
        <v>4.439055105698057E-3</v>
      </c>
      <c r="G52" s="1"/>
      <c r="H52" s="1">
        <f>SUM(OSRRefH22_9x_0)</f>
        <v>363.58000000000004</v>
      </c>
      <c r="I52" s="1"/>
      <c r="J52" s="5">
        <f t="shared" si="29"/>
        <v>3.3551308872936071E-3</v>
      </c>
      <c r="K52" s="1"/>
      <c r="L52" s="1">
        <f t="shared" si="30"/>
        <v>145.55999999999995</v>
      </c>
      <c r="M52" s="1"/>
      <c r="N52" s="5">
        <f t="shared" si="31"/>
        <v>0.4003520545684579</v>
      </c>
      <c r="O52" s="14"/>
      <c r="P52" s="1">
        <f>SUM(OSRRefP22_9x_0)</f>
        <v>1149.27</v>
      </c>
      <c r="Q52" s="1"/>
      <c r="R52" s="5">
        <f t="shared" si="32"/>
        <v>7.0893767792144626E-3</v>
      </c>
      <c r="S52" s="1"/>
      <c r="T52" s="1">
        <f>SUM(OSRRefT22_9x_0)</f>
        <v>697.42000000000007</v>
      </c>
      <c r="U52" s="1"/>
      <c r="V52" s="5">
        <f t="shared" si="33"/>
        <v>4.3700193687689929E-3</v>
      </c>
      <c r="W52" s="1"/>
      <c r="X52" s="1">
        <f t="shared" si="34"/>
        <v>451.84999999999991</v>
      </c>
      <c r="Y52" s="1"/>
      <c r="Z52" s="5">
        <f t="shared" si="35"/>
        <v>0.6478879297983996</v>
      </c>
    </row>
    <row r="53" spans="1:26" s="24" customFormat="1" hidden="1" outlineLevel="2" x14ac:dyDescent="0.25">
      <c r="A53" s="28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28"/>
        <v>0</v>
      </c>
      <c r="G53" s="2"/>
      <c r="H53" s="6">
        <v>67.47</v>
      </c>
      <c r="I53" s="2"/>
      <c r="J53" s="7">
        <f t="shared" si="29"/>
        <v>6.2261587811678206E-4</v>
      </c>
      <c r="K53" s="2"/>
      <c r="L53" s="6">
        <f t="shared" si="30"/>
        <v>-67.47</v>
      </c>
      <c r="M53" s="2"/>
      <c r="N53" s="7">
        <f t="shared" si="31"/>
        <v>-1</v>
      </c>
      <c r="O53" s="11"/>
      <c r="P53" s="6"/>
      <c r="Q53" s="2"/>
      <c r="R53" s="7">
        <f t="shared" si="32"/>
        <v>0</v>
      </c>
      <c r="S53" s="2"/>
      <c r="T53" s="6">
        <v>67.47</v>
      </c>
      <c r="U53" s="2"/>
      <c r="V53" s="7">
        <f t="shared" si="33"/>
        <v>4.2276563162921038E-4</v>
      </c>
      <c r="W53" s="2"/>
      <c r="X53" s="6">
        <f t="shared" si="34"/>
        <v>-67.47</v>
      </c>
      <c r="Y53" s="2"/>
      <c r="Z53" s="7">
        <f t="shared" si="35"/>
        <v>-1</v>
      </c>
    </row>
    <row r="54" spans="1:26" s="24" customFormat="1" hidden="1" outlineLevel="2" x14ac:dyDescent="0.25">
      <c r="A54" s="28"/>
      <c r="B54" s="11" t="str">
        <f>CONCATENATE("          ", "6375", " - ", "OUTSIDE REPAIRS &amp; MAINTENANCE")</f>
        <v xml:space="preserve">          6375 - OUTSIDE REPAIRS &amp; MAINTENANCE</v>
      </c>
      <c r="C54" s="11"/>
      <c r="D54" s="6">
        <v>509.14</v>
      </c>
      <c r="E54" s="2"/>
      <c r="F54" s="7">
        <f t="shared" si="28"/>
        <v>4.439055105698057E-3</v>
      </c>
      <c r="G54" s="2"/>
      <c r="H54" s="6">
        <v>296.11</v>
      </c>
      <c r="I54" s="2"/>
      <c r="J54" s="7">
        <f t="shared" si="29"/>
        <v>2.7325150091768247E-3</v>
      </c>
      <c r="K54" s="2"/>
      <c r="L54" s="6">
        <f t="shared" si="30"/>
        <v>213.02999999999997</v>
      </c>
      <c r="M54" s="2"/>
      <c r="N54" s="7">
        <f t="shared" si="31"/>
        <v>0.71942859072641907</v>
      </c>
      <c r="O54" s="11"/>
      <c r="P54" s="6">
        <v>1149.27</v>
      </c>
      <c r="Q54" s="2"/>
      <c r="R54" s="7">
        <f t="shared" si="32"/>
        <v>7.0893767792144626E-3</v>
      </c>
      <c r="S54" s="2"/>
      <c r="T54" s="6">
        <v>629.95000000000005</v>
      </c>
      <c r="U54" s="2"/>
      <c r="V54" s="7">
        <f t="shared" si="33"/>
        <v>3.9472537371397828E-3</v>
      </c>
      <c r="W54" s="2"/>
      <c r="X54" s="6">
        <f t="shared" si="34"/>
        <v>519.31999999999994</v>
      </c>
      <c r="Y54" s="2"/>
      <c r="Z54" s="7">
        <f t="shared" si="35"/>
        <v>0.82438288753075628</v>
      </c>
    </row>
    <row r="55" spans="1:26" s="29" customFormat="1" outlineLevel="1" collapsed="1" x14ac:dyDescent="0.25">
      <c r="A55" s="27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SUM(OSRRefD22_10x_0)</f>
        <v>402.85</v>
      </c>
      <c r="E55" s="1"/>
      <c r="F55" s="5">
        <f t="shared" ref="F55:F58" si="36">IF(D$12=0,0,D55/D$12)</f>
        <v>3.5123411032927337E-3</v>
      </c>
      <c r="G55" s="1"/>
      <c r="H55" s="1">
        <f>SUM(OSRRefH22_10x_0)</f>
        <v>459.5</v>
      </c>
      <c r="I55" s="1"/>
      <c r="J55" s="5">
        <f t="shared" ref="J55:J58" si="37">IF(H$12=0,0,H55/H$12)</f>
        <v>4.240284511555675E-3</v>
      </c>
      <c r="K55" s="1"/>
      <c r="L55" s="1">
        <f t="shared" ref="L55:L58" si="38">+D55-H55</f>
        <v>-56.649999999999977</v>
      </c>
      <c r="M55" s="1"/>
      <c r="N55" s="5">
        <f t="shared" ref="N55:N58" si="39">IF(H55=0,0,L55/H55)</f>
        <v>-0.12328618063112073</v>
      </c>
      <c r="O55" s="14"/>
      <c r="P55" s="1">
        <f>SUM(OSRRefP22_10x_0)</f>
        <v>1498.81</v>
      </c>
      <c r="Q55" s="1"/>
      <c r="R55" s="5">
        <f t="shared" ref="R55:R58" si="40">IF(P$12=0,0,P55/P$12)</f>
        <v>9.2455461383786474E-3</v>
      </c>
      <c r="S55" s="1"/>
      <c r="T55" s="1">
        <f>SUM(OSRRefT22_10x_0)</f>
        <v>1436.1100000000001</v>
      </c>
      <c r="U55" s="1"/>
      <c r="V55" s="5">
        <f t="shared" ref="V55:V58" si="41">IF(T$12=0,0,T55/T$12)</f>
        <v>8.9986357083003624E-3</v>
      </c>
      <c r="W55" s="1"/>
      <c r="X55" s="1">
        <f t="shared" ref="X55:X58" si="42">+P55-T55</f>
        <v>62.699999999999818</v>
      </c>
      <c r="Y55" s="1"/>
      <c r="Z55" s="5">
        <f t="shared" ref="Z55:Z58" si="43">IF(T55=0,0,X55/T55)</f>
        <v>4.3659608247278978E-2</v>
      </c>
    </row>
    <row r="56" spans="1:26" s="24" customFormat="1" hidden="1" outlineLevel="2" x14ac:dyDescent="0.25">
      <c r="A56" s="28"/>
      <c r="B56" s="11" t="str">
        <f>CONCATENATE("          ", "6282", " - ", "JANITORIAL/EXTERMINATOR EXPENS")</f>
        <v xml:space="preserve">          6282 - JANITORIAL/EXTERMINATOR EXPENS</v>
      </c>
      <c r="C56" s="11"/>
      <c r="D56" s="6">
        <v>116.81</v>
      </c>
      <c r="E56" s="2"/>
      <c r="F56" s="7">
        <f t="shared" si="36"/>
        <v>1.0184350608802885E-3</v>
      </c>
      <c r="G56" s="2"/>
      <c r="H56" s="6">
        <v>116.81</v>
      </c>
      <c r="I56" s="2"/>
      <c r="J56" s="7">
        <f t="shared" si="37"/>
        <v>1.0779273858429128E-3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>
        <v>467.24</v>
      </c>
      <c r="Q56" s="2"/>
      <c r="R56" s="7">
        <f t="shared" si="40"/>
        <v>2.8822125404127539E-3</v>
      </c>
      <c r="S56" s="2"/>
      <c r="T56" s="6">
        <v>350.43</v>
      </c>
      <c r="U56" s="2"/>
      <c r="V56" s="7">
        <f t="shared" si="41"/>
        <v>2.1957871689910215E-3</v>
      </c>
      <c r="W56" s="2"/>
      <c r="X56" s="6">
        <f t="shared" si="42"/>
        <v>116.81</v>
      </c>
      <c r="Y56" s="2"/>
      <c r="Z56" s="7">
        <f t="shared" si="43"/>
        <v>0.33333333333333331</v>
      </c>
    </row>
    <row r="57" spans="1:26" s="24" customFormat="1" hidden="1" outlineLevel="2" x14ac:dyDescent="0.25">
      <c r="A57" s="28"/>
      <c r="B57" s="11" t="str">
        <f>CONCATENATE("          ", "6285", " - ", "JANITORIAL SERVICES")</f>
        <v xml:space="preserve">          6285 - JANITORIAL SERVICES</v>
      </c>
      <c r="C57" s="11"/>
      <c r="D57" s="6">
        <v>-24.32</v>
      </c>
      <c r="E57" s="2"/>
      <c r="F57" s="7">
        <f t="shared" si="36"/>
        <v>-2.1203955723489955E-4</v>
      </c>
      <c r="G57" s="2"/>
      <c r="H57" s="6">
        <v>70.25</v>
      </c>
      <c r="I57" s="2"/>
      <c r="J57" s="7">
        <f t="shared" si="37"/>
        <v>6.4826983011270105E-4</v>
      </c>
      <c r="K57" s="2"/>
      <c r="L57" s="6">
        <f t="shared" si="38"/>
        <v>-94.57</v>
      </c>
      <c r="M57" s="2"/>
      <c r="N57" s="7">
        <f t="shared" si="39"/>
        <v>-1.3461921708185052</v>
      </c>
      <c r="O57" s="11"/>
      <c r="P57" s="6">
        <v>51.36</v>
      </c>
      <c r="Q57" s="2"/>
      <c r="R57" s="7">
        <f t="shared" si="40"/>
        <v>3.1681884272664808E-4</v>
      </c>
      <c r="S57" s="2"/>
      <c r="T57" s="6">
        <v>210.75</v>
      </c>
      <c r="U57" s="2"/>
      <c r="V57" s="7">
        <f t="shared" si="41"/>
        <v>1.3205551632704327E-3</v>
      </c>
      <c r="W57" s="2"/>
      <c r="X57" s="6">
        <f t="shared" si="42"/>
        <v>-159.38999999999999</v>
      </c>
      <c r="Y57" s="2"/>
      <c r="Z57" s="7">
        <f t="shared" si="43"/>
        <v>-0.75629893238434154</v>
      </c>
    </row>
    <row r="58" spans="1:26" s="24" customFormat="1" hidden="1" outlineLevel="2" x14ac:dyDescent="0.25">
      <c r="A58" s="28"/>
      <c r="B58" s="11" t="str">
        <f>CONCATENATE("          ", "6286", " - ", "LAUNDRY EXPENSE")</f>
        <v xml:space="preserve">          6286 - LAUNDRY EXPENSE</v>
      </c>
      <c r="C58" s="11"/>
      <c r="D58" s="6">
        <v>310.36</v>
      </c>
      <c r="E58" s="2"/>
      <c r="F58" s="7">
        <f t="shared" si="36"/>
        <v>2.7059455996473448E-3</v>
      </c>
      <c r="G58" s="2"/>
      <c r="H58" s="6">
        <v>272.44</v>
      </c>
      <c r="I58" s="2"/>
      <c r="J58" s="7">
        <f t="shared" si="37"/>
        <v>2.5140872956000608E-3</v>
      </c>
      <c r="K58" s="2"/>
      <c r="L58" s="6">
        <f t="shared" si="38"/>
        <v>37.920000000000016</v>
      </c>
      <c r="M58" s="2"/>
      <c r="N58" s="7">
        <f t="shared" si="39"/>
        <v>0.13918660989575693</v>
      </c>
      <c r="O58" s="11"/>
      <c r="P58" s="6">
        <v>980.21</v>
      </c>
      <c r="Q58" s="2"/>
      <c r="R58" s="7">
        <f t="shared" si="40"/>
        <v>6.0465147552392464E-3</v>
      </c>
      <c r="S58" s="2"/>
      <c r="T58" s="6">
        <v>874.93</v>
      </c>
      <c r="U58" s="2"/>
      <c r="V58" s="7">
        <f t="shared" si="41"/>
        <v>5.4822933760389067E-3</v>
      </c>
      <c r="W58" s="2"/>
      <c r="X58" s="6">
        <f t="shared" si="42"/>
        <v>105.28000000000009</v>
      </c>
      <c r="Y58" s="2"/>
      <c r="Z58" s="7">
        <f t="shared" si="43"/>
        <v>0.12032962637010972</v>
      </c>
    </row>
    <row r="59" spans="1:26" s="29" customFormat="1" outlineLevel="1" collapsed="1" x14ac:dyDescent="0.25">
      <c r="A59" s="27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SUM(OSRRefD22_11x_0)</f>
        <v>554.05999999999995</v>
      </c>
      <c r="E59" s="1"/>
      <c r="F59" s="5">
        <f t="shared" ref="F59:F65" si="44">IF(D$12=0,0,D59/D$12)</f>
        <v>4.8307005378934384E-3</v>
      </c>
      <c r="G59" s="1"/>
      <c r="H59" s="1">
        <f>SUM(OSRRefH22_11x_0)</f>
        <v>2667.83</v>
      </c>
      <c r="I59" s="1"/>
      <c r="J59" s="5">
        <f t="shared" ref="J59:J65" si="45">IF(H$12=0,0,H59/H$12)</f>
        <v>2.4618842717004517E-2</v>
      </c>
      <c r="K59" s="1"/>
      <c r="L59" s="1">
        <f t="shared" ref="L59:L65" si="46">+D59-H59</f>
        <v>-2113.77</v>
      </c>
      <c r="M59" s="1"/>
      <c r="N59" s="5">
        <f t="shared" ref="N59:N65" si="47">IF(H59=0,0,L59/H59)</f>
        <v>-0.79231810122833912</v>
      </c>
      <c r="O59" s="14"/>
      <c r="P59" s="1">
        <f>SUM(OSRRefP22_11x_0)</f>
        <v>6983.81</v>
      </c>
      <c r="Q59" s="1"/>
      <c r="R59" s="5">
        <f t="shared" ref="R59:R65" si="48">IF(P$12=0,0,P59/P$12)</f>
        <v>4.308026873097337E-2</v>
      </c>
      <c r="S59" s="1"/>
      <c r="T59" s="1">
        <f>SUM(OSRRefT22_11x_0)</f>
        <v>5084.4799999999996</v>
      </c>
      <c r="U59" s="1"/>
      <c r="V59" s="5">
        <f t="shared" ref="V59:V65" si="49">IF(T$12=0,0,T59/T$12)</f>
        <v>3.1859247053595489E-2</v>
      </c>
      <c r="W59" s="1"/>
      <c r="X59" s="1">
        <f t="shared" ref="X59:X65" si="50">+P59-T59</f>
        <v>1899.3300000000008</v>
      </c>
      <c r="Y59" s="1"/>
      <c r="Z59" s="5">
        <f t="shared" ref="Z59:Z65" si="51">IF(T59=0,0,X59/T59)</f>
        <v>0.37355442444458448</v>
      </c>
    </row>
    <row r="60" spans="1:26" s="24" customFormat="1" hidden="1" outlineLevel="2" x14ac:dyDescent="0.25">
      <c r="A60" s="28"/>
      <c r="B60" s="11" t="str">
        <f>CONCATENATE("          ", "6234", " - ", "EXPENDABLE SUPPLIES &amp; EQUIPMEN")</f>
        <v xml:space="preserve">          6234 - EXPENDABLE SUPPLIES &amp; EQUIPMEN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>
        <v>354.71</v>
      </c>
      <c r="Q60" s="2"/>
      <c r="R60" s="7">
        <f t="shared" si="48"/>
        <v>2.1880609755367858E-3</v>
      </c>
      <c r="S60" s="2"/>
      <c r="T60" s="6"/>
      <c r="U60" s="2"/>
      <c r="V60" s="7">
        <f t="shared" si="49"/>
        <v>0</v>
      </c>
      <c r="W60" s="2"/>
      <c r="X60" s="6">
        <f t="shared" si="50"/>
        <v>354.71</v>
      </c>
      <c r="Y60" s="2"/>
      <c r="Z60" s="7">
        <f t="shared" si="51"/>
        <v>0</v>
      </c>
    </row>
    <row r="61" spans="1:26" s="24" customFormat="1" hidden="1" outlineLevel="2" x14ac:dyDescent="0.25">
      <c r="A61" s="28"/>
      <c r="B61" s="11" t="str">
        <f>CONCATENATE("          ", "6237", " - ", "JANITORIAL SUPPLIES")</f>
        <v xml:space="preserve">          6237 - JANITORIAL SUPPLIES</v>
      </c>
      <c r="C61" s="11"/>
      <c r="D61" s="6">
        <v>91.58</v>
      </c>
      <c r="E61" s="2"/>
      <c r="F61" s="7">
        <f t="shared" si="44"/>
        <v>7.9846145771266864E-4</v>
      </c>
      <c r="G61" s="2"/>
      <c r="H61" s="6">
        <v>56.96</v>
      </c>
      <c r="I61" s="2"/>
      <c r="J61" s="7">
        <f t="shared" si="45"/>
        <v>5.2562917470775022E-4</v>
      </c>
      <c r="K61" s="2"/>
      <c r="L61" s="6">
        <f t="shared" si="46"/>
        <v>34.619999999999997</v>
      </c>
      <c r="M61" s="2"/>
      <c r="N61" s="7">
        <f t="shared" si="47"/>
        <v>0.6077949438202247</v>
      </c>
      <c r="O61" s="11"/>
      <c r="P61" s="6">
        <v>325.83</v>
      </c>
      <c r="Q61" s="2"/>
      <c r="R61" s="7">
        <f t="shared" si="48"/>
        <v>2.0099120624147925E-3</v>
      </c>
      <c r="S61" s="2"/>
      <c r="T61" s="6">
        <v>301.19</v>
      </c>
      <c r="U61" s="2"/>
      <c r="V61" s="7">
        <f t="shared" si="49"/>
        <v>1.8872503422321311E-3</v>
      </c>
      <c r="W61" s="2"/>
      <c r="X61" s="6">
        <f t="shared" si="50"/>
        <v>24.639999999999986</v>
      </c>
      <c r="Y61" s="2"/>
      <c r="Z61" s="7">
        <f t="shared" si="51"/>
        <v>8.1808824994189663E-2</v>
      </c>
    </row>
    <row r="62" spans="1:26" s="24" customFormat="1" hidden="1" outlineLevel="2" x14ac:dyDescent="0.25">
      <c r="A62" s="28"/>
      <c r="B62" s="11" t="str">
        <f>CONCATENATE("          ", "6241", " - ", "OFFICE EXPENSE")</f>
        <v xml:space="preserve">          6241 - OFFICE EXPENSE</v>
      </c>
      <c r="C62" s="11"/>
      <c r="D62" s="6">
        <v>119.09</v>
      </c>
      <c r="E62" s="2"/>
      <c r="F62" s="7">
        <f t="shared" si="44"/>
        <v>1.0383137693710603E-3</v>
      </c>
      <c r="G62" s="2"/>
      <c r="H62" s="6">
        <v>213.34</v>
      </c>
      <c r="I62" s="2"/>
      <c r="J62" s="7">
        <f t="shared" si="45"/>
        <v>1.968710114679625E-3</v>
      </c>
      <c r="K62" s="2"/>
      <c r="L62" s="6">
        <f t="shared" si="46"/>
        <v>-94.25</v>
      </c>
      <c r="M62" s="2"/>
      <c r="N62" s="7">
        <f t="shared" si="47"/>
        <v>-0.44178306927908501</v>
      </c>
      <c r="O62" s="11"/>
      <c r="P62" s="6">
        <v>535.49</v>
      </c>
      <c r="Q62" s="2"/>
      <c r="R62" s="7">
        <f t="shared" si="48"/>
        <v>3.3032188880781303E-3</v>
      </c>
      <c r="S62" s="2"/>
      <c r="T62" s="6">
        <v>887.81</v>
      </c>
      <c r="U62" s="2"/>
      <c r="V62" s="7">
        <f t="shared" si="49"/>
        <v>5.5629991909993967E-3</v>
      </c>
      <c r="W62" s="2"/>
      <c r="X62" s="6">
        <f t="shared" si="50"/>
        <v>-352.31999999999994</v>
      </c>
      <c r="Y62" s="2"/>
      <c r="Z62" s="7">
        <f t="shared" si="51"/>
        <v>-0.39684166657280268</v>
      </c>
    </row>
    <row r="63" spans="1:26" s="24" customFormat="1" hidden="1" outlineLevel="2" x14ac:dyDescent="0.25">
      <c r="A63" s="28"/>
      <c r="B63" s="11" t="str">
        <f>CONCATENATE("          ", "6243", " - ", "PAPER SUPPLIES")</f>
        <v xml:space="preserve">          6243 - PAPER SUPPLIES</v>
      </c>
      <c r="C63" s="11"/>
      <c r="D63" s="6">
        <v>45.36</v>
      </c>
      <c r="E63" s="2"/>
      <c r="F63" s="7">
        <f t="shared" si="44"/>
        <v>3.954816741848291E-4</v>
      </c>
      <c r="G63" s="2"/>
      <c r="H63" s="6">
        <v>1646.84</v>
      </c>
      <c r="I63" s="2"/>
      <c r="J63" s="7">
        <f t="shared" si="45"/>
        <v>1.5197105865093246E-2</v>
      </c>
      <c r="K63" s="2"/>
      <c r="L63" s="6">
        <f t="shared" si="46"/>
        <v>-1601.48</v>
      </c>
      <c r="M63" s="2"/>
      <c r="N63" s="7">
        <f t="shared" si="47"/>
        <v>-0.97245634062811204</v>
      </c>
      <c r="O63" s="11"/>
      <c r="P63" s="6">
        <v>155.65</v>
      </c>
      <c r="Q63" s="2"/>
      <c r="R63" s="7">
        <f t="shared" si="48"/>
        <v>9.6014121632404155E-4</v>
      </c>
      <c r="S63" s="2"/>
      <c r="T63" s="6">
        <v>1918.7</v>
      </c>
      <c r="U63" s="2"/>
      <c r="V63" s="7">
        <f t="shared" si="49"/>
        <v>1.2022534717755537E-2</v>
      </c>
      <c r="W63" s="2"/>
      <c r="X63" s="6">
        <f t="shared" si="50"/>
        <v>-1763.05</v>
      </c>
      <c r="Y63" s="2"/>
      <c r="Z63" s="7">
        <f t="shared" si="51"/>
        <v>-0.91887736488247251</v>
      </c>
    </row>
    <row r="64" spans="1:26" s="24" customFormat="1" hidden="1" outlineLevel="2" x14ac:dyDescent="0.25">
      <c r="A64" s="28"/>
      <c r="B64" s="11" t="str">
        <f>CONCATENATE("          ", "6247", " - ", "STORE SUPPLIES")</f>
        <v xml:space="preserve">          6247 - STORE SUPPLIES</v>
      </c>
      <c r="C64" s="11"/>
      <c r="D64" s="6">
        <v>298.02999999999997</v>
      </c>
      <c r="E64" s="2"/>
      <c r="F64" s="7">
        <f t="shared" si="44"/>
        <v>2.598443636624881E-3</v>
      </c>
      <c r="G64" s="2"/>
      <c r="H64" s="6">
        <v>750.69</v>
      </c>
      <c r="I64" s="2"/>
      <c r="J64" s="7">
        <f t="shared" si="45"/>
        <v>6.9273975625238947E-3</v>
      </c>
      <c r="K64" s="2"/>
      <c r="L64" s="6">
        <f t="shared" si="46"/>
        <v>-452.66000000000008</v>
      </c>
      <c r="M64" s="2"/>
      <c r="N64" s="7">
        <f t="shared" si="47"/>
        <v>-0.60299191410568953</v>
      </c>
      <c r="O64" s="11"/>
      <c r="P64" s="6">
        <v>5612.13</v>
      </c>
      <c r="Q64" s="2"/>
      <c r="R64" s="7">
        <f t="shared" si="48"/>
        <v>3.4618935588619615E-2</v>
      </c>
      <c r="S64" s="2"/>
      <c r="T64" s="6">
        <v>1788.91</v>
      </c>
      <c r="U64" s="2"/>
      <c r="V64" s="7">
        <f t="shared" si="49"/>
        <v>1.1209273248522467E-2</v>
      </c>
      <c r="W64" s="2"/>
      <c r="X64" s="6">
        <f t="shared" si="50"/>
        <v>3823.2200000000003</v>
      </c>
      <c r="Y64" s="2"/>
      <c r="Z64" s="7">
        <f t="shared" si="51"/>
        <v>2.1371785053468315</v>
      </c>
    </row>
    <row r="65" spans="1:26" s="24" customFormat="1" hidden="1" outlineLevel="2" x14ac:dyDescent="0.25">
      <c r="A65" s="28"/>
      <c r="B65" s="11" t="str">
        <f>CONCATENATE("          ", "6248", " - ", "UNIFORMS")</f>
        <v xml:space="preserve">          6248 - UNIFORMS</v>
      </c>
      <c r="C65" s="11"/>
      <c r="D65" s="6"/>
      <c r="E65" s="2"/>
      <c r="F65" s="7">
        <f t="shared" si="44"/>
        <v>0</v>
      </c>
      <c r="G65" s="2"/>
      <c r="H65" s="6"/>
      <c r="I65" s="2"/>
      <c r="J65" s="7">
        <f t="shared" si="45"/>
        <v>0</v>
      </c>
      <c r="K65" s="2"/>
      <c r="L65" s="6">
        <f t="shared" si="46"/>
        <v>0</v>
      </c>
      <c r="M65" s="2"/>
      <c r="N65" s="7">
        <f t="shared" si="47"/>
        <v>0</v>
      </c>
      <c r="O65" s="11"/>
      <c r="P65" s="6"/>
      <c r="Q65" s="2"/>
      <c r="R65" s="7">
        <f t="shared" si="48"/>
        <v>0</v>
      </c>
      <c r="S65" s="2"/>
      <c r="T65" s="6">
        <v>187.87</v>
      </c>
      <c r="U65" s="2"/>
      <c r="V65" s="7">
        <f t="shared" si="49"/>
        <v>1.1771895540859606E-3</v>
      </c>
      <c r="W65" s="2"/>
      <c r="X65" s="6">
        <f t="shared" si="50"/>
        <v>-187.87</v>
      </c>
      <c r="Y65" s="2"/>
      <c r="Z65" s="7">
        <f t="shared" si="51"/>
        <v>-1</v>
      </c>
    </row>
    <row r="66" spans="1:26" s="29" customFormat="1" outlineLevel="1" collapsed="1" x14ac:dyDescent="0.25">
      <c r="A66" s="27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SUM(OSRRefD22_12x_0)</f>
        <v>75</v>
      </c>
      <c r="E66" s="1"/>
      <c r="F66" s="5">
        <f t="shared" ref="F66:F69" si="52">IF(D$12=0,0,D66/D$12)</f>
        <v>6.5390488456486295E-4</v>
      </c>
      <c r="G66" s="1"/>
      <c r="H66" s="1">
        <f>SUM(OSRRefH22_12x_0)</f>
        <v>60</v>
      </c>
      <c r="I66" s="1"/>
      <c r="J66" s="5">
        <f t="shared" ref="J66:J69" si="53">IF(H$12=0,0,H66/H$12)</f>
        <v>5.5368241717810771E-4</v>
      </c>
      <c r="K66" s="1"/>
      <c r="L66" s="1">
        <f t="shared" ref="L66:L69" si="54">+D66-H66</f>
        <v>15</v>
      </c>
      <c r="M66" s="1"/>
      <c r="N66" s="5">
        <f t="shared" ref="N66:N69" si="55">IF(H66=0,0,L66/H66)</f>
        <v>0.25</v>
      </c>
      <c r="O66" s="14"/>
      <c r="P66" s="1">
        <f>SUM(OSRRefP22_12x_0)</f>
        <v>123</v>
      </c>
      <c r="Q66" s="1"/>
      <c r="R66" s="5">
        <f t="shared" ref="R66:R69" si="56">IF(P$12=0,0,P66/P$12)</f>
        <v>7.5873671447386514E-4</v>
      </c>
      <c r="S66" s="1"/>
      <c r="T66" s="1">
        <f>SUM(OSRRefT22_12x_0)</f>
        <v>108</v>
      </c>
      <c r="U66" s="1"/>
      <c r="V66" s="5">
        <f t="shared" ref="V66:V69" si="57">IF(T$12=0,0,T66/T$12)</f>
        <v>6.7672577761901181E-4</v>
      </c>
      <c r="W66" s="1"/>
      <c r="X66" s="1">
        <f t="shared" ref="X66:X69" si="58">+P66-T66</f>
        <v>15</v>
      </c>
      <c r="Y66" s="1"/>
      <c r="Z66" s="5">
        <f t="shared" ref="Z66:Z69" si="59">IF(T66=0,0,X66/T66)</f>
        <v>0.1388888888888889</v>
      </c>
    </row>
    <row r="67" spans="1:26" s="24" customFormat="1" hidden="1" outlineLevel="2" x14ac:dyDescent="0.25">
      <c r="A67" s="28"/>
      <c r="B67" s="11" t="str">
        <f>CONCATENATE("          ", "6309", " - ", "TELEPHONE")</f>
        <v xml:space="preserve">          6309 - TELEPHONE</v>
      </c>
      <c r="C67" s="11"/>
      <c r="D67" s="6">
        <v>75</v>
      </c>
      <c r="E67" s="2"/>
      <c r="F67" s="7">
        <f t="shared" si="52"/>
        <v>6.5390488456486295E-4</v>
      </c>
      <c r="G67" s="2"/>
      <c r="H67" s="6">
        <v>60</v>
      </c>
      <c r="I67" s="2"/>
      <c r="J67" s="7">
        <f t="shared" si="53"/>
        <v>5.5368241717810771E-4</v>
      </c>
      <c r="K67" s="2"/>
      <c r="L67" s="6">
        <f t="shared" si="54"/>
        <v>15</v>
      </c>
      <c r="M67" s="2"/>
      <c r="N67" s="7">
        <f t="shared" si="55"/>
        <v>0.25</v>
      </c>
      <c r="O67" s="11"/>
      <c r="P67" s="6">
        <v>123</v>
      </c>
      <c r="Q67" s="2"/>
      <c r="R67" s="7">
        <f t="shared" si="56"/>
        <v>7.5873671447386514E-4</v>
      </c>
      <c r="S67" s="2"/>
      <c r="T67" s="6">
        <v>108</v>
      </c>
      <c r="U67" s="2"/>
      <c r="V67" s="7">
        <f t="shared" si="57"/>
        <v>6.7672577761901181E-4</v>
      </c>
      <c r="W67" s="2"/>
      <c r="X67" s="6">
        <f t="shared" si="58"/>
        <v>15</v>
      </c>
      <c r="Y67" s="2"/>
      <c r="Z67" s="7">
        <f t="shared" si="59"/>
        <v>0.1388888888888889</v>
      </c>
    </row>
    <row r="68" spans="1:26" s="29" customFormat="1" outlineLevel="1" collapsed="1" x14ac:dyDescent="0.25">
      <c r="A68" s="27"/>
      <c r="B68" s="14" t="str">
        <f>CONCATENATE("     ","Utilities                                         ")</f>
        <v xml:space="preserve">     Utilities                                         </v>
      </c>
      <c r="C68" s="14"/>
      <c r="D68" s="1">
        <f>SUM(OSRRefD22_13x_0)</f>
        <v>182</v>
      </c>
      <c r="E68" s="1"/>
      <c r="F68" s="5">
        <f t="shared" si="52"/>
        <v>1.5868091865440673E-3</v>
      </c>
      <c r="G68" s="1"/>
      <c r="H68" s="1">
        <f>SUM(OSRRefH22_13x_0)</f>
        <v>136</v>
      </c>
      <c r="I68" s="1"/>
      <c r="J68" s="5">
        <f t="shared" si="53"/>
        <v>1.255013478937044E-3</v>
      </c>
      <c r="K68" s="1"/>
      <c r="L68" s="1">
        <f t="shared" si="54"/>
        <v>46</v>
      </c>
      <c r="M68" s="1"/>
      <c r="N68" s="5">
        <f t="shared" si="55"/>
        <v>0.33823529411764708</v>
      </c>
      <c r="O68" s="14"/>
      <c r="P68" s="1">
        <f>SUM(OSRRefP22_13x_0)</f>
        <v>364</v>
      </c>
      <c r="Q68" s="1"/>
      <c r="R68" s="5">
        <f t="shared" si="56"/>
        <v>2.2453671875486739E-3</v>
      </c>
      <c r="S68" s="1"/>
      <c r="T68" s="1">
        <f>SUM(OSRRefT22_13x_0)</f>
        <v>546</v>
      </c>
      <c r="U68" s="1"/>
      <c r="V68" s="5">
        <f t="shared" si="57"/>
        <v>3.4212247646294484E-3</v>
      </c>
      <c r="W68" s="1"/>
      <c r="X68" s="1">
        <f t="shared" si="58"/>
        <v>-182</v>
      </c>
      <c r="Y68" s="1"/>
      <c r="Z68" s="5">
        <f t="shared" si="59"/>
        <v>-0.33333333333333331</v>
      </c>
    </row>
    <row r="69" spans="1:26" s="24" customFormat="1" hidden="1" outlineLevel="2" x14ac:dyDescent="0.25">
      <c r="A69" s="28"/>
      <c r="B69" s="11" t="str">
        <f>CONCATENATE("          ", "6274", " - ", "UTILITIES")</f>
        <v xml:space="preserve">          6274 - UTILITIES</v>
      </c>
      <c r="C69" s="11"/>
      <c r="D69" s="6">
        <v>182</v>
      </c>
      <c r="E69" s="2"/>
      <c r="F69" s="7">
        <f t="shared" si="52"/>
        <v>1.5868091865440673E-3</v>
      </c>
      <c r="G69" s="2"/>
      <c r="H69" s="6">
        <v>136</v>
      </c>
      <c r="I69" s="2"/>
      <c r="J69" s="7">
        <f t="shared" si="53"/>
        <v>1.255013478937044E-3</v>
      </c>
      <c r="K69" s="2"/>
      <c r="L69" s="6">
        <f t="shared" si="54"/>
        <v>46</v>
      </c>
      <c r="M69" s="2"/>
      <c r="N69" s="7">
        <f t="shared" si="55"/>
        <v>0.33823529411764708</v>
      </c>
      <c r="O69" s="11"/>
      <c r="P69" s="6">
        <v>364</v>
      </c>
      <c r="Q69" s="2"/>
      <c r="R69" s="7">
        <f t="shared" si="56"/>
        <v>2.2453671875486739E-3</v>
      </c>
      <c r="S69" s="2"/>
      <c r="T69" s="6">
        <v>546</v>
      </c>
      <c r="U69" s="2"/>
      <c r="V69" s="7">
        <f t="shared" si="57"/>
        <v>3.4212247646294484E-3</v>
      </c>
      <c r="W69" s="2"/>
      <c r="X69" s="6">
        <f t="shared" si="58"/>
        <v>-182</v>
      </c>
      <c r="Y69" s="2"/>
      <c r="Z69" s="7">
        <f t="shared" si="59"/>
        <v>-0.33333333333333331</v>
      </c>
    </row>
    <row r="70" spans="1:26" s="53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5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6" t="s">
        <v>3</v>
      </c>
      <c r="C73" s="26"/>
      <c r="D73" s="21">
        <f>+D20-D22+D71</f>
        <v>29285.21</v>
      </c>
      <c r="E73" s="13"/>
      <c r="F73" s="20">
        <f>IF(D$12=0,0,D73/D$12)</f>
        <v>0.25532989152677027</v>
      </c>
      <c r="G73" s="13"/>
      <c r="H73" s="21">
        <f>+H20-H22+H71</f>
        <v>27313.260000000009</v>
      </c>
      <c r="I73" s="13"/>
      <c r="J73" s="20">
        <f>IF(H$12=0,0,H73/H$12)</f>
        <v>0.25204786363023546</v>
      </c>
      <c r="K73" s="15"/>
      <c r="L73" s="21">
        <f>+D73-H73</f>
        <v>1971.9499999999898</v>
      </c>
      <c r="M73" s="15"/>
      <c r="N73" s="20">
        <f>IF(H73=0,0,L73/H73)</f>
        <v>7.2197533359254412E-2</v>
      </c>
      <c r="O73" s="25"/>
      <c r="P73" s="21">
        <f>+P20-P22+P71</f>
        <v>5476.5099999999802</v>
      </c>
      <c r="Q73" s="13"/>
      <c r="R73" s="20">
        <f>IF(P$12=0,0,P73/P$12)</f>
        <v>3.3782351253522372E-2</v>
      </c>
      <c r="S73" s="13"/>
      <c r="T73" s="21">
        <f>+T20-T22+T71</f>
        <v>17635.28</v>
      </c>
      <c r="U73" s="13"/>
      <c r="V73" s="20">
        <f>IF(T$12=0,0,T73/T$12)</f>
        <v>0.11050230158823153</v>
      </c>
      <c r="W73" s="15"/>
      <c r="X73" s="21">
        <f>+P73-T73</f>
        <v>-12158.770000000019</v>
      </c>
      <c r="Y73" s="15"/>
      <c r="Z73" s="20">
        <f>IF(T73=0,0,X73/T73)</f>
        <v>-0.68945715633661719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11501.02</v>
      </c>
      <c r="E75" s="4"/>
      <c r="F75" s="12">
        <f>IF(D$12=0,0,D75/D$12)</f>
        <v>0.10027430873970906</v>
      </c>
      <c r="G75" s="4"/>
      <c r="H75" s="4">
        <v>8949.2900000000009</v>
      </c>
      <c r="I75" s="4"/>
      <c r="J75" s="12">
        <f>IF(H$12=0,0,H75/H$12)</f>
        <v>8.2584408653797792E-2</v>
      </c>
      <c r="K75" s="4"/>
      <c r="L75" s="4">
        <f>+D75-H75</f>
        <v>2551.7299999999996</v>
      </c>
      <c r="M75" s="4"/>
      <c r="N75" s="12">
        <f>IF(H75=0,0,L75/H75)</f>
        <v>0.28513211662601162</v>
      </c>
      <c r="O75" s="10"/>
      <c r="P75" s="4">
        <v>17412.929999999997</v>
      </c>
      <c r="Q75" s="4"/>
      <c r="R75" s="12">
        <f>IF(P$12=0,0,P75/P$12)</f>
        <v>0.10741324632165364</v>
      </c>
      <c r="S75" s="4"/>
      <c r="T75" s="4">
        <v>14179.28</v>
      </c>
      <c r="U75" s="4"/>
      <c r="V75" s="12">
        <f>IF(T$12=0,0,T75/T$12)</f>
        <v>8.884707670442317E-2</v>
      </c>
      <c r="W75" s="4"/>
      <c r="X75" s="4">
        <f>+P75-T75</f>
        <v>3233.649999999996</v>
      </c>
      <c r="Y75" s="4"/>
      <c r="Z75" s="12">
        <f>IF(T75=0,0,X75/T75)</f>
        <v>0.2280545979767658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4</v>
      </c>
      <c r="C77" s="26"/>
      <c r="D77" s="35">
        <f>+D73-D75</f>
        <v>17784.189999999999</v>
      </c>
      <c r="E77" s="13"/>
      <c r="F77" s="30">
        <f>IF(D$12=0,0,D77/D$12)</f>
        <v>0.15505558278706119</v>
      </c>
      <c r="G77" s="13"/>
      <c r="H77" s="35">
        <f>+H73-H75</f>
        <v>18363.970000000008</v>
      </c>
      <c r="I77" s="13"/>
      <c r="J77" s="30">
        <f>IF(H$12=0,0,H77/H$12)</f>
        <v>0.16946345497643764</v>
      </c>
      <c r="K77" s="15"/>
      <c r="L77" s="35">
        <f>D77-H77</f>
        <v>-579.78000000000975</v>
      </c>
      <c r="M77" s="15"/>
      <c r="N77" s="30">
        <f>IF(H77=0,0,L77/H77)</f>
        <v>-3.1571604614906768E-2</v>
      </c>
      <c r="O77" s="25"/>
      <c r="P77" s="35">
        <f>+P73-P75</f>
        <v>-11936.420000000016</v>
      </c>
      <c r="Q77" s="13"/>
      <c r="R77" s="30">
        <f>IF(P$12=0,0,P77/P$12)</f>
        <v>-7.3630895068131266E-2</v>
      </c>
      <c r="S77" s="13"/>
      <c r="T77" s="35">
        <f>+T73-T75</f>
        <v>3455.9999999999982</v>
      </c>
      <c r="U77" s="13"/>
      <c r="V77" s="30">
        <f>IF(T$12=0,0,T77/T$12)</f>
        <v>2.1655224883808364E-2</v>
      </c>
      <c r="W77" s="15"/>
      <c r="X77" s="35">
        <f>P77-T77</f>
        <v>-15392.420000000015</v>
      </c>
      <c r="Y77" s="15"/>
      <c r="Z77" s="30">
        <f>IF(T77=0,0,X77/T77)</f>
        <v>-4.4538252314814883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5</v>
      </c>
      <c r="C80" s="26"/>
      <c r="D80" s="36">
        <f>SUM(D77:D79)</f>
        <v>17784.189999999999</v>
      </c>
      <c r="E80" s="13"/>
      <c r="F80" s="31">
        <f>IF(D$12=0,0,D80/D$12)</f>
        <v>0.15505558278706119</v>
      </c>
      <c r="G80" s="13"/>
      <c r="H80" s="36">
        <f>SUM(H77:H79)</f>
        <v>18363.970000000008</v>
      </c>
      <c r="I80" s="13"/>
      <c r="J80" s="31">
        <f>IF(H$12=0,0,H80/H$12)</f>
        <v>0.16946345497643764</v>
      </c>
      <c r="K80" s="15"/>
      <c r="L80" s="36">
        <f>+D80-H80</f>
        <v>-579.78000000000975</v>
      </c>
      <c r="M80" s="15"/>
      <c r="N80" s="31">
        <f>IF(H80=0,0,L80/H80)</f>
        <v>-3.1571604614906768E-2</v>
      </c>
      <c r="O80" s="25"/>
      <c r="P80" s="36">
        <f>SUM(P77:P79)</f>
        <v>-11936.420000000016</v>
      </c>
      <c r="Q80" s="13"/>
      <c r="R80" s="31">
        <f>IF(P$12=0,0,P80/P$12)</f>
        <v>-7.3630895068131266E-2</v>
      </c>
      <c r="S80" s="13"/>
      <c r="T80" s="36">
        <f>SUM(T77:T79)</f>
        <v>3455.9999999999982</v>
      </c>
      <c r="U80" s="13"/>
      <c r="V80" s="31">
        <f>IF(T$12=0,0,T80/T$12)</f>
        <v>2.1655224883808364E-2</v>
      </c>
      <c r="W80" s="15"/>
      <c r="X80" s="36">
        <f>+P80-T80</f>
        <v>-15392.420000000015</v>
      </c>
      <c r="Y80" s="15"/>
      <c r="Z80" s="31">
        <f>IF(T80=0,0,X80/T80)</f>
        <v>-4.4538252314814883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5">
        <v>43756.463144293979</v>
      </c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A83" s="9"/>
      <c r="B83" s="56" t="s">
        <v>313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4" x14ac:dyDescent="0.25">
      <c r="A84" s="9"/>
      <c r="B84" s="57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4" x14ac:dyDescent="0.25"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","325", " - ", "Outpost C-Store")</f>
        <v>Department 325 - Outpost C-Store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96909.38</v>
      </c>
      <c r="E12" s="4"/>
      <c r="F12" s="12"/>
      <c r="G12" s="4"/>
      <c r="H12" s="4">
        <f>SUM(OSRRefH13x_0)</f>
        <v>92472.62000000001</v>
      </c>
      <c r="I12" s="4"/>
      <c r="J12" s="12"/>
      <c r="K12" s="4"/>
      <c r="L12" s="4">
        <f t="shared" ref="L12:L14" si="0">+D12-H12</f>
        <v>4436.7599999999948</v>
      </c>
      <c r="M12" s="4"/>
      <c r="N12" s="12">
        <f t="shared" ref="N12:N14" si="1">IF(H12=0,0,L12/H12)</f>
        <v>4.7979174808716288E-2</v>
      </c>
      <c r="O12" s="10"/>
      <c r="P12" s="4">
        <f>SUM(OSRRefP13x_0)</f>
        <v>142917.04999999999</v>
      </c>
      <c r="Q12" s="4"/>
      <c r="R12" s="12"/>
      <c r="S12" s="4"/>
      <c r="T12" s="4">
        <f>SUM(OSRRefT13x_0)</f>
        <v>138207.85999999999</v>
      </c>
      <c r="U12" s="4"/>
      <c r="V12" s="12"/>
      <c r="W12" s="4"/>
      <c r="X12" s="4">
        <f t="shared" ref="X12:X14" si="2">+P12-T12</f>
        <v>4709.1900000000023</v>
      </c>
      <c r="Y12" s="4"/>
      <c r="Z12" s="12">
        <f t="shared" ref="Z12:Z14" si="3">IF(T12=0,0,X12/T12)</f>
        <v>3.4073243012372835E-2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--17849.93</f>
        <v>17849.93</v>
      </c>
      <c r="E13" s="2"/>
      <c r="F13" s="19"/>
      <c r="G13" s="2"/>
      <c r="H13" s="2">
        <f>--20286.24</f>
        <v>20286.240000000002</v>
      </c>
      <c r="I13" s="2"/>
      <c r="J13" s="19"/>
      <c r="K13" s="2"/>
      <c r="L13" s="2">
        <f t="shared" si="0"/>
        <v>-2436.3100000000013</v>
      </c>
      <c r="M13" s="2"/>
      <c r="N13" s="19">
        <f t="shared" si="1"/>
        <v>-0.12009667636782376</v>
      </c>
      <c r="O13" s="11"/>
      <c r="P13" s="2">
        <f>--26972.12</f>
        <v>26972.12</v>
      </c>
      <c r="Q13" s="2"/>
      <c r="R13" s="19"/>
      <c r="S13" s="2"/>
      <c r="T13" s="2">
        <f>--30579.99</f>
        <v>30579.99</v>
      </c>
      <c r="U13" s="2"/>
      <c r="V13" s="19"/>
      <c r="W13" s="2"/>
      <c r="X13" s="2">
        <f t="shared" si="2"/>
        <v>-3607.8700000000026</v>
      </c>
      <c r="Y13" s="2"/>
      <c r="Z13" s="19">
        <f t="shared" si="3"/>
        <v>-0.11798139894748175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>--79059.45</f>
        <v>79059.45</v>
      </c>
      <c r="E14" s="2"/>
      <c r="F14" s="19"/>
      <c r="G14" s="2"/>
      <c r="H14" s="2">
        <f>--72186.38</f>
        <v>72186.38</v>
      </c>
      <c r="I14" s="2"/>
      <c r="J14" s="19"/>
      <c r="K14" s="2"/>
      <c r="L14" s="2">
        <f t="shared" si="0"/>
        <v>6873.0699999999924</v>
      </c>
      <c r="M14" s="2"/>
      <c r="N14" s="19">
        <f t="shared" si="1"/>
        <v>9.5212836548944441E-2</v>
      </c>
      <c r="O14" s="11"/>
      <c r="P14" s="2">
        <f>--115944.93</f>
        <v>115944.93</v>
      </c>
      <c r="Q14" s="2"/>
      <c r="R14" s="19"/>
      <c r="S14" s="2"/>
      <c r="T14" s="2">
        <f>--107627.87</f>
        <v>107627.87</v>
      </c>
      <c r="U14" s="2"/>
      <c r="V14" s="19"/>
      <c r="W14" s="2"/>
      <c r="X14" s="2">
        <f t="shared" si="2"/>
        <v>8317.0599999999977</v>
      </c>
      <c r="Y14" s="2"/>
      <c r="Z14" s="19">
        <f t="shared" si="3"/>
        <v>7.7276081000209315E-2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41083.01</v>
      </c>
      <c r="E16" s="4"/>
      <c r="F16" s="12">
        <f t="shared" ref="F16:F18" si="4">IF(D$12=0,0,D16/D$12)</f>
        <v>0.42393223442354083</v>
      </c>
      <c r="G16" s="4"/>
      <c r="H16" s="4">
        <f>SUM(OSRRefH16x_0)</f>
        <v>42915.63</v>
      </c>
      <c r="I16" s="4"/>
      <c r="J16" s="12">
        <f t="shared" ref="J16:J18" si="5">IF(H$12=0,0,H16/H$12)</f>
        <v>0.46409012743447731</v>
      </c>
      <c r="K16" s="4"/>
      <c r="L16" s="4">
        <f t="shared" ref="L16:L18" si="6">+D16-H16</f>
        <v>-1832.6199999999953</v>
      </c>
      <c r="M16" s="4"/>
      <c r="N16" s="12">
        <f t="shared" ref="N16:N18" si="7">IF(H16=0,0,L16/H16)</f>
        <v>-4.2702856744733689E-2</v>
      </c>
      <c r="O16" s="10"/>
      <c r="P16" s="4">
        <f>SUM(OSRRefP16x_0)</f>
        <v>61966.279999999992</v>
      </c>
      <c r="Q16" s="4"/>
      <c r="R16" s="12">
        <f t="shared" ref="R16:R18" si="8">IF(P$12=0,0,P16/P$12)</f>
        <v>0.43358213733071033</v>
      </c>
      <c r="S16" s="4"/>
      <c r="T16" s="4">
        <f>SUM(OSRRefT16x_0)</f>
        <v>66098.710000000006</v>
      </c>
      <c r="U16" s="4"/>
      <c r="V16" s="12">
        <f t="shared" ref="V16:V18" si="9">IF(T$12=0,0,T16/T$12)</f>
        <v>0.47825579529268458</v>
      </c>
      <c r="W16" s="4"/>
      <c r="X16" s="4">
        <f t="shared" ref="X16:X18" si="10">+P16-T16</f>
        <v>-4132.4300000000148</v>
      </c>
      <c r="Y16" s="4"/>
      <c r="Z16" s="12">
        <f t="shared" ref="Z16:Z18" si="11">IF(T16=0,0,X16/T16)</f>
        <v>-6.2519071854806457E-2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46698.630000000005</v>
      </c>
      <c r="E17" s="2"/>
      <c r="F17" s="19">
        <f t="shared" si="4"/>
        <v>0.48187935987207847</v>
      </c>
      <c r="G17" s="2"/>
      <c r="H17" s="2">
        <v>40585.25</v>
      </c>
      <c r="I17" s="2"/>
      <c r="J17" s="19">
        <f t="shared" si="5"/>
        <v>0.43888937071319051</v>
      </c>
      <c r="K17" s="2"/>
      <c r="L17" s="2">
        <f t="shared" si="6"/>
        <v>6113.3800000000047</v>
      </c>
      <c r="M17" s="2"/>
      <c r="N17" s="19">
        <f t="shared" si="7"/>
        <v>0.15063058623514711</v>
      </c>
      <c r="O17" s="11"/>
      <c r="P17" s="2">
        <v>73782.569999999992</v>
      </c>
      <c r="Q17" s="2"/>
      <c r="R17" s="19">
        <f t="shared" si="8"/>
        <v>0.51626149574176072</v>
      </c>
      <c r="S17" s="2"/>
      <c r="T17" s="2">
        <v>72451.41</v>
      </c>
      <c r="U17" s="2"/>
      <c r="V17" s="19">
        <f t="shared" si="9"/>
        <v>0.5242206195798127</v>
      </c>
      <c r="W17" s="2"/>
      <c r="X17" s="2">
        <f t="shared" si="10"/>
        <v>1331.1599999999889</v>
      </c>
      <c r="Y17" s="2"/>
      <c r="Z17" s="19">
        <f t="shared" si="11"/>
        <v>1.837314139227917E-2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-5615.62</v>
      </c>
      <c r="E18" s="2"/>
      <c r="F18" s="19">
        <f t="shared" si="4"/>
        <v>-5.7947125448537591E-2</v>
      </c>
      <c r="G18" s="2"/>
      <c r="H18" s="2">
        <v>2330.38</v>
      </c>
      <c r="I18" s="2"/>
      <c r="J18" s="19">
        <f t="shared" si="5"/>
        <v>2.5200756721286795E-2</v>
      </c>
      <c r="K18" s="2"/>
      <c r="L18" s="2">
        <f t="shared" si="6"/>
        <v>-7946</v>
      </c>
      <c r="M18" s="2"/>
      <c r="N18" s="19">
        <f t="shared" si="7"/>
        <v>-3.4097443335421689</v>
      </c>
      <c r="O18" s="11"/>
      <c r="P18" s="2">
        <v>-11816.29</v>
      </c>
      <c r="Q18" s="2"/>
      <c r="R18" s="19">
        <f t="shared" si="8"/>
        <v>-8.2679358411050341E-2</v>
      </c>
      <c r="S18" s="2"/>
      <c r="T18" s="2">
        <v>-6352.7</v>
      </c>
      <c r="U18" s="2"/>
      <c r="V18" s="19">
        <f t="shared" si="9"/>
        <v>-4.59648242871281E-2</v>
      </c>
      <c r="W18" s="2"/>
      <c r="X18" s="2">
        <f t="shared" si="10"/>
        <v>-5463.5900000000011</v>
      </c>
      <c r="Y18" s="2"/>
      <c r="Z18" s="19">
        <f t="shared" si="11"/>
        <v>0.86004218678672084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1">
        <f>D12-D16</f>
        <v>55826.37</v>
      </c>
      <c r="E20" s="13"/>
      <c r="F20" s="20">
        <f>IF(D$12=0,0,D20/D$12)</f>
        <v>0.57606776557645911</v>
      </c>
      <c r="G20" s="13"/>
      <c r="H20" s="21">
        <f>H12-H16</f>
        <v>49556.990000000013</v>
      </c>
      <c r="I20" s="13"/>
      <c r="J20" s="20">
        <f>IF(H$12=0,0,H20/H$12)</f>
        <v>0.53590987256552269</v>
      </c>
      <c r="K20" s="15"/>
      <c r="L20" s="21">
        <f>+D20-H20</f>
        <v>6269.3799999999901</v>
      </c>
      <c r="M20" s="15"/>
      <c r="N20" s="20">
        <f>IF(H20=0,0,L20/H20)</f>
        <v>0.12650849052777396</v>
      </c>
      <c r="O20" s="25"/>
      <c r="P20" s="21">
        <f>P12-P16</f>
        <v>80950.76999999999</v>
      </c>
      <c r="Q20" s="13"/>
      <c r="R20" s="20">
        <f>IF(P$12=0,0,P20/P$12)</f>
        <v>0.56641786266928962</v>
      </c>
      <c r="S20" s="13"/>
      <c r="T20" s="21">
        <f>T12-T16</f>
        <v>72109.14999999998</v>
      </c>
      <c r="U20" s="13"/>
      <c r="V20" s="20">
        <f>IF(T$12=0,0,T20/T$12)</f>
        <v>0.52174420470731542</v>
      </c>
      <c r="W20" s="15"/>
      <c r="X20" s="21">
        <f>+P20-T20</f>
        <v>8841.6200000000099</v>
      </c>
      <c r="Y20" s="15"/>
      <c r="Z20" s="20">
        <f>IF(T20=0,0,X20/T20)</f>
        <v>0.12261439775673423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36549.61</v>
      </c>
      <c r="E22" s="22"/>
      <c r="F22" s="34">
        <f t="shared" ref="F22:F31" si="12">IF(D$12=0,0,D22/D$12)</f>
        <v>0.37715244901989881</v>
      </c>
      <c r="G22" s="22"/>
      <c r="H22" s="22">
        <f>SUM(OSRRefH22x_0)</f>
        <v>31528.19</v>
      </c>
      <c r="I22" s="22"/>
      <c r="J22" s="34">
        <f t="shared" ref="J22:J31" si="13">IF(H$12=0,0,H22/H$12)</f>
        <v>0.34094621737764103</v>
      </c>
      <c r="K22" s="4"/>
      <c r="L22" s="22">
        <f t="shared" ref="L22:L31" si="14">+D22-H22</f>
        <v>5021.4200000000019</v>
      </c>
      <c r="M22" s="4"/>
      <c r="N22" s="34">
        <f t="shared" ref="N22:N31" si="15">IF(H22=0,0,L22/H22)</f>
        <v>0.15926762684442089</v>
      </c>
      <c r="O22" s="10"/>
      <c r="P22" s="22">
        <f>SUM(OSRRefP22x_0)</f>
        <v>85248.35</v>
      </c>
      <c r="Q22" s="22"/>
      <c r="R22" s="34">
        <f t="shared" ref="R22:R31" si="16">IF(P$12=0,0,P22/P$12)</f>
        <v>0.59648831262610036</v>
      </c>
      <c r="S22" s="22"/>
      <c r="T22" s="22">
        <f>SUM(OSRRefT22x_0)</f>
        <v>79327.52999999997</v>
      </c>
      <c r="U22" s="22"/>
      <c r="V22" s="34">
        <f t="shared" ref="V22:V31" si="17">IF(T$12=0,0,T22/T$12)</f>
        <v>0.57397263802507303</v>
      </c>
      <c r="W22" s="4"/>
      <c r="X22" s="22">
        <f t="shared" ref="X22:X31" si="18">+P22-T22</f>
        <v>5920.8200000000361</v>
      </c>
      <c r="Y22" s="4"/>
      <c r="Z22" s="34">
        <f t="shared" ref="Z22:Z31" si="19">IF(T22=0,0,X22/T22)</f>
        <v>7.4637644711741793E-2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3614.6099999999997</v>
      </c>
      <c r="E23" s="1"/>
      <c r="F23" s="5">
        <f t="shared" si="12"/>
        <v>3.7298866219142045E-2</v>
      </c>
      <c r="G23" s="1"/>
      <c r="H23" s="1">
        <f>SUM(OSRRefH22_0x_0)</f>
        <v>3181.4900000000002</v>
      </c>
      <c r="I23" s="1"/>
      <c r="J23" s="5">
        <f t="shared" si="13"/>
        <v>3.4404670268886078E-2</v>
      </c>
      <c r="K23" s="1"/>
      <c r="L23" s="1">
        <f t="shared" si="14"/>
        <v>433.11999999999944</v>
      </c>
      <c r="M23" s="1"/>
      <c r="N23" s="5">
        <f t="shared" si="15"/>
        <v>0.13613747017906686</v>
      </c>
      <c r="O23" s="14"/>
      <c r="P23" s="1">
        <f>SUM(OSRRefP22_0x_0)</f>
        <v>11169.54</v>
      </c>
      <c r="Q23" s="1"/>
      <c r="R23" s="5">
        <f t="shared" si="16"/>
        <v>7.8154006117534619E-2</v>
      </c>
      <c r="S23" s="1"/>
      <c r="T23" s="1">
        <f>SUM(OSRRefT22_0x_0)</f>
        <v>9059.6</v>
      </c>
      <c r="U23" s="1"/>
      <c r="V23" s="5">
        <f t="shared" si="17"/>
        <v>6.5550541047376037E-2</v>
      </c>
      <c r="W23" s="1"/>
      <c r="X23" s="1">
        <f t="shared" si="18"/>
        <v>2109.9400000000005</v>
      </c>
      <c r="Y23" s="1"/>
      <c r="Z23" s="5">
        <f t="shared" si="19"/>
        <v>0.23289549207470533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>
        <v>505.68</v>
      </c>
      <c r="E24" s="2"/>
      <c r="F24" s="7">
        <f t="shared" si="12"/>
        <v>5.2180707378377614E-3</v>
      </c>
      <c r="G24" s="2"/>
      <c r="H24" s="6">
        <v>345.76</v>
      </c>
      <c r="I24" s="2"/>
      <c r="J24" s="7">
        <f t="shared" si="13"/>
        <v>3.7390527055467873E-3</v>
      </c>
      <c r="K24" s="2"/>
      <c r="L24" s="6">
        <f t="shared" si="14"/>
        <v>159.92000000000002</v>
      </c>
      <c r="M24" s="2"/>
      <c r="N24" s="7">
        <f t="shared" si="15"/>
        <v>0.46251735307727909</v>
      </c>
      <c r="O24" s="11"/>
      <c r="P24" s="6">
        <v>1520.23</v>
      </c>
      <c r="Q24" s="2"/>
      <c r="R24" s="7">
        <f t="shared" si="16"/>
        <v>1.063714931143625E-2</v>
      </c>
      <c r="S24" s="2"/>
      <c r="T24" s="6">
        <v>1222.8399999999999</v>
      </c>
      <c r="U24" s="2"/>
      <c r="V24" s="7">
        <f t="shared" si="17"/>
        <v>8.8478325328241111E-3</v>
      </c>
      <c r="W24" s="2"/>
      <c r="X24" s="6">
        <f t="shared" si="18"/>
        <v>297.3900000000001</v>
      </c>
      <c r="Y24" s="2"/>
      <c r="Z24" s="7">
        <f t="shared" si="19"/>
        <v>0.24319616630139684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>
        <v>239.07</v>
      </c>
      <c r="E25" s="2"/>
      <c r="F25" s="7">
        <f t="shared" si="12"/>
        <v>2.4669438603363266E-3</v>
      </c>
      <c r="G25" s="2"/>
      <c r="H25" s="6"/>
      <c r="I25" s="2"/>
      <c r="J25" s="7">
        <f t="shared" si="13"/>
        <v>0</v>
      </c>
      <c r="K25" s="2"/>
      <c r="L25" s="6">
        <f t="shared" si="14"/>
        <v>239.07</v>
      </c>
      <c r="M25" s="2"/>
      <c r="N25" s="7">
        <f t="shared" si="15"/>
        <v>0</v>
      </c>
      <c r="O25" s="11"/>
      <c r="P25" s="6">
        <v>647.1</v>
      </c>
      <c r="Q25" s="2"/>
      <c r="R25" s="7">
        <f t="shared" si="16"/>
        <v>4.5278012665388775E-3</v>
      </c>
      <c r="S25" s="2"/>
      <c r="T25" s="6">
        <v>440.62</v>
      </c>
      <c r="U25" s="2"/>
      <c r="V25" s="7">
        <f t="shared" si="17"/>
        <v>3.188096538069543E-3</v>
      </c>
      <c r="W25" s="2"/>
      <c r="X25" s="6">
        <f t="shared" si="18"/>
        <v>206.48000000000002</v>
      </c>
      <c r="Y25" s="2"/>
      <c r="Z25" s="7">
        <f t="shared" si="19"/>
        <v>0.46861240978621038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>
        <v>1815.82</v>
      </c>
      <c r="E26" s="2"/>
      <c r="F26" s="7">
        <f t="shared" si="12"/>
        <v>1.8737298701116442E-2</v>
      </c>
      <c r="G26" s="2"/>
      <c r="H26" s="6">
        <v>2006.94</v>
      </c>
      <c r="I26" s="2"/>
      <c r="J26" s="7">
        <f t="shared" si="13"/>
        <v>2.1703072758185071E-2</v>
      </c>
      <c r="K26" s="2"/>
      <c r="L26" s="6">
        <f t="shared" si="14"/>
        <v>-191.12000000000012</v>
      </c>
      <c r="M26" s="2"/>
      <c r="N26" s="7">
        <f t="shared" si="15"/>
        <v>-9.5229553449530185E-2</v>
      </c>
      <c r="O26" s="11"/>
      <c r="P26" s="6">
        <v>5915.11</v>
      </c>
      <c r="Q26" s="2"/>
      <c r="R26" s="7">
        <f t="shared" si="16"/>
        <v>4.13884137686861E-2</v>
      </c>
      <c r="S26" s="2"/>
      <c r="T26" s="6">
        <v>4751.37</v>
      </c>
      <c r="U26" s="2"/>
      <c r="V26" s="7">
        <f t="shared" si="17"/>
        <v>3.4378435495636794E-2</v>
      </c>
      <c r="W26" s="2"/>
      <c r="X26" s="6">
        <f t="shared" si="18"/>
        <v>1163.7399999999998</v>
      </c>
      <c r="Y26" s="2"/>
      <c r="Z26" s="7">
        <f t="shared" si="19"/>
        <v>0.2449272525608403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32.71</v>
      </c>
      <c r="E27" s="2"/>
      <c r="F27" s="7">
        <f t="shared" si="12"/>
        <v>3.3753182612457122E-4</v>
      </c>
      <c r="G27" s="2"/>
      <c r="H27" s="6">
        <v>32.86</v>
      </c>
      <c r="I27" s="2"/>
      <c r="J27" s="7">
        <f t="shared" si="13"/>
        <v>3.5534842637745094E-4</v>
      </c>
      <c r="K27" s="2"/>
      <c r="L27" s="6">
        <f t="shared" si="14"/>
        <v>-0.14999999999999858</v>
      </c>
      <c r="M27" s="2"/>
      <c r="N27" s="7">
        <f t="shared" si="15"/>
        <v>-4.5648204503955748E-3</v>
      </c>
      <c r="O27" s="11"/>
      <c r="P27" s="6">
        <v>67.59</v>
      </c>
      <c r="Q27" s="2"/>
      <c r="R27" s="7">
        <f t="shared" si="16"/>
        <v>4.7293167610162684E-4</v>
      </c>
      <c r="S27" s="2"/>
      <c r="T27" s="6">
        <v>81.47</v>
      </c>
      <c r="U27" s="2"/>
      <c r="V27" s="7">
        <f t="shared" si="17"/>
        <v>5.8947443365377347E-4</v>
      </c>
      <c r="W27" s="2"/>
      <c r="X27" s="6">
        <f t="shared" si="18"/>
        <v>-13.879999999999995</v>
      </c>
      <c r="Y27" s="2"/>
      <c r="Z27" s="7">
        <f t="shared" si="19"/>
        <v>-0.17036946115134399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>
        <v>392.49</v>
      </c>
      <c r="E28" s="2"/>
      <c r="F28" s="7">
        <f t="shared" si="12"/>
        <v>4.05007234593803E-3</v>
      </c>
      <c r="G28" s="2"/>
      <c r="H28" s="6">
        <v>351.03</v>
      </c>
      <c r="I28" s="2"/>
      <c r="J28" s="7">
        <f t="shared" si="13"/>
        <v>3.7960425475129819E-3</v>
      </c>
      <c r="K28" s="2"/>
      <c r="L28" s="6">
        <f t="shared" si="14"/>
        <v>41.460000000000036</v>
      </c>
      <c r="M28" s="2"/>
      <c r="N28" s="7">
        <f t="shared" si="15"/>
        <v>0.11810956328518941</v>
      </c>
      <c r="O28" s="11"/>
      <c r="P28" s="6">
        <v>1177.47</v>
      </c>
      <c r="Q28" s="2"/>
      <c r="R28" s="7">
        <f t="shared" si="16"/>
        <v>8.2388350445240805E-3</v>
      </c>
      <c r="S28" s="2"/>
      <c r="T28" s="6">
        <v>1228.5999999999999</v>
      </c>
      <c r="U28" s="2"/>
      <c r="V28" s="7">
        <f t="shared" si="17"/>
        <v>8.8895088890024055E-3</v>
      </c>
      <c r="W28" s="2"/>
      <c r="X28" s="6">
        <f t="shared" si="18"/>
        <v>-51.129999999999882</v>
      </c>
      <c r="Y28" s="2"/>
      <c r="Z28" s="7">
        <f t="shared" si="19"/>
        <v>-4.1616474035487454E-2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>
        <v>280.8</v>
      </c>
      <c r="E29" s="2"/>
      <c r="F29" s="7">
        <f t="shared" si="12"/>
        <v>2.8975523318795354E-3</v>
      </c>
      <c r="G29" s="2"/>
      <c r="H29" s="6">
        <v>272.82</v>
      </c>
      <c r="I29" s="2"/>
      <c r="J29" s="7">
        <f t="shared" si="13"/>
        <v>2.9502786878970225E-3</v>
      </c>
      <c r="K29" s="2"/>
      <c r="L29" s="6">
        <f t="shared" si="14"/>
        <v>7.9800000000000182</v>
      </c>
      <c r="M29" s="2"/>
      <c r="N29" s="7">
        <f t="shared" si="15"/>
        <v>2.9250054981306423E-2</v>
      </c>
      <c r="O29" s="11"/>
      <c r="P29" s="6">
        <v>842.4</v>
      </c>
      <c r="Q29" s="2"/>
      <c r="R29" s="7">
        <f t="shared" si="16"/>
        <v>5.8943282134636841E-3</v>
      </c>
      <c r="S29" s="2"/>
      <c r="T29" s="6">
        <v>818.46</v>
      </c>
      <c r="U29" s="2"/>
      <c r="V29" s="7">
        <f t="shared" si="17"/>
        <v>5.9219497357096773E-3</v>
      </c>
      <c r="W29" s="2"/>
      <c r="X29" s="6">
        <f t="shared" si="18"/>
        <v>23.939999999999941</v>
      </c>
      <c r="Y29" s="2"/>
      <c r="Z29" s="7">
        <f t="shared" si="19"/>
        <v>2.9250054981306284E-2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>
        <v>177.12</v>
      </c>
      <c r="E30" s="2"/>
      <c r="F30" s="7">
        <f t="shared" si="12"/>
        <v>1.8276868554932453E-3</v>
      </c>
      <c r="G30" s="2"/>
      <c r="H30" s="6">
        <v>172.08</v>
      </c>
      <c r="I30" s="2"/>
      <c r="J30" s="7">
        <f t="shared" si="13"/>
        <v>1.8608751433667609E-3</v>
      </c>
      <c r="K30" s="2"/>
      <c r="L30" s="6">
        <f t="shared" si="14"/>
        <v>5.039999999999992</v>
      </c>
      <c r="M30" s="2"/>
      <c r="N30" s="7">
        <f t="shared" si="15"/>
        <v>2.9288702928870244E-2</v>
      </c>
      <c r="O30" s="11"/>
      <c r="P30" s="6">
        <v>531.36</v>
      </c>
      <c r="Q30" s="2"/>
      <c r="R30" s="7">
        <f t="shared" si="16"/>
        <v>3.7179608731078627E-3</v>
      </c>
      <c r="S30" s="2"/>
      <c r="T30" s="6">
        <v>516.24</v>
      </c>
      <c r="U30" s="2"/>
      <c r="V30" s="7">
        <f t="shared" si="17"/>
        <v>3.7352434224797349E-3</v>
      </c>
      <c r="W30" s="2"/>
      <c r="X30" s="6">
        <f t="shared" si="18"/>
        <v>15.120000000000005</v>
      </c>
      <c r="Y30" s="2"/>
      <c r="Z30" s="7">
        <f t="shared" si="19"/>
        <v>2.92887029288703E-2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>
        <v>170.92</v>
      </c>
      <c r="E31" s="2"/>
      <c r="F31" s="7">
        <f t="shared" si="12"/>
        <v>1.7637095604161328E-3</v>
      </c>
      <c r="G31" s="2"/>
      <c r="H31" s="6"/>
      <c r="I31" s="2"/>
      <c r="J31" s="7">
        <f t="shared" si="13"/>
        <v>0</v>
      </c>
      <c r="K31" s="2"/>
      <c r="L31" s="6">
        <f t="shared" si="14"/>
        <v>170.92</v>
      </c>
      <c r="M31" s="2"/>
      <c r="N31" s="7">
        <f t="shared" si="15"/>
        <v>0</v>
      </c>
      <c r="O31" s="11"/>
      <c r="P31" s="6">
        <v>468.28</v>
      </c>
      <c r="Q31" s="2"/>
      <c r="R31" s="7">
        <f t="shared" si="16"/>
        <v>3.2765859636761326E-3</v>
      </c>
      <c r="S31" s="2"/>
      <c r="T31" s="6"/>
      <c r="U31" s="2"/>
      <c r="V31" s="7">
        <f t="shared" si="17"/>
        <v>0</v>
      </c>
      <c r="W31" s="2"/>
      <c r="X31" s="6">
        <f t="shared" si="18"/>
        <v>468.28</v>
      </c>
      <c r="Y31" s="2"/>
      <c r="Z31" s="7">
        <f t="shared" si="19"/>
        <v>0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12057.39</v>
      </c>
      <c r="E32" s="1"/>
      <c r="F32" s="5">
        <f t="shared" ref="F32:F38" si="20">IF(D$12=0,0,D32/D$12)</f>
        <v>0.12441922546610037</v>
      </c>
      <c r="G32" s="1"/>
      <c r="H32" s="1">
        <f>SUM(OSRRefH22_1x_0)</f>
        <v>11680.460000000001</v>
      </c>
      <c r="I32" s="1"/>
      <c r="J32" s="5">
        <f t="shared" ref="J32:J38" si="21">IF(H$12=0,0,H32/H$12)</f>
        <v>0.12631263178225077</v>
      </c>
      <c r="K32" s="1"/>
      <c r="L32" s="1">
        <f t="shared" ref="L32:L38" si="22">+D32-H32</f>
        <v>376.92999999999847</v>
      </c>
      <c r="M32" s="1"/>
      <c r="N32" s="5">
        <f t="shared" ref="N32:N38" si="23">IF(H32=0,0,L32/H32)</f>
        <v>3.2270133196808895E-2</v>
      </c>
      <c r="O32" s="14"/>
      <c r="P32" s="1">
        <f>SUM(OSRRefP22_1x_0)</f>
        <v>27796.97</v>
      </c>
      <c r="Q32" s="1"/>
      <c r="R32" s="5">
        <f t="shared" ref="R32:R38" si="24">IF(P$12=0,0,P32/P$12)</f>
        <v>0.19449722758761115</v>
      </c>
      <c r="S32" s="1"/>
      <c r="T32" s="1">
        <f>SUM(OSRRefT22_1x_0)</f>
        <v>25682.17</v>
      </c>
      <c r="U32" s="1"/>
      <c r="V32" s="5">
        <f t="shared" ref="V32:V38" si="25">IF(T$12=0,0,T32/T$12)</f>
        <v>0.18582278894991935</v>
      </c>
      <c r="W32" s="1"/>
      <c r="X32" s="1">
        <f t="shared" ref="X32:X38" si="26">+P32-T32</f>
        <v>2114.8000000000029</v>
      </c>
      <c r="Y32" s="1"/>
      <c r="Z32" s="5">
        <f t="shared" ref="Z32:Z38" si="27">IF(T32=0,0,X32/T32)</f>
        <v>8.234506663572444E-2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>
        <v>3840</v>
      </c>
      <c r="E33" s="2"/>
      <c r="F33" s="7">
        <f t="shared" si="20"/>
        <v>3.9624647273566294E-2</v>
      </c>
      <c r="G33" s="2"/>
      <c r="H33" s="6">
        <v>3730.78</v>
      </c>
      <c r="I33" s="2"/>
      <c r="J33" s="7">
        <f t="shared" si="21"/>
        <v>4.0344698787597881E-2</v>
      </c>
      <c r="K33" s="2"/>
      <c r="L33" s="6">
        <f t="shared" si="22"/>
        <v>109.2199999999998</v>
      </c>
      <c r="M33" s="2"/>
      <c r="N33" s="7">
        <f t="shared" si="23"/>
        <v>2.9275379411275872E-2</v>
      </c>
      <c r="O33" s="11"/>
      <c r="P33" s="6">
        <v>11712</v>
      </c>
      <c r="Q33" s="2"/>
      <c r="R33" s="7">
        <f t="shared" si="24"/>
        <v>8.1949634420805648E-2</v>
      </c>
      <c r="S33" s="2"/>
      <c r="T33" s="6">
        <v>11565.72</v>
      </c>
      <c r="U33" s="2"/>
      <c r="V33" s="7">
        <f t="shared" si="25"/>
        <v>8.3683518433756238E-2</v>
      </c>
      <c r="W33" s="2"/>
      <c r="X33" s="6">
        <f t="shared" si="26"/>
        <v>146.28000000000065</v>
      </c>
      <c r="Y33" s="2"/>
      <c r="Z33" s="7">
        <f t="shared" si="27"/>
        <v>1.2647721023853307E-2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0"/>
        <v>0</v>
      </c>
      <c r="G34" s="2"/>
      <c r="H34" s="6"/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>
        <v>254.64</v>
      </c>
      <c r="Q34" s="2"/>
      <c r="R34" s="7">
        <f t="shared" si="24"/>
        <v>1.781732830337598E-3</v>
      </c>
      <c r="S34" s="2"/>
      <c r="T34" s="6"/>
      <c r="U34" s="2"/>
      <c r="V34" s="7">
        <f t="shared" si="25"/>
        <v>0</v>
      </c>
      <c r="W34" s="2"/>
      <c r="X34" s="6">
        <f t="shared" si="26"/>
        <v>254.64</v>
      </c>
      <c r="Y34" s="2"/>
      <c r="Z34" s="7">
        <f t="shared" si="27"/>
        <v>0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6">
        <v>2770.19</v>
      </c>
      <c r="E35" s="2"/>
      <c r="F35" s="7">
        <f t="shared" si="20"/>
        <v>2.8585365008010576E-2</v>
      </c>
      <c r="G35" s="2"/>
      <c r="H35" s="6">
        <v>68.5</v>
      </c>
      <c r="I35" s="2"/>
      <c r="J35" s="7">
        <f t="shared" si="21"/>
        <v>7.4075980544295161E-4</v>
      </c>
      <c r="K35" s="2"/>
      <c r="L35" s="6">
        <f t="shared" si="22"/>
        <v>2701.69</v>
      </c>
      <c r="M35" s="2"/>
      <c r="N35" s="7">
        <f t="shared" si="23"/>
        <v>39.440729927007297</v>
      </c>
      <c r="O35" s="11"/>
      <c r="P35" s="6">
        <v>3990.13</v>
      </c>
      <c r="Q35" s="2"/>
      <c r="R35" s="7">
        <f t="shared" si="24"/>
        <v>2.7919202082606662E-2</v>
      </c>
      <c r="S35" s="2"/>
      <c r="T35" s="6">
        <v>68.5</v>
      </c>
      <c r="U35" s="2"/>
      <c r="V35" s="7">
        <f t="shared" si="25"/>
        <v>4.9563027746757674E-4</v>
      </c>
      <c r="W35" s="2"/>
      <c r="X35" s="6">
        <f t="shared" si="26"/>
        <v>3921.63</v>
      </c>
      <c r="Y35" s="2"/>
      <c r="Z35" s="7">
        <f t="shared" si="27"/>
        <v>57.25007299270073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>
        <v>720.5</v>
      </c>
      <c r="I36" s="2"/>
      <c r="J36" s="7">
        <f t="shared" si="21"/>
        <v>7.7914954718488558E-3</v>
      </c>
      <c r="K36" s="2"/>
      <c r="L36" s="6">
        <f t="shared" si="22"/>
        <v>-720.5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720.5</v>
      </c>
      <c r="U36" s="2"/>
      <c r="V36" s="7">
        <f t="shared" si="25"/>
        <v>5.2131622615385264E-3</v>
      </c>
      <c r="W36" s="2"/>
      <c r="X36" s="6">
        <f t="shared" si="26"/>
        <v>-720.5</v>
      </c>
      <c r="Y36" s="2"/>
      <c r="Z36" s="7">
        <f t="shared" si="27"/>
        <v>-1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6">
        <v>4319.2</v>
      </c>
      <c r="E37" s="2"/>
      <c r="F37" s="7">
        <f t="shared" si="20"/>
        <v>4.4569473047913415E-2</v>
      </c>
      <c r="G37" s="2"/>
      <c r="H37" s="6">
        <v>6440.18</v>
      </c>
      <c r="I37" s="2"/>
      <c r="J37" s="7">
        <f t="shared" si="21"/>
        <v>6.9644182245512234E-2</v>
      </c>
      <c r="K37" s="2"/>
      <c r="L37" s="6">
        <f t="shared" si="22"/>
        <v>-2120.9800000000005</v>
      </c>
      <c r="M37" s="2"/>
      <c r="N37" s="7">
        <f t="shared" si="23"/>
        <v>-0.32933551546695905</v>
      </c>
      <c r="O37" s="11"/>
      <c r="P37" s="6">
        <v>10604.2</v>
      </c>
      <c r="Q37" s="2"/>
      <c r="R37" s="7">
        <f t="shared" si="24"/>
        <v>7.4198284949206564E-2</v>
      </c>
      <c r="S37" s="2"/>
      <c r="T37" s="6">
        <v>12450.2</v>
      </c>
      <c r="U37" s="2"/>
      <c r="V37" s="7">
        <f t="shared" si="25"/>
        <v>9.0083154460245618E-2</v>
      </c>
      <c r="W37" s="2"/>
      <c r="X37" s="6">
        <f t="shared" si="26"/>
        <v>-1846</v>
      </c>
      <c r="Y37" s="2"/>
      <c r="Z37" s="7">
        <f t="shared" si="27"/>
        <v>-0.14827071051067453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6">
        <v>1128</v>
      </c>
      <c r="E38" s="2"/>
      <c r="F38" s="7">
        <f t="shared" si="20"/>
        <v>1.1639740136610099E-2</v>
      </c>
      <c r="G38" s="2"/>
      <c r="H38" s="6">
        <v>720.5</v>
      </c>
      <c r="I38" s="2"/>
      <c r="J38" s="7">
        <f t="shared" si="21"/>
        <v>7.7914954718488558E-3</v>
      </c>
      <c r="K38" s="2"/>
      <c r="L38" s="6">
        <f t="shared" si="22"/>
        <v>407.5</v>
      </c>
      <c r="M38" s="2"/>
      <c r="N38" s="7">
        <f t="shared" si="23"/>
        <v>0.56557945870922965</v>
      </c>
      <c r="O38" s="11"/>
      <c r="P38" s="6">
        <v>1236</v>
      </c>
      <c r="Q38" s="2"/>
      <c r="R38" s="7">
        <f t="shared" si="24"/>
        <v>8.648373304654693E-3</v>
      </c>
      <c r="S38" s="2"/>
      <c r="T38" s="6">
        <v>877.25</v>
      </c>
      <c r="U38" s="2"/>
      <c r="V38" s="7">
        <f t="shared" si="25"/>
        <v>6.3473235169114123E-3</v>
      </c>
      <c r="W38" s="2"/>
      <c r="X38" s="6">
        <f t="shared" si="26"/>
        <v>358.75</v>
      </c>
      <c r="Y38" s="2"/>
      <c r="Z38" s="7">
        <f t="shared" si="27"/>
        <v>0.40894841835280704</v>
      </c>
    </row>
    <row r="39" spans="1:26" s="29" customFormat="1" outlineLevel="1" collapsed="1" x14ac:dyDescent="0.25">
      <c r="A39" s="27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0</v>
      </c>
      <c r="E39" s="1"/>
      <c r="F39" s="5">
        <f t="shared" ref="F39:F47" si="28">IF(D$12=0,0,D39/D$12)</f>
        <v>0</v>
      </c>
      <c r="G39" s="1"/>
      <c r="H39" s="1">
        <f>SUM(OSRRefH22_2x_0)</f>
        <v>420.5</v>
      </c>
      <c r="I39" s="1"/>
      <c r="J39" s="5">
        <f t="shared" ref="J39:J47" si="29">IF(H$12=0,0,H39/H$12)</f>
        <v>4.5472919443614764E-3</v>
      </c>
      <c r="K39" s="1"/>
      <c r="L39" s="1">
        <f t="shared" ref="L39:L47" si="30">+D39-H39</f>
        <v>-420.5</v>
      </c>
      <c r="M39" s="1"/>
      <c r="N39" s="5">
        <f t="shared" ref="N39:N47" si="31">IF(H39=0,0,L39/H39)</f>
        <v>-1</v>
      </c>
      <c r="O39" s="14"/>
      <c r="P39" s="1">
        <f>SUM(OSRRefP22_2x_0)</f>
        <v>79.78</v>
      </c>
      <c r="Q39" s="1"/>
      <c r="R39" s="5">
        <f t="shared" ref="R39:R47" si="32">IF(P$12=0,0,P39/P$12)</f>
        <v>5.5822590796549476E-4</v>
      </c>
      <c r="S39" s="1"/>
      <c r="T39" s="1">
        <f>SUM(OSRRefT22_2x_0)</f>
        <v>462.5</v>
      </c>
      <c r="U39" s="1"/>
      <c r="V39" s="5">
        <f t="shared" ref="V39:V47" si="33">IF(T$12=0,0,T39/T$12)</f>
        <v>3.3464088077190405E-3</v>
      </c>
      <c r="W39" s="1"/>
      <c r="X39" s="1">
        <f t="shared" ref="X39:X47" si="34">+P39-T39</f>
        <v>-382.72</v>
      </c>
      <c r="Y39" s="1"/>
      <c r="Z39" s="5">
        <f t="shared" ref="Z39:Z47" si="35">IF(T39=0,0,X39/T39)</f>
        <v>-0.82750270270270276</v>
      </c>
    </row>
    <row r="40" spans="1:26" s="24" customFormat="1" hidden="1" outlineLevel="2" x14ac:dyDescent="0.25">
      <c r="A40" s="28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28"/>
        <v>0</v>
      </c>
      <c r="G40" s="2"/>
      <c r="H40" s="6">
        <v>420.5</v>
      </c>
      <c r="I40" s="2"/>
      <c r="J40" s="7">
        <f t="shared" si="29"/>
        <v>4.5472919443614764E-3</v>
      </c>
      <c r="K40" s="2"/>
      <c r="L40" s="6">
        <f t="shared" si="30"/>
        <v>-420.5</v>
      </c>
      <c r="M40" s="2"/>
      <c r="N40" s="7">
        <f t="shared" si="31"/>
        <v>-1</v>
      </c>
      <c r="O40" s="11"/>
      <c r="P40" s="6">
        <v>79.78</v>
      </c>
      <c r="Q40" s="2"/>
      <c r="R40" s="7">
        <f t="shared" si="32"/>
        <v>5.5822590796549476E-4</v>
      </c>
      <c r="S40" s="2"/>
      <c r="T40" s="6">
        <v>462.5</v>
      </c>
      <c r="U40" s="2"/>
      <c r="V40" s="7">
        <f t="shared" si="33"/>
        <v>3.3464088077190405E-3</v>
      </c>
      <c r="W40" s="2"/>
      <c r="X40" s="6">
        <f t="shared" si="34"/>
        <v>-382.72</v>
      </c>
      <c r="Y40" s="2"/>
      <c r="Z40" s="7">
        <f t="shared" si="35"/>
        <v>-0.82750270270270276</v>
      </c>
    </row>
    <row r="41" spans="1:26" s="29" customFormat="1" outlineLevel="1" collapsed="1" x14ac:dyDescent="0.25">
      <c r="A41" s="27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-8.31</v>
      </c>
      <c r="E41" s="1"/>
      <c r="F41" s="5">
        <f t="shared" si="28"/>
        <v>-8.5750213240452054E-5</v>
      </c>
      <c r="G41" s="1"/>
      <c r="H41" s="1">
        <f>SUM(OSRRefH22_3x_0)</f>
        <v>-28.94</v>
      </c>
      <c r="I41" s="1"/>
      <c r="J41" s="5">
        <f t="shared" si="29"/>
        <v>-3.129575002849492E-4</v>
      </c>
      <c r="K41" s="1"/>
      <c r="L41" s="1">
        <f t="shared" si="30"/>
        <v>20.630000000000003</v>
      </c>
      <c r="M41" s="1"/>
      <c r="N41" s="5">
        <f t="shared" si="31"/>
        <v>-0.71285418106427101</v>
      </c>
      <c r="O41" s="14"/>
      <c r="P41" s="1">
        <f>SUM(OSRRefP22_3x_0)</f>
        <v>-22.06</v>
      </c>
      <c r="Q41" s="1"/>
      <c r="R41" s="5">
        <f t="shared" si="32"/>
        <v>-1.5435527111705706E-4</v>
      </c>
      <c r="S41" s="1"/>
      <c r="T41" s="1">
        <f>SUM(OSRRefT22_3x_0)</f>
        <v>-37.409999999999997</v>
      </c>
      <c r="U41" s="1"/>
      <c r="V41" s="5">
        <f t="shared" si="33"/>
        <v>-2.7067925080382548E-4</v>
      </c>
      <c r="W41" s="1"/>
      <c r="X41" s="1">
        <f t="shared" si="34"/>
        <v>15.349999999999998</v>
      </c>
      <c r="Y41" s="1"/>
      <c r="Z41" s="5">
        <f t="shared" si="35"/>
        <v>-0.41031809676557068</v>
      </c>
    </row>
    <row r="42" spans="1:26" s="24" customFormat="1" hidden="1" outlineLevel="2" x14ac:dyDescent="0.25">
      <c r="A42" s="28"/>
      <c r="B42" s="11" t="str">
        <f>CONCATENATE("          ", "6272", " - ", "CASH (OVER/SHORT)")</f>
        <v xml:space="preserve">          6272 - CASH (OVER/SHORT)</v>
      </c>
      <c r="C42" s="11"/>
      <c r="D42" s="6">
        <v>-8.31</v>
      </c>
      <c r="E42" s="2"/>
      <c r="F42" s="7">
        <f t="shared" si="28"/>
        <v>-8.5750213240452054E-5</v>
      </c>
      <c r="G42" s="2"/>
      <c r="H42" s="6">
        <v>-28.94</v>
      </c>
      <c r="I42" s="2"/>
      <c r="J42" s="7">
        <f t="shared" si="29"/>
        <v>-3.129575002849492E-4</v>
      </c>
      <c r="K42" s="2"/>
      <c r="L42" s="6">
        <f t="shared" si="30"/>
        <v>20.630000000000003</v>
      </c>
      <c r="M42" s="2"/>
      <c r="N42" s="7">
        <f t="shared" si="31"/>
        <v>-0.71285418106427101</v>
      </c>
      <c r="O42" s="11"/>
      <c r="P42" s="6">
        <v>-22.06</v>
      </c>
      <c r="Q42" s="2"/>
      <c r="R42" s="7">
        <f t="shared" si="32"/>
        <v>-1.5435527111705706E-4</v>
      </c>
      <c r="S42" s="2"/>
      <c r="T42" s="6">
        <v>-37.409999999999997</v>
      </c>
      <c r="U42" s="2"/>
      <c r="V42" s="7">
        <f t="shared" si="33"/>
        <v>-2.7067925080382548E-4</v>
      </c>
      <c r="W42" s="2"/>
      <c r="X42" s="6">
        <f t="shared" si="34"/>
        <v>15.349999999999998</v>
      </c>
      <c r="Y42" s="2"/>
      <c r="Z42" s="7">
        <f t="shared" si="35"/>
        <v>-0.41031809676557068</v>
      </c>
    </row>
    <row r="43" spans="1:26" s="29" customFormat="1" outlineLevel="1" collapsed="1" x14ac:dyDescent="0.2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3523.37</v>
      </c>
      <c r="E43" s="1"/>
      <c r="F43" s="5">
        <f t="shared" si="28"/>
        <v>3.6357368089652412E-2</v>
      </c>
      <c r="G43" s="1"/>
      <c r="H43" s="1">
        <f>SUM(OSRRefH22_4x_0)</f>
        <v>3319.76</v>
      </c>
      <c r="I43" s="1"/>
      <c r="J43" s="5">
        <f t="shared" si="29"/>
        <v>3.5899923674705007E-2</v>
      </c>
      <c r="K43" s="1"/>
      <c r="L43" s="1">
        <f t="shared" si="30"/>
        <v>203.60999999999967</v>
      </c>
      <c r="M43" s="1"/>
      <c r="N43" s="5">
        <f t="shared" si="31"/>
        <v>6.1332746945562226E-2</v>
      </c>
      <c r="O43" s="14"/>
      <c r="P43" s="1">
        <f>SUM(OSRRefP22_4x_0)</f>
        <v>5006.3900000000003</v>
      </c>
      <c r="Q43" s="1"/>
      <c r="R43" s="5">
        <f t="shared" si="32"/>
        <v>3.5030040152661986E-2</v>
      </c>
      <c r="S43" s="1"/>
      <c r="T43" s="1">
        <f>SUM(OSRRefT22_4x_0)</f>
        <v>4685.6099999999997</v>
      </c>
      <c r="U43" s="1"/>
      <c r="V43" s="5">
        <f t="shared" si="33"/>
        <v>3.3902630429267916E-2</v>
      </c>
      <c r="W43" s="1"/>
      <c r="X43" s="1">
        <f t="shared" si="34"/>
        <v>320.78000000000065</v>
      </c>
      <c r="Y43" s="1"/>
      <c r="Z43" s="5">
        <f t="shared" si="35"/>
        <v>6.8460670008814367E-2</v>
      </c>
    </row>
    <row r="44" spans="1:26" s="24" customFormat="1" hidden="1" outlineLevel="2" x14ac:dyDescent="0.25">
      <c r="A44" s="28"/>
      <c r="B44" s="11" t="str">
        <f>CONCATENATE("          ", "6381", " - ", "BANK/CREDIT CARD FEES")</f>
        <v xml:space="preserve">          6381 - BANK/CREDIT CARD FEES</v>
      </c>
      <c r="C44" s="11"/>
      <c r="D44" s="6">
        <v>3523.37</v>
      </c>
      <c r="E44" s="2"/>
      <c r="F44" s="7">
        <f t="shared" si="28"/>
        <v>3.6357368089652412E-2</v>
      </c>
      <c r="G44" s="2"/>
      <c r="H44" s="6">
        <v>3319.76</v>
      </c>
      <c r="I44" s="2"/>
      <c r="J44" s="7">
        <f t="shared" si="29"/>
        <v>3.5899923674705007E-2</v>
      </c>
      <c r="K44" s="2"/>
      <c r="L44" s="6">
        <f t="shared" si="30"/>
        <v>203.60999999999967</v>
      </c>
      <c r="M44" s="2"/>
      <c r="N44" s="7">
        <f t="shared" si="31"/>
        <v>6.1332746945562226E-2</v>
      </c>
      <c r="O44" s="11"/>
      <c r="P44" s="6">
        <v>5006.3900000000003</v>
      </c>
      <c r="Q44" s="2"/>
      <c r="R44" s="7">
        <f t="shared" si="32"/>
        <v>3.5030040152661986E-2</v>
      </c>
      <c r="S44" s="2"/>
      <c r="T44" s="6">
        <v>4685.6099999999997</v>
      </c>
      <c r="U44" s="2"/>
      <c r="V44" s="7">
        <f t="shared" si="33"/>
        <v>3.3902630429267916E-2</v>
      </c>
      <c r="W44" s="2"/>
      <c r="X44" s="6">
        <f t="shared" si="34"/>
        <v>320.78000000000065</v>
      </c>
      <c r="Y44" s="2"/>
      <c r="Z44" s="7">
        <f t="shared" si="35"/>
        <v>6.8460670008814367E-2</v>
      </c>
    </row>
    <row r="45" spans="1:26" s="29" customFormat="1" outlineLevel="1" collapsed="1" x14ac:dyDescent="0.2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5421.37</v>
      </c>
      <c r="E45" s="1"/>
      <c r="F45" s="5">
        <f t="shared" si="28"/>
        <v>5.5942675518097416E-2</v>
      </c>
      <c r="G45" s="1"/>
      <c r="H45" s="1">
        <f>SUM(OSRRefH22_5x_0)</f>
        <v>5280.6</v>
      </c>
      <c r="I45" s="1"/>
      <c r="J45" s="5">
        <f t="shared" si="29"/>
        <v>5.7104470490832851E-2</v>
      </c>
      <c r="K45" s="1"/>
      <c r="L45" s="1">
        <f t="shared" si="30"/>
        <v>140.76999999999953</v>
      </c>
      <c r="M45" s="1"/>
      <c r="N45" s="5">
        <f t="shared" si="31"/>
        <v>2.6657955535355739E-2</v>
      </c>
      <c r="O45" s="14"/>
      <c r="P45" s="1">
        <f>SUM(OSRRefP22_5x_0)</f>
        <v>16264.109999999999</v>
      </c>
      <c r="Q45" s="1"/>
      <c r="R45" s="5">
        <f t="shared" si="32"/>
        <v>0.113801047530718</v>
      </c>
      <c r="S45" s="1"/>
      <c r="T45" s="1">
        <f>SUM(OSRRefT22_5x_0)</f>
        <v>15841.8</v>
      </c>
      <c r="U45" s="1"/>
      <c r="V45" s="5">
        <f t="shared" si="33"/>
        <v>0.11462300335161836</v>
      </c>
      <c r="W45" s="1"/>
      <c r="X45" s="1">
        <f t="shared" si="34"/>
        <v>422.30999999999949</v>
      </c>
      <c r="Y45" s="1"/>
      <c r="Z45" s="5">
        <f t="shared" si="35"/>
        <v>2.6657955535355798E-2</v>
      </c>
    </row>
    <row r="46" spans="1:26" s="24" customFormat="1" hidden="1" outlineLevel="2" x14ac:dyDescent="0.25">
      <c r="A46" s="28"/>
      <c r="B46" s="11" t="str">
        <f>CONCATENATE("          ", "6321", " - ", "BUILDING DEPRECIATION")</f>
        <v xml:space="preserve">          6321 - BUILDING DEPRECIATION</v>
      </c>
      <c r="C46" s="11"/>
      <c r="D46" s="6">
        <v>5080.51</v>
      </c>
      <c r="E46" s="2"/>
      <c r="F46" s="7">
        <f t="shared" si="28"/>
        <v>5.2425368937454767E-2</v>
      </c>
      <c r="G46" s="2"/>
      <c r="H46" s="6">
        <v>5080.51</v>
      </c>
      <c r="I46" s="2"/>
      <c r="J46" s="7">
        <f t="shared" si="29"/>
        <v>5.4940694878116349E-2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15241.529999999999</v>
      </c>
      <c r="Q46" s="2"/>
      <c r="R46" s="7">
        <f t="shared" si="32"/>
        <v>0.10664598800493014</v>
      </c>
      <c r="S46" s="2"/>
      <c r="T46" s="6">
        <v>15241.529999999999</v>
      </c>
      <c r="U46" s="2"/>
      <c r="V46" s="7">
        <f t="shared" si="33"/>
        <v>0.11027976267051671</v>
      </c>
      <c r="W46" s="2"/>
      <c r="X46" s="6">
        <f t="shared" si="34"/>
        <v>0</v>
      </c>
      <c r="Y46" s="2"/>
      <c r="Z46" s="7">
        <f t="shared" si="35"/>
        <v>0</v>
      </c>
    </row>
    <row r="47" spans="1:26" s="24" customFormat="1" hidden="1" outlineLevel="2" x14ac:dyDescent="0.25">
      <c r="A47" s="28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340.86</v>
      </c>
      <c r="E47" s="2"/>
      <c r="F47" s="7">
        <f t="shared" si="28"/>
        <v>3.5173065806426581E-3</v>
      </c>
      <c r="G47" s="2"/>
      <c r="H47" s="6">
        <v>200.09</v>
      </c>
      <c r="I47" s="2"/>
      <c r="J47" s="7">
        <f t="shared" si="29"/>
        <v>2.1637756127164992E-3</v>
      </c>
      <c r="K47" s="2"/>
      <c r="L47" s="6">
        <f t="shared" si="30"/>
        <v>140.77000000000001</v>
      </c>
      <c r="M47" s="2"/>
      <c r="N47" s="7">
        <f t="shared" si="31"/>
        <v>0.70353340996551561</v>
      </c>
      <c r="O47" s="11"/>
      <c r="P47" s="6">
        <v>1022.58</v>
      </c>
      <c r="Q47" s="2"/>
      <c r="R47" s="7">
        <f t="shared" si="32"/>
        <v>7.1550595257878621E-3</v>
      </c>
      <c r="S47" s="2"/>
      <c r="T47" s="6">
        <v>600.27</v>
      </c>
      <c r="U47" s="2"/>
      <c r="V47" s="7">
        <f t="shared" si="33"/>
        <v>4.3432406811016394E-3</v>
      </c>
      <c r="W47" s="2"/>
      <c r="X47" s="6">
        <f t="shared" si="34"/>
        <v>422.31000000000006</v>
      </c>
      <c r="Y47" s="2"/>
      <c r="Z47" s="7">
        <f t="shared" si="35"/>
        <v>0.70353340996551561</v>
      </c>
    </row>
    <row r="48" spans="1:26" s="29" customFormat="1" outlineLevel="1" collapsed="1" x14ac:dyDescent="0.25">
      <c r="A48" s="27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SUM(OSRRefD22_6x_0)</f>
        <v>56.69</v>
      </c>
      <c r="E48" s="1"/>
      <c r="F48" s="5">
        <f t="shared" ref="F48:F59" si="36">IF(D$12=0,0,D48/D$12)</f>
        <v>5.8497949321314406E-4</v>
      </c>
      <c r="G48" s="1"/>
      <c r="H48" s="1">
        <f>SUM(OSRRefH22_6x_0)</f>
        <v>123.88</v>
      </c>
      <c r="I48" s="1"/>
      <c r="J48" s="5">
        <f t="shared" ref="J48:J59" si="37">IF(H$12=0,0,H48/H$12)</f>
        <v>1.3396397766171216E-3</v>
      </c>
      <c r="K48" s="1"/>
      <c r="L48" s="1">
        <f t="shared" ref="L48:L59" si="38">+D48-H48</f>
        <v>-67.19</v>
      </c>
      <c r="M48" s="1"/>
      <c r="N48" s="5">
        <f t="shared" ref="N48:N59" si="39">IF(H48=0,0,L48/H48)</f>
        <v>-0.54237972231191478</v>
      </c>
      <c r="O48" s="14"/>
      <c r="P48" s="1">
        <f>SUM(OSRRefP22_6x_0)</f>
        <v>349.21</v>
      </c>
      <c r="Q48" s="1"/>
      <c r="R48" s="5">
        <f t="shared" ref="R48:R59" si="40">IF(P$12=0,0,P48/P$12)</f>
        <v>2.4434453411961692E-3</v>
      </c>
      <c r="S48" s="1"/>
      <c r="T48" s="1">
        <f>SUM(OSRRefT22_6x_0)</f>
        <v>355.43</v>
      </c>
      <c r="U48" s="1"/>
      <c r="V48" s="5">
        <f t="shared" ref="V48:V59" si="41">IF(T$12=0,0,T48/T$12)</f>
        <v>2.5717061243839536E-3</v>
      </c>
      <c r="W48" s="1"/>
      <c r="X48" s="1">
        <f t="shared" ref="X48:X59" si="42">+P48-T48</f>
        <v>-6.2200000000000273</v>
      </c>
      <c r="Y48" s="1"/>
      <c r="Z48" s="5">
        <f t="shared" ref="Z48:Z59" si="43">IF(T48=0,0,X48/T48)</f>
        <v>-1.7499929662662204E-2</v>
      </c>
    </row>
    <row r="49" spans="1:26" s="24" customFormat="1" hidden="1" outlineLevel="2" x14ac:dyDescent="0.25">
      <c r="A49" s="28"/>
      <c r="B49" s="11" t="str">
        <f>CONCATENATE("          ", "6351", " - ", "EQUIPMENT RENTAL")</f>
        <v xml:space="preserve">          6351 - EQUIPMENT RENTAL</v>
      </c>
      <c r="C49" s="11"/>
      <c r="D49" s="6">
        <v>56.69</v>
      </c>
      <c r="E49" s="2"/>
      <c r="F49" s="7">
        <f t="shared" si="36"/>
        <v>5.8497949321314406E-4</v>
      </c>
      <c r="G49" s="2"/>
      <c r="H49" s="6">
        <v>123.88</v>
      </c>
      <c r="I49" s="2"/>
      <c r="J49" s="7">
        <f t="shared" si="37"/>
        <v>1.3396397766171216E-3</v>
      </c>
      <c r="K49" s="2"/>
      <c r="L49" s="6">
        <f t="shared" si="38"/>
        <v>-67.19</v>
      </c>
      <c r="M49" s="2"/>
      <c r="N49" s="7">
        <f t="shared" si="39"/>
        <v>-0.54237972231191478</v>
      </c>
      <c r="O49" s="11"/>
      <c r="P49" s="6">
        <v>349.21</v>
      </c>
      <c r="Q49" s="2"/>
      <c r="R49" s="7">
        <f t="shared" si="40"/>
        <v>2.4434453411961692E-3</v>
      </c>
      <c r="S49" s="2"/>
      <c r="T49" s="6">
        <v>355.43</v>
      </c>
      <c r="U49" s="2"/>
      <c r="V49" s="7">
        <f t="shared" si="41"/>
        <v>2.5717061243839536E-3</v>
      </c>
      <c r="W49" s="2"/>
      <c r="X49" s="6">
        <f t="shared" si="42"/>
        <v>-6.2200000000000273</v>
      </c>
      <c r="Y49" s="2"/>
      <c r="Z49" s="7">
        <f t="shared" si="43"/>
        <v>-1.7499929662662204E-2</v>
      </c>
    </row>
    <row r="50" spans="1:26" s="29" customFormat="1" outlineLevel="1" collapsed="1" x14ac:dyDescent="0.25">
      <c r="A50" s="27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SUM(OSRRefD22_7x_0)</f>
        <v>68.680000000000007</v>
      </c>
      <c r="E50" s="1"/>
      <c r="F50" s="5">
        <f t="shared" si="36"/>
        <v>7.0870332675743056E-4</v>
      </c>
      <c r="G50" s="1"/>
      <c r="H50" s="1">
        <f>SUM(OSRRefH22_7x_0)</f>
        <v>64.52</v>
      </c>
      <c r="I50" s="1"/>
      <c r="J50" s="5">
        <f t="shared" si="37"/>
        <v>6.9772003864495234E-4</v>
      </c>
      <c r="K50" s="1"/>
      <c r="L50" s="1">
        <f t="shared" si="38"/>
        <v>4.1600000000000108</v>
      </c>
      <c r="M50" s="1"/>
      <c r="N50" s="5">
        <f t="shared" si="39"/>
        <v>6.4476131432114239E-2</v>
      </c>
      <c r="O50" s="14"/>
      <c r="P50" s="1">
        <f>SUM(OSRRefP22_7x_0)</f>
        <v>819.73</v>
      </c>
      <c r="Q50" s="1"/>
      <c r="R50" s="5">
        <f t="shared" si="40"/>
        <v>5.7357047322205441E-3</v>
      </c>
      <c r="S50" s="1"/>
      <c r="T50" s="1">
        <f>SUM(OSRRefT22_7x_0)</f>
        <v>768.72</v>
      </c>
      <c r="U50" s="1"/>
      <c r="V50" s="5">
        <f t="shared" si="41"/>
        <v>5.5620570349616885E-3</v>
      </c>
      <c r="W50" s="1"/>
      <c r="X50" s="1">
        <f t="shared" si="42"/>
        <v>51.009999999999991</v>
      </c>
      <c r="Y50" s="1"/>
      <c r="Z50" s="5">
        <f t="shared" si="43"/>
        <v>6.6357061088562791E-2</v>
      </c>
    </row>
    <row r="51" spans="1:26" s="24" customFormat="1" hidden="1" outlineLevel="2" x14ac:dyDescent="0.25">
      <c r="A51" s="28"/>
      <c r="B51" s="11" t="str">
        <f>CONCATENATE("          ", "6279", " - ", "GENERAL EXPENSE")</f>
        <v xml:space="preserve">          6279 - GENERAL EXPENSE</v>
      </c>
      <c r="C51" s="11"/>
      <c r="D51" s="6">
        <v>68.680000000000007</v>
      </c>
      <c r="E51" s="2"/>
      <c r="F51" s="7">
        <f t="shared" si="36"/>
        <v>7.0870332675743056E-4</v>
      </c>
      <c r="G51" s="2"/>
      <c r="H51" s="6">
        <v>64.52</v>
      </c>
      <c r="I51" s="2"/>
      <c r="J51" s="7">
        <f t="shared" si="37"/>
        <v>6.9772003864495234E-4</v>
      </c>
      <c r="K51" s="2"/>
      <c r="L51" s="6">
        <f t="shared" si="38"/>
        <v>4.1600000000000108</v>
      </c>
      <c r="M51" s="2"/>
      <c r="N51" s="7">
        <f t="shared" si="39"/>
        <v>6.4476131432114239E-2</v>
      </c>
      <c r="O51" s="11"/>
      <c r="P51" s="6">
        <v>819.73</v>
      </c>
      <c r="Q51" s="2"/>
      <c r="R51" s="7">
        <f t="shared" si="40"/>
        <v>5.7357047322205441E-3</v>
      </c>
      <c r="S51" s="2"/>
      <c r="T51" s="6">
        <v>768.72</v>
      </c>
      <c r="U51" s="2"/>
      <c r="V51" s="7">
        <f t="shared" si="41"/>
        <v>5.5620570349616885E-3</v>
      </c>
      <c r="W51" s="2"/>
      <c r="X51" s="6">
        <f t="shared" si="42"/>
        <v>51.009999999999991</v>
      </c>
      <c r="Y51" s="2"/>
      <c r="Z51" s="7">
        <f t="shared" si="43"/>
        <v>6.6357061088562791E-2</v>
      </c>
    </row>
    <row r="52" spans="1:26" s="29" customFormat="1" outlineLevel="1" collapsed="1" x14ac:dyDescent="0.25">
      <c r="A52" s="27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SUM(OSRRefD22_8x_0)</f>
        <v>243.54</v>
      </c>
      <c r="E52" s="1"/>
      <c r="F52" s="5">
        <f t="shared" si="36"/>
        <v>2.5130694263032121E-3</v>
      </c>
      <c r="G52" s="1"/>
      <c r="H52" s="1">
        <f>SUM(OSRRefH22_8x_0)</f>
        <v>229.44</v>
      </c>
      <c r="I52" s="1"/>
      <c r="J52" s="5">
        <f t="shared" si="37"/>
        <v>2.4811668578223474E-3</v>
      </c>
      <c r="K52" s="1"/>
      <c r="L52" s="1">
        <f t="shared" si="38"/>
        <v>14.099999999999994</v>
      </c>
      <c r="M52" s="1"/>
      <c r="N52" s="5">
        <f t="shared" si="39"/>
        <v>6.1453974895397466E-2</v>
      </c>
      <c r="O52" s="14"/>
      <c r="P52" s="1">
        <f>SUM(OSRRefP22_8x_0)</f>
        <v>730.62</v>
      </c>
      <c r="Q52" s="1"/>
      <c r="R52" s="5">
        <f t="shared" si="40"/>
        <v>5.1121962005233109E-3</v>
      </c>
      <c r="S52" s="1"/>
      <c r="T52" s="1">
        <f>SUM(OSRRefT22_8x_0)</f>
        <v>688.32</v>
      </c>
      <c r="U52" s="1"/>
      <c r="V52" s="5">
        <f t="shared" si="41"/>
        <v>4.9803245633063134E-3</v>
      </c>
      <c r="W52" s="1"/>
      <c r="X52" s="1">
        <f t="shared" si="42"/>
        <v>42.299999999999955</v>
      </c>
      <c r="Y52" s="1"/>
      <c r="Z52" s="5">
        <f t="shared" si="43"/>
        <v>6.1453974895397417E-2</v>
      </c>
    </row>
    <row r="53" spans="1:26" s="24" customFormat="1" hidden="1" outlineLevel="2" x14ac:dyDescent="0.25">
      <c r="A53" s="28"/>
      <c r="B53" s="11" t="str">
        <f>CONCATENATE("          ", "6314", " - ", "LIABILITY INSURANCE")</f>
        <v xml:space="preserve">          6314 - LIABILITY INSURANCE</v>
      </c>
      <c r="C53" s="11"/>
      <c r="D53" s="6">
        <v>243.54</v>
      </c>
      <c r="E53" s="2"/>
      <c r="F53" s="7">
        <f t="shared" si="36"/>
        <v>2.5130694263032121E-3</v>
      </c>
      <c r="G53" s="2"/>
      <c r="H53" s="6">
        <v>229.44</v>
      </c>
      <c r="I53" s="2"/>
      <c r="J53" s="7">
        <f t="shared" si="37"/>
        <v>2.4811668578223474E-3</v>
      </c>
      <c r="K53" s="2"/>
      <c r="L53" s="6">
        <f t="shared" si="38"/>
        <v>14.099999999999994</v>
      </c>
      <c r="M53" s="2"/>
      <c r="N53" s="7">
        <f t="shared" si="39"/>
        <v>6.1453974895397466E-2</v>
      </c>
      <c r="O53" s="11"/>
      <c r="P53" s="6">
        <v>730.62</v>
      </c>
      <c r="Q53" s="2"/>
      <c r="R53" s="7">
        <f t="shared" si="40"/>
        <v>5.1121962005233109E-3</v>
      </c>
      <c r="S53" s="2"/>
      <c r="T53" s="6">
        <v>688.32</v>
      </c>
      <c r="U53" s="2"/>
      <c r="V53" s="7">
        <f t="shared" si="41"/>
        <v>4.9803245633063134E-3</v>
      </c>
      <c r="W53" s="2"/>
      <c r="X53" s="6">
        <f t="shared" si="42"/>
        <v>42.299999999999955</v>
      </c>
      <c r="Y53" s="2"/>
      <c r="Z53" s="7">
        <f t="shared" si="43"/>
        <v>6.1453974895397417E-2</v>
      </c>
    </row>
    <row r="54" spans="1:26" s="29" customFormat="1" outlineLevel="1" collapsed="1" x14ac:dyDescent="0.25">
      <c r="A54" s="27"/>
      <c r="B54" s="14" t="str">
        <f>CONCATENATE("     ","Interest                                          ")</f>
        <v xml:space="preserve">     Interest                                          </v>
      </c>
      <c r="C54" s="14"/>
      <c r="D54" s="1">
        <f>SUM(OSRRefD22_9x_0)</f>
        <v>4110</v>
      </c>
      <c r="E54" s="1"/>
      <c r="F54" s="5">
        <f t="shared" si="36"/>
        <v>4.2410755284988923E-2</v>
      </c>
      <c r="G54" s="1"/>
      <c r="H54" s="1">
        <f>SUM(OSRRefH22_9x_0)</f>
        <v>4280</v>
      </c>
      <c r="I54" s="1"/>
      <c r="J54" s="5">
        <f t="shared" si="37"/>
        <v>4.6283970325486611E-2</v>
      </c>
      <c r="K54" s="1"/>
      <c r="L54" s="1">
        <f t="shared" si="38"/>
        <v>-170</v>
      </c>
      <c r="M54" s="1"/>
      <c r="N54" s="5">
        <f t="shared" si="39"/>
        <v>-3.9719626168224297E-2</v>
      </c>
      <c r="O54" s="14"/>
      <c r="P54" s="1">
        <f>SUM(OSRRefP22_9x_0)</f>
        <v>12330</v>
      </c>
      <c r="Q54" s="1"/>
      <c r="R54" s="5">
        <f t="shared" si="40"/>
        <v>8.6273821073132986E-2</v>
      </c>
      <c r="S54" s="1"/>
      <c r="T54" s="1">
        <f>SUM(OSRRefT22_9x_0)</f>
        <v>12840</v>
      </c>
      <c r="U54" s="1"/>
      <c r="V54" s="5">
        <f t="shared" si="41"/>
        <v>9.2903543980783737E-2</v>
      </c>
      <c r="W54" s="1"/>
      <c r="X54" s="1">
        <f t="shared" si="42"/>
        <v>-510</v>
      </c>
      <c r="Y54" s="1"/>
      <c r="Z54" s="5">
        <f t="shared" si="43"/>
        <v>-3.9719626168224297E-2</v>
      </c>
    </row>
    <row r="55" spans="1:26" s="24" customFormat="1" hidden="1" outlineLevel="2" x14ac:dyDescent="0.25">
      <c r="A55" s="28"/>
      <c r="B55" s="11" t="str">
        <f>CONCATENATE("          ", "6401", " - ", "INTEREST EXPENSE")</f>
        <v xml:space="preserve">          6401 - INTEREST EXPENSE</v>
      </c>
      <c r="C55" s="11"/>
      <c r="D55" s="6">
        <v>4110</v>
      </c>
      <c r="E55" s="2"/>
      <c r="F55" s="7">
        <f t="shared" si="36"/>
        <v>4.2410755284988923E-2</v>
      </c>
      <c r="G55" s="2"/>
      <c r="H55" s="6">
        <v>4280</v>
      </c>
      <c r="I55" s="2"/>
      <c r="J55" s="7">
        <f t="shared" si="37"/>
        <v>4.6283970325486611E-2</v>
      </c>
      <c r="K55" s="2"/>
      <c r="L55" s="6">
        <f t="shared" si="38"/>
        <v>-170</v>
      </c>
      <c r="M55" s="2"/>
      <c r="N55" s="7">
        <f t="shared" si="39"/>
        <v>-3.9719626168224297E-2</v>
      </c>
      <c r="O55" s="11"/>
      <c r="P55" s="6">
        <v>12330</v>
      </c>
      <c r="Q55" s="2"/>
      <c r="R55" s="7">
        <f t="shared" si="40"/>
        <v>8.6273821073132986E-2</v>
      </c>
      <c r="S55" s="2"/>
      <c r="T55" s="6">
        <v>12840</v>
      </c>
      <c r="U55" s="2"/>
      <c r="V55" s="7">
        <f t="shared" si="41"/>
        <v>9.2903543980783737E-2</v>
      </c>
      <c r="W55" s="2"/>
      <c r="X55" s="6">
        <f t="shared" si="42"/>
        <v>-510</v>
      </c>
      <c r="Y55" s="2"/>
      <c r="Z55" s="7">
        <f t="shared" si="43"/>
        <v>-3.9719626168224297E-2</v>
      </c>
    </row>
    <row r="56" spans="1:26" s="29" customFormat="1" outlineLevel="1" collapsed="1" x14ac:dyDescent="0.25">
      <c r="A56" s="27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SUM(OSRRefD22_10x_0)</f>
        <v>446.11</v>
      </c>
      <c r="E56" s="1"/>
      <c r="F56" s="5">
        <f t="shared" si="36"/>
        <v>4.6033727591694423E-3</v>
      </c>
      <c r="G56" s="1"/>
      <c r="H56" s="1">
        <f>SUM(OSRRefH22_10x_0)</f>
        <v>101.2</v>
      </c>
      <c r="I56" s="1"/>
      <c r="J56" s="5">
        <f t="shared" si="37"/>
        <v>1.0943779899390759E-3</v>
      </c>
      <c r="K56" s="1"/>
      <c r="L56" s="1">
        <f t="shared" si="38"/>
        <v>344.91</v>
      </c>
      <c r="M56" s="1"/>
      <c r="N56" s="5">
        <f t="shared" si="39"/>
        <v>3.4082015810276682</v>
      </c>
      <c r="O56" s="14"/>
      <c r="P56" s="1">
        <f>SUM(OSRRefP22_10x_0)</f>
        <v>521.38</v>
      </c>
      <c r="Q56" s="1"/>
      <c r="R56" s="5">
        <f t="shared" si="40"/>
        <v>3.6481301566188224E-3</v>
      </c>
      <c r="S56" s="1"/>
      <c r="T56" s="1">
        <f>SUM(OSRRefT22_10x_0)</f>
        <v>379.57</v>
      </c>
      <c r="U56" s="1"/>
      <c r="V56" s="5">
        <f t="shared" si="41"/>
        <v>2.7463705754506296E-3</v>
      </c>
      <c r="W56" s="1"/>
      <c r="X56" s="1">
        <f t="shared" si="42"/>
        <v>141.81</v>
      </c>
      <c r="Y56" s="1"/>
      <c r="Z56" s="5">
        <f t="shared" si="43"/>
        <v>0.37360697631530415</v>
      </c>
    </row>
    <row r="57" spans="1:26" s="24" customFormat="1" hidden="1" outlineLevel="2" x14ac:dyDescent="0.25">
      <c r="A57" s="28"/>
      <c r="B57" s="11" t="str">
        <f>CONCATENATE("          ", "6371", " - ", "COMPUTER SOFTWARE MAINTENANCE")</f>
        <v xml:space="preserve">          6371 - COMPUTER SOFTWARE MAINTENANCE</v>
      </c>
      <c r="C57" s="11"/>
      <c r="D57" s="6">
        <v>437.31</v>
      </c>
      <c r="E57" s="2"/>
      <c r="F57" s="7">
        <f t="shared" si="36"/>
        <v>4.5125662758341862E-3</v>
      </c>
      <c r="G57" s="2"/>
      <c r="H57" s="6"/>
      <c r="I57" s="2"/>
      <c r="J57" s="7">
        <f t="shared" si="37"/>
        <v>0</v>
      </c>
      <c r="K57" s="2"/>
      <c r="L57" s="6">
        <f t="shared" si="38"/>
        <v>437.31</v>
      </c>
      <c r="M57" s="2"/>
      <c r="N57" s="7">
        <f t="shared" si="39"/>
        <v>0</v>
      </c>
      <c r="O57" s="11"/>
      <c r="P57" s="6">
        <v>437.31</v>
      </c>
      <c r="Q57" s="2"/>
      <c r="R57" s="7">
        <f t="shared" si="40"/>
        <v>3.059886836455133E-3</v>
      </c>
      <c r="S57" s="2"/>
      <c r="T57" s="6"/>
      <c r="U57" s="2"/>
      <c r="V57" s="7">
        <f t="shared" si="41"/>
        <v>0</v>
      </c>
      <c r="W57" s="2"/>
      <c r="X57" s="6">
        <f t="shared" si="42"/>
        <v>437.31</v>
      </c>
      <c r="Y57" s="2"/>
      <c r="Z57" s="7">
        <f t="shared" si="43"/>
        <v>0</v>
      </c>
    </row>
    <row r="58" spans="1:26" s="24" customFormat="1" hidden="1" outlineLevel="2" x14ac:dyDescent="0.25">
      <c r="A58" s="28"/>
      <c r="B58" s="11" t="str">
        <f>CONCATENATE("          ", "6373", " - ", "MAINTENANCE CONTRACTS")</f>
        <v xml:space="preserve">          6373 - MAINTENANCE CONTRACTS</v>
      </c>
      <c r="C58" s="11"/>
      <c r="D58" s="6"/>
      <c r="E58" s="2"/>
      <c r="F58" s="7">
        <f t="shared" si="36"/>
        <v>0</v>
      </c>
      <c r="G58" s="2"/>
      <c r="H58" s="6">
        <v>101.2</v>
      </c>
      <c r="I58" s="2"/>
      <c r="J58" s="7">
        <f t="shared" si="37"/>
        <v>1.0943779899390759E-3</v>
      </c>
      <c r="K58" s="2"/>
      <c r="L58" s="6">
        <f t="shared" si="38"/>
        <v>-101.2</v>
      </c>
      <c r="M58" s="2"/>
      <c r="N58" s="7">
        <f t="shared" si="39"/>
        <v>-1</v>
      </c>
      <c r="O58" s="11"/>
      <c r="P58" s="6"/>
      <c r="Q58" s="2"/>
      <c r="R58" s="7">
        <f t="shared" si="40"/>
        <v>0</v>
      </c>
      <c r="S58" s="2"/>
      <c r="T58" s="6">
        <v>101.2</v>
      </c>
      <c r="U58" s="2"/>
      <c r="V58" s="7">
        <f t="shared" si="41"/>
        <v>7.3223042452144193E-4</v>
      </c>
      <c r="W58" s="2"/>
      <c r="X58" s="6">
        <f t="shared" si="42"/>
        <v>-101.2</v>
      </c>
      <c r="Y58" s="2"/>
      <c r="Z58" s="7">
        <f t="shared" si="43"/>
        <v>-1</v>
      </c>
    </row>
    <row r="59" spans="1:26" s="24" customFormat="1" hidden="1" outlineLevel="2" x14ac:dyDescent="0.25">
      <c r="A59" s="28"/>
      <c r="B59" s="11" t="str">
        <f>CONCATENATE("          ", "6375", " - ", "OUTSIDE REPAIRS &amp; MAINTENANCE")</f>
        <v xml:space="preserve">          6375 - OUTSIDE REPAIRS &amp; MAINTENANCE</v>
      </c>
      <c r="C59" s="11"/>
      <c r="D59" s="6">
        <v>8.8000000000000007</v>
      </c>
      <c r="E59" s="2"/>
      <c r="F59" s="7">
        <f t="shared" si="36"/>
        <v>9.0806483335256093E-5</v>
      </c>
      <c r="G59" s="2"/>
      <c r="H59" s="6"/>
      <c r="I59" s="2"/>
      <c r="J59" s="7">
        <f t="shared" si="37"/>
        <v>0</v>
      </c>
      <c r="K59" s="2"/>
      <c r="L59" s="6">
        <f t="shared" si="38"/>
        <v>8.8000000000000007</v>
      </c>
      <c r="M59" s="2"/>
      <c r="N59" s="7">
        <f t="shared" si="39"/>
        <v>0</v>
      </c>
      <c r="O59" s="11"/>
      <c r="P59" s="6">
        <v>84.07</v>
      </c>
      <c r="Q59" s="2"/>
      <c r="R59" s="7">
        <f t="shared" si="40"/>
        <v>5.8824332016368941E-4</v>
      </c>
      <c r="S59" s="2"/>
      <c r="T59" s="6">
        <v>278.37</v>
      </c>
      <c r="U59" s="2"/>
      <c r="V59" s="7">
        <f t="shared" si="41"/>
        <v>2.0141401509291878E-3</v>
      </c>
      <c r="W59" s="2"/>
      <c r="X59" s="6">
        <f t="shared" si="42"/>
        <v>-194.3</v>
      </c>
      <c r="Y59" s="2"/>
      <c r="Z59" s="7">
        <f t="shared" si="43"/>
        <v>-0.6979918813090491</v>
      </c>
    </row>
    <row r="60" spans="1:26" s="29" customFormat="1" outlineLevel="1" collapsed="1" x14ac:dyDescent="0.25">
      <c r="A60" s="27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SUM(OSRRefD22_11x_0)</f>
        <v>340.88</v>
      </c>
      <c r="E60" s="1"/>
      <c r="F60" s="5">
        <f t="shared" ref="F60:F63" si="44">IF(D$12=0,0,D60/D$12)</f>
        <v>3.5175129590138744E-3</v>
      </c>
      <c r="G60" s="1"/>
      <c r="H60" s="1">
        <f>SUM(OSRRefH22_11x_0)</f>
        <v>696.33</v>
      </c>
      <c r="I60" s="1"/>
      <c r="J60" s="5">
        <f t="shared" ref="J60:J63" si="45">IF(H$12=0,0,H60/H$12)</f>
        <v>7.5301208076509561E-3</v>
      </c>
      <c r="K60" s="1"/>
      <c r="L60" s="1">
        <f t="shared" ref="L60:L63" si="46">+D60-H60</f>
        <v>-355.45000000000005</v>
      </c>
      <c r="M60" s="1"/>
      <c r="N60" s="5">
        <f t="shared" ref="N60:N63" si="47">IF(H60=0,0,L60/H60)</f>
        <v>-0.51046199359499089</v>
      </c>
      <c r="O60" s="14"/>
      <c r="P60" s="1">
        <f>SUM(OSRRefP22_11x_0)</f>
        <v>1076.98</v>
      </c>
      <c r="Q60" s="1"/>
      <c r="R60" s="5">
        <f t="shared" ref="R60:R63" si="48">IF(P$12=0,0,P60/P$12)</f>
        <v>7.5356999042451552E-3</v>
      </c>
      <c r="S60" s="1"/>
      <c r="T60" s="1">
        <f>SUM(OSRRefT22_11x_0)</f>
        <v>1535.78</v>
      </c>
      <c r="U60" s="1"/>
      <c r="V60" s="5">
        <f t="shared" ref="V60:V63" si="49">IF(T$12=0,0,T60/T$12)</f>
        <v>1.1112103175608103E-2</v>
      </c>
      <c r="W60" s="1"/>
      <c r="X60" s="1">
        <f t="shared" ref="X60:X63" si="50">+P60-T60</f>
        <v>-458.79999999999995</v>
      </c>
      <c r="Y60" s="1"/>
      <c r="Z60" s="5">
        <f t="shared" ref="Z60:Z63" si="51">IF(T60=0,0,X60/T60)</f>
        <v>-0.29874070504890021</v>
      </c>
    </row>
    <row r="61" spans="1:26" s="24" customFormat="1" hidden="1" outlineLevel="2" x14ac:dyDescent="0.25">
      <c r="A61" s="28"/>
      <c r="B61" s="11" t="str">
        <f>CONCATENATE("          ", "6282", " - ", "JANITORIAL/EXTERMINATOR EXPENS")</f>
        <v xml:space="preserve">          6282 - JANITORIAL/EXTERMINATOR EXPENS</v>
      </c>
      <c r="C61" s="11"/>
      <c r="D61" s="6"/>
      <c r="E61" s="2"/>
      <c r="F61" s="7">
        <f t="shared" si="44"/>
        <v>0</v>
      </c>
      <c r="G61" s="2"/>
      <c r="H61" s="6">
        <v>157.35</v>
      </c>
      <c r="I61" s="2"/>
      <c r="J61" s="7">
        <f t="shared" si="45"/>
        <v>1.7015847501671304E-3</v>
      </c>
      <c r="K61" s="2"/>
      <c r="L61" s="6">
        <f t="shared" si="46"/>
        <v>-157.35</v>
      </c>
      <c r="M61" s="2"/>
      <c r="N61" s="7">
        <f t="shared" si="47"/>
        <v>-1</v>
      </c>
      <c r="O61" s="11"/>
      <c r="P61" s="6">
        <v>314.7</v>
      </c>
      <c r="Q61" s="2"/>
      <c r="R61" s="7">
        <f t="shared" si="48"/>
        <v>2.2019766011123236E-3</v>
      </c>
      <c r="S61" s="2"/>
      <c r="T61" s="6">
        <v>472.05</v>
      </c>
      <c r="U61" s="2"/>
      <c r="V61" s="7">
        <f t="shared" si="49"/>
        <v>3.4155076274243741E-3</v>
      </c>
      <c r="W61" s="2"/>
      <c r="X61" s="6">
        <f t="shared" si="50"/>
        <v>-157.35000000000002</v>
      </c>
      <c r="Y61" s="2"/>
      <c r="Z61" s="7">
        <f t="shared" si="51"/>
        <v>-0.33333333333333337</v>
      </c>
    </row>
    <row r="62" spans="1:26" s="24" customFormat="1" hidden="1" outlineLevel="2" x14ac:dyDescent="0.25">
      <c r="A62" s="28"/>
      <c r="B62" s="11" t="str">
        <f>CONCATENATE("          ", "6284", " - ", "TRASH REMOVAL EXPENSE")</f>
        <v xml:space="preserve">          6284 - TRASH REMOVAL EXPENSE</v>
      </c>
      <c r="C62" s="11"/>
      <c r="D62" s="6">
        <v>237</v>
      </c>
      <c r="E62" s="2"/>
      <c r="F62" s="7">
        <f t="shared" si="44"/>
        <v>2.4455836989154198E-3</v>
      </c>
      <c r="G62" s="2"/>
      <c r="H62" s="6">
        <v>351</v>
      </c>
      <c r="I62" s="2"/>
      <c r="J62" s="7">
        <f t="shared" si="45"/>
        <v>3.7957181271602337E-3</v>
      </c>
      <c r="K62" s="2"/>
      <c r="L62" s="6">
        <f t="shared" si="46"/>
        <v>-114</v>
      </c>
      <c r="M62" s="2"/>
      <c r="N62" s="7">
        <f t="shared" si="47"/>
        <v>-0.3247863247863248</v>
      </c>
      <c r="O62" s="11"/>
      <c r="P62" s="6">
        <v>474</v>
      </c>
      <c r="Q62" s="2"/>
      <c r="R62" s="7">
        <f t="shared" si="48"/>
        <v>3.3166091799403923E-3</v>
      </c>
      <c r="S62" s="2"/>
      <c r="T62" s="6">
        <v>711</v>
      </c>
      <c r="U62" s="2"/>
      <c r="V62" s="7">
        <f t="shared" si="49"/>
        <v>5.1444252157583515E-3</v>
      </c>
      <c r="W62" s="2"/>
      <c r="X62" s="6">
        <f t="shared" si="50"/>
        <v>-237</v>
      </c>
      <c r="Y62" s="2"/>
      <c r="Z62" s="7">
        <f t="shared" si="51"/>
        <v>-0.33333333333333331</v>
      </c>
    </row>
    <row r="63" spans="1:26" s="24" customFormat="1" hidden="1" outlineLevel="2" x14ac:dyDescent="0.25">
      <c r="A63" s="28"/>
      <c r="B63" s="11" t="str">
        <f>CONCATENATE("          ", "6286", " - ", "LAUNDRY EXPENSE")</f>
        <v xml:space="preserve">          6286 - LAUNDRY EXPENSE</v>
      </c>
      <c r="C63" s="11"/>
      <c r="D63" s="6">
        <v>103.88</v>
      </c>
      <c r="E63" s="2"/>
      <c r="F63" s="7">
        <f t="shared" si="44"/>
        <v>1.0719292600984548E-3</v>
      </c>
      <c r="G63" s="2"/>
      <c r="H63" s="6">
        <v>187.98</v>
      </c>
      <c r="I63" s="2"/>
      <c r="J63" s="7">
        <f t="shared" si="45"/>
        <v>2.0328179303235917E-3</v>
      </c>
      <c r="K63" s="2"/>
      <c r="L63" s="6">
        <f t="shared" si="46"/>
        <v>-84.1</v>
      </c>
      <c r="M63" s="2"/>
      <c r="N63" s="7">
        <f t="shared" si="47"/>
        <v>-0.44738802000212791</v>
      </c>
      <c r="O63" s="11"/>
      <c r="P63" s="6">
        <v>288.27999999999997</v>
      </c>
      <c r="Q63" s="2"/>
      <c r="R63" s="7">
        <f t="shared" si="48"/>
        <v>2.0171141231924393E-3</v>
      </c>
      <c r="S63" s="2"/>
      <c r="T63" s="6">
        <v>352.73</v>
      </c>
      <c r="U63" s="2"/>
      <c r="V63" s="7">
        <f t="shared" si="49"/>
        <v>2.5521703324253775E-3</v>
      </c>
      <c r="W63" s="2"/>
      <c r="X63" s="6">
        <f t="shared" si="50"/>
        <v>-64.450000000000045</v>
      </c>
      <c r="Y63" s="2"/>
      <c r="Z63" s="7">
        <f t="shared" si="51"/>
        <v>-0.18271765939954085</v>
      </c>
    </row>
    <row r="64" spans="1:26" s="29" customFormat="1" outlineLevel="1" collapsed="1" x14ac:dyDescent="0.25">
      <c r="A64" s="27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1">
        <f>SUM(OSRRefD22_12x_0)</f>
        <v>176.4</v>
      </c>
      <c r="E64" s="1"/>
      <c r="F64" s="5">
        <f t="shared" ref="F64:F72" si="52">IF(D$12=0,0,D64/D$12)</f>
        <v>1.8202572341294515E-3</v>
      </c>
      <c r="G64" s="1"/>
      <c r="H64" s="1">
        <f>SUM(OSRRefH22_12x_0)</f>
        <v>0</v>
      </c>
      <c r="I64" s="1"/>
      <c r="J64" s="5">
        <f t="shared" ref="J64:J72" si="53">IF(H$12=0,0,H64/H$12)</f>
        <v>0</v>
      </c>
      <c r="K64" s="1"/>
      <c r="L64" s="1">
        <f t="shared" ref="L64:L72" si="54">+D64-H64</f>
        <v>176.4</v>
      </c>
      <c r="M64" s="1"/>
      <c r="N64" s="5">
        <f t="shared" ref="N64:N72" si="55">IF(H64=0,0,L64/H64)</f>
        <v>0</v>
      </c>
      <c r="O64" s="14"/>
      <c r="P64" s="1">
        <f>SUM(OSRRefP22_12x_0)</f>
        <v>529.20000000000005</v>
      </c>
      <c r="Q64" s="1"/>
      <c r="R64" s="5">
        <f t="shared" ref="R64:R72" si="56">IF(P$12=0,0,P64/P$12)</f>
        <v>3.7028472110220583E-3</v>
      </c>
      <c r="S64" s="1"/>
      <c r="T64" s="1">
        <f>SUM(OSRRefT22_12x_0)</f>
        <v>0</v>
      </c>
      <c r="U64" s="1"/>
      <c r="V64" s="5">
        <f t="shared" ref="V64:V72" si="57">IF(T$12=0,0,T64/T$12)</f>
        <v>0</v>
      </c>
      <c r="W64" s="1"/>
      <c r="X64" s="1">
        <f t="shared" ref="X64:X72" si="58">+P64-T64</f>
        <v>529.20000000000005</v>
      </c>
      <c r="Y64" s="1"/>
      <c r="Z64" s="5">
        <f t="shared" ref="Z64:Z72" si="59">IF(T64=0,0,X64/T64)</f>
        <v>0</v>
      </c>
    </row>
    <row r="65" spans="1:26" s="24" customFormat="1" hidden="1" outlineLevel="2" x14ac:dyDescent="0.25">
      <c r="A65" s="28"/>
      <c r="B65" s="11" t="str">
        <f>CONCATENATE("          ", "6275", " - ", "SUBSCRIPTIONS")</f>
        <v xml:space="preserve">          6275 - SUBSCRIPTIONS</v>
      </c>
      <c r="C65" s="11"/>
      <c r="D65" s="6">
        <v>176.4</v>
      </c>
      <c r="E65" s="2"/>
      <c r="F65" s="7">
        <f t="shared" si="52"/>
        <v>1.8202572341294515E-3</v>
      </c>
      <c r="G65" s="2"/>
      <c r="H65" s="6"/>
      <c r="I65" s="2"/>
      <c r="J65" s="7">
        <f t="shared" si="53"/>
        <v>0</v>
      </c>
      <c r="K65" s="2"/>
      <c r="L65" s="6">
        <f t="shared" si="54"/>
        <v>176.4</v>
      </c>
      <c r="M65" s="2"/>
      <c r="N65" s="7">
        <f t="shared" si="55"/>
        <v>0</v>
      </c>
      <c r="O65" s="11"/>
      <c r="P65" s="6">
        <v>529.20000000000005</v>
      </c>
      <c r="Q65" s="2"/>
      <c r="R65" s="7">
        <f t="shared" si="56"/>
        <v>3.7028472110220583E-3</v>
      </c>
      <c r="S65" s="2"/>
      <c r="T65" s="6"/>
      <c r="U65" s="2"/>
      <c r="V65" s="7">
        <f t="shared" si="57"/>
        <v>0</v>
      </c>
      <c r="W65" s="2"/>
      <c r="X65" s="6">
        <f t="shared" si="58"/>
        <v>529.20000000000005</v>
      </c>
      <c r="Y65" s="2"/>
      <c r="Z65" s="7">
        <f t="shared" si="59"/>
        <v>0</v>
      </c>
    </row>
    <row r="66" spans="1:26" s="29" customFormat="1" outlineLevel="1" collapsed="1" x14ac:dyDescent="0.25">
      <c r="A66" s="27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SUM(OSRRefD22_13x_0)</f>
        <v>5687.8799999999992</v>
      </c>
      <c r="E66" s="1"/>
      <c r="F66" s="5">
        <f t="shared" si="52"/>
        <v>5.8692770503742761E-2</v>
      </c>
      <c r="G66" s="1"/>
      <c r="H66" s="1">
        <f>SUM(OSRRefH22_13x_0)</f>
        <v>1563.9499999999998</v>
      </c>
      <c r="I66" s="1"/>
      <c r="J66" s="5">
        <f t="shared" si="53"/>
        <v>1.691257368937962E-2</v>
      </c>
      <c r="K66" s="1"/>
      <c r="L66" s="1">
        <f t="shared" si="54"/>
        <v>4123.9299999999994</v>
      </c>
      <c r="M66" s="1"/>
      <c r="N66" s="5">
        <f t="shared" si="55"/>
        <v>2.6368681863230923</v>
      </c>
      <c r="O66" s="14"/>
      <c r="P66" s="1">
        <f>SUM(OSRRefP22_13x_0)</f>
        <v>6937.05</v>
      </c>
      <c r="Q66" s="1"/>
      <c r="R66" s="5">
        <f t="shared" si="56"/>
        <v>4.853899517237447E-2</v>
      </c>
      <c r="S66" s="1"/>
      <c r="T66" s="1">
        <f>SUM(OSRRefT22_13x_0)</f>
        <v>4632.99</v>
      </c>
      <c r="U66" s="1"/>
      <c r="V66" s="5">
        <f t="shared" si="57"/>
        <v>3.3521899550430778E-2</v>
      </c>
      <c r="W66" s="1"/>
      <c r="X66" s="1">
        <f t="shared" si="58"/>
        <v>2304.0600000000004</v>
      </c>
      <c r="Y66" s="1"/>
      <c r="Z66" s="5">
        <f t="shared" si="59"/>
        <v>0.49731598816315176</v>
      </c>
    </row>
    <row r="67" spans="1:26" s="24" customFormat="1" hidden="1" outlineLevel="2" x14ac:dyDescent="0.25">
      <c r="A67" s="28"/>
      <c r="B67" s="11" t="str">
        <f>CONCATENATE("          ", "6234", " - ", "EXPENDABLE SUPPLIES &amp; EQUIPMEN")</f>
        <v xml:space="preserve">          6234 - EXPENDABLE SUPPLIES &amp; EQUIPMEN</v>
      </c>
      <c r="C67" s="11"/>
      <c r="D67" s="6"/>
      <c r="E67" s="2"/>
      <c r="F67" s="7">
        <f t="shared" si="52"/>
        <v>0</v>
      </c>
      <c r="G67" s="2"/>
      <c r="H67" s="6">
        <v>777.26</v>
      </c>
      <c r="I67" s="2"/>
      <c r="J67" s="7">
        <f t="shared" si="53"/>
        <v>8.4052987792494673E-3</v>
      </c>
      <c r="K67" s="2"/>
      <c r="L67" s="6">
        <f t="shared" si="54"/>
        <v>-777.26</v>
      </c>
      <c r="M67" s="2"/>
      <c r="N67" s="7">
        <f t="shared" si="55"/>
        <v>-1</v>
      </c>
      <c r="O67" s="11"/>
      <c r="P67" s="6"/>
      <c r="Q67" s="2"/>
      <c r="R67" s="7">
        <f t="shared" si="56"/>
        <v>0</v>
      </c>
      <c r="S67" s="2"/>
      <c r="T67" s="6">
        <v>939.33</v>
      </c>
      <c r="U67" s="2"/>
      <c r="V67" s="7">
        <f t="shared" si="57"/>
        <v>6.7965020223885973E-3</v>
      </c>
      <c r="W67" s="2"/>
      <c r="X67" s="6">
        <f t="shared" si="58"/>
        <v>-939.33</v>
      </c>
      <c r="Y67" s="2"/>
      <c r="Z67" s="7">
        <f t="shared" si="59"/>
        <v>-1</v>
      </c>
    </row>
    <row r="68" spans="1:26" s="24" customFormat="1" hidden="1" outlineLevel="2" x14ac:dyDescent="0.25">
      <c r="A68" s="28"/>
      <c r="B68" s="11" t="str">
        <f>CONCATENATE("          ", "6237", " - ", "JANITORIAL SUPPLIES")</f>
        <v xml:space="preserve">          6237 - JANITORIAL SUPPLIES</v>
      </c>
      <c r="C68" s="11"/>
      <c r="D68" s="6">
        <v>16.05</v>
      </c>
      <c r="E68" s="2"/>
      <c r="F68" s="7">
        <f t="shared" si="52"/>
        <v>1.6561864290123412E-4</v>
      </c>
      <c r="G68" s="2"/>
      <c r="H68" s="6">
        <v>479.08</v>
      </c>
      <c r="I68" s="2"/>
      <c r="J68" s="7">
        <f t="shared" si="53"/>
        <v>5.1807767531621782E-3</v>
      </c>
      <c r="K68" s="2"/>
      <c r="L68" s="6">
        <f t="shared" si="54"/>
        <v>-463.03</v>
      </c>
      <c r="M68" s="2"/>
      <c r="N68" s="7">
        <f t="shared" si="55"/>
        <v>-0.96649828838607332</v>
      </c>
      <c r="O68" s="11"/>
      <c r="P68" s="6">
        <v>253.55</v>
      </c>
      <c r="Q68" s="2"/>
      <c r="R68" s="7">
        <f t="shared" si="56"/>
        <v>1.7741060286368914E-3</v>
      </c>
      <c r="S68" s="2"/>
      <c r="T68" s="6">
        <v>596.55999999999995</v>
      </c>
      <c r="U68" s="2"/>
      <c r="V68" s="7">
        <f t="shared" si="57"/>
        <v>4.3163970558548551E-3</v>
      </c>
      <c r="W68" s="2"/>
      <c r="X68" s="6">
        <f t="shared" si="58"/>
        <v>-343.00999999999993</v>
      </c>
      <c r="Y68" s="2"/>
      <c r="Z68" s="7">
        <f t="shared" si="59"/>
        <v>-0.57497988467212013</v>
      </c>
    </row>
    <row r="69" spans="1:26" s="24" customFormat="1" hidden="1" outlineLevel="2" x14ac:dyDescent="0.25">
      <c r="A69" s="28"/>
      <c r="B69" s="11" t="str">
        <f>CONCATENATE("          ", "6241", " - ", "OFFICE EXPENSE")</f>
        <v xml:space="preserve">          6241 - OFFICE EXPENSE</v>
      </c>
      <c r="C69" s="11"/>
      <c r="D69" s="6">
        <v>86.15</v>
      </c>
      <c r="E69" s="2"/>
      <c r="F69" s="7">
        <f t="shared" si="52"/>
        <v>8.8897483401503548E-4</v>
      </c>
      <c r="G69" s="2"/>
      <c r="H69" s="6">
        <v>59.4</v>
      </c>
      <c r="I69" s="2"/>
      <c r="J69" s="7">
        <f t="shared" si="53"/>
        <v>6.4235229844250108E-4</v>
      </c>
      <c r="K69" s="2"/>
      <c r="L69" s="6">
        <f t="shared" si="54"/>
        <v>26.750000000000007</v>
      </c>
      <c r="M69" s="2"/>
      <c r="N69" s="7">
        <f t="shared" si="55"/>
        <v>0.45033670033670048</v>
      </c>
      <c r="O69" s="11"/>
      <c r="P69" s="6">
        <v>292.58</v>
      </c>
      <c r="Q69" s="2"/>
      <c r="R69" s="7">
        <f t="shared" si="56"/>
        <v>2.0472015060484386E-3</v>
      </c>
      <c r="S69" s="2"/>
      <c r="T69" s="6">
        <v>1908.15</v>
      </c>
      <c r="U69" s="2"/>
      <c r="V69" s="7">
        <f t="shared" si="57"/>
        <v>1.3806378305835865E-2</v>
      </c>
      <c r="W69" s="2"/>
      <c r="X69" s="6">
        <f t="shared" si="58"/>
        <v>-1615.5700000000002</v>
      </c>
      <c r="Y69" s="2"/>
      <c r="Z69" s="7">
        <f t="shared" si="59"/>
        <v>-0.84666823887010989</v>
      </c>
    </row>
    <row r="70" spans="1:26" s="24" customFormat="1" hidden="1" outlineLevel="2" x14ac:dyDescent="0.25">
      <c r="A70" s="28"/>
      <c r="B70" s="11" t="str">
        <f>CONCATENATE("          ", "6243", " - ", "PAPER SUPPLIES")</f>
        <v xml:space="preserve">          6243 - PAPER SUPPLIES</v>
      </c>
      <c r="C70" s="11"/>
      <c r="D70" s="6">
        <v>152.03</v>
      </c>
      <c r="E70" s="2"/>
      <c r="F70" s="7">
        <f t="shared" si="52"/>
        <v>1.5687851888021571E-3</v>
      </c>
      <c r="G70" s="2"/>
      <c r="H70" s="6">
        <v>159.11000000000001</v>
      </c>
      <c r="I70" s="2"/>
      <c r="J70" s="7">
        <f t="shared" si="53"/>
        <v>1.7206174108617231E-3</v>
      </c>
      <c r="K70" s="2"/>
      <c r="L70" s="6">
        <f t="shared" si="54"/>
        <v>-7.0800000000000125</v>
      </c>
      <c r="M70" s="2"/>
      <c r="N70" s="7">
        <f t="shared" si="55"/>
        <v>-4.4497517440764328E-2</v>
      </c>
      <c r="O70" s="11"/>
      <c r="P70" s="6">
        <v>345.08</v>
      </c>
      <c r="Q70" s="2"/>
      <c r="R70" s="7">
        <f t="shared" si="56"/>
        <v>2.414547459522849E-3</v>
      </c>
      <c r="S70" s="2"/>
      <c r="T70" s="6">
        <v>659.53</v>
      </c>
      <c r="U70" s="2"/>
      <c r="V70" s="7">
        <f t="shared" si="57"/>
        <v>4.772015137199867E-3</v>
      </c>
      <c r="W70" s="2"/>
      <c r="X70" s="6">
        <f t="shared" si="58"/>
        <v>-314.45</v>
      </c>
      <c r="Y70" s="2"/>
      <c r="Z70" s="7">
        <f t="shared" si="59"/>
        <v>-0.47677891832062225</v>
      </c>
    </row>
    <row r="71" spans="1:26" s="24" customFormat="1" hidden="1" outlineLevel="2" x14ac:dyDescent="0.25">
      <c r="A71" s="28"/>
      <c r="B71" s="11" t="str">
        <f>CONCATENATE("          ", "6247", " - ", "STORE SUPPLIES")</f>
        <v xml:space="preserve">          6247 - STORE SUPPLIES</v>
      </c>
      <c r="C71" s="11"/>
      <c r="D71" s="6">
        <v>5433.65</v>
      </c>
      <c r="E71" s="2"/>
      <c r="F71" s="7">
        <f t="shared" si="52"/>
        <v>5.6069391838024341E-2</v>
      </c>
      <c r="G71" s="2"/>
      <c r="H71" s="6">
        <v>89.1</v>
      </c>
      <c r="I71" s="2"/>
      <c r="J71" s="7">
        <f t="shared" si="53"/>
        <v>9.6352844766375151E-4</v>
      </c>
      <c r="K71" s="2"/>
      <c r="L71" s="6">
        <f t="shared" si="54"/>
        <v>5344.5499999999993</v>
      </c>
      <c r="M71" s="2"/>
      <c r="N71" s="7">
        <f t="shared" si="55"/>
        <v>59.983726150392812</v>
      </c>
      <c r="O71" s="11"/>
      <c r="P71" s="6">
        <v>6045.84</v>
      </c>
      <c r="Q71" s="2"/>
      <c r="R71" s="7">
        <f t="shared" si="56"/>
        <v>4.230314017816629E-2</v>
      </c>
      <c r="S71" s="2"/>
      <c r="T71" s="6">
        <v>129.72</v>
      </c>
      <c r="U71" s="2"/>
      <c r="V71" s="7">
        <f t="shared" si="57"/>
        <v>9.3858627143203011E-4</v>
      </c>
      <c r="W71" s="2"/>
      <c r="X71" s="6">
        <f t="shared" si="58"/>
        <v>5916.12</v>
      </c>
      <c r="Y71" s="2"/>
      <c r="Z71" s="7">
        <f t="shared" si="59"/>
        <v>45.606845513413504</v>
      </c>
    </row>
    <row r="72" spans="1:26" s="24" customFormat="1" hidden="1" outlineLevel="2" x14ac:dyDescent="0.25">
      <c r="A72" s="28"/>
      <c r="B72" s="11" t="str">
        <f>CONCATENATE("          ", "6248", " - ", "UNIFORMS")</f>
        <v xml:space="preserve">          6248 - UNIFORMS</v>
      </c>
      <c r="C72" s="11"/>
      <c r="D72" s="6"/>
      <c r="E72" s="2"/>
      <c r="F72" s="7">
        <f t="shared" si="52"/>
        <v>0</v>
      </c>
      <c r="G72" s="2"/>
      <c r="H72" s="6"/>
      <c r="I72" s="2"/>
      <c r="J72" s="7">
        <f t="shared" si="53"/>
        <v>0</v>
      </c>
      <c r="K72" s="2"/>
      <c r="L72" s="6">
        <f t="shared" si="54"/>
        <v>0</v>
      </c>
      <c r="M72" s="2"/>
      <c r="N72" s="7">
        <f t="shared" si="55"/>
        <v>0</v>
      </c>
      <c r="O72" s="11"/>
      <c r="P72" s="6"/>
      <c r="Q72" s="2"/>
      <c r="R72" s="7">
        <f t="shared" si="56"/>
        <v>0</v>
      </c>
      <c r="S72" s="2"/>
      <c r="T72" s="6">
        <v>399.7</v>
      </c>
      <c r="U72" s="2"/>
      <c r="V72" s="7">
        <f t="shared" si="57"/>
        <v>2.8920207577195684E-3</v>
      </c>
      <c r="W72" s="2"/>
      <c r="X72" s="6">
        <f t="shared" si="58"/>
        <v>-399.7</v>
      </c>
      <c r="Y72" s="2"/>
      <c r="Z72" s="7">
        <f t="shared" si="59"/>
        <v>-1</v>
      </c>
    </row>
    <row r="73" spans="1:26" s="29" customFormat="1" outlineLevel="1" collapsed="1" x14ac:dyDescent="0.25">
      <c r="A73" s="27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SUM(OSRRefD22_14x_0)</f>
        <v>40</v>
      </c>
      <c r="E73" s="1"/>
      <c r="F73" s="5">
        <f t="shared" ref="F73:F76" si="60">IF(D$12=0,0,D73/D$12)</f>
        <v>4.1275674243298224E-4</v>
      </c>
      <c r="G73" s="1"/>
      <c r="H73" s="1">
        <f>SUM(OSRRefH22_14x_0)</f>
        <v>40</v>
      </c>
      <c r="I73" s="1"/>
      <c r="J73" s="5">
        <f t="shared" ref="J73:J76" si="61">IF(H$12=0,0,H73/H$12)</f>
        <v>4.3256047033165054E-4</v>
      </c>
      <c r="K73" s="1"/>
      <c r="L73" s="1">
        <f t="shared" ref="L73:L76" si="62">+D73-H73</f>
        <v>0</v>
      </c>
      <c r="M73" s="1"/>
      <c r="N73" s="5">
        <f t="shared" ref="N73:N76" si="63">IF(H73=0,0,L73/H73)</f>
        <v>0</v>
      </c>
      <c r="O73" s="14"/>
      <c r="P73" s="1">
        <f>SUM(OSRRefP22_14x_0)</f>
        <v>117.45</v>
      </c>
      <c r="Q73" s="1"/>
      <c r="R73" s="5">
        <f t="shared" ref="R73:R76" si="64">IF(P$12=0,0,P73/P$12)</f>
        <v>8.2180537591560983E-4</v>
      </c>
      <c r="S73" s="1"/>
      <c r="T73" s="1">
        <f>SUM(OSRRefT22_14x_0)</f>
        <v>119.45</v>
      </c>
      <c r="U73" s="1"/>
      <c r="V73" s="5">
        <f t="shared" ref="V73:V76" si="65">IF(T$12=0,0,T73/T$12)</f>
        <v>8.6427790720440946E-4</v>
      </c>
      <c r="W73" s="1"/>
      <c r="X73" s="1">
        <f t="shared" ref="X73:X76" si="66">+P73-T73</f>
        <v>-2</v>
      </c>
      <c r="Y73" s="1"/>
      <c r="Z73" s="5">
        <f t="shared" ref="Z73:Z76" si="67">IF(T73=0,0,X73/T73)</f>
        <v>-1.6743407283382167E-2</v>
      </c>
    </row>
    <row r="74" spans="1:26" s="24" customFormat="1" hidden="1" outlineLevel="2" x14ac:dyDescent="0.25">
      <c r="A74" s="28"/>
      <c r="B74" s="11" t="str">
        <f>CONCATENATE("          ", "6309", " - ", "TELEPHONE")</f>
        <v xml:space="preserve">          6309 - TELEPHONE</v>
      </c>
      <c r="C74" s="11"/>
      <c r="D74" s="6">
        <v>40</v>
      </c>
      <c r="E74" s="2"/>
      <c r="F74" s="7">
        <f t="shared" si="60"/>
        <v>4.1275674243298224E-4</v>
      </c>
      <c r="G74" s="2"/>
      <c r="H74" s="6">
        <v>40</v>
      </c>
      <c r="I74" s="2"/>
      <c r="J74" s="7">
        <f t="shared" si="61"/>
        <v>4.3256047033165054E-4</v>
      </c>
      <c r="K74" s="2"/>
      <c r="L74" s="6">
        <f t="shared" si="62"/>
        <v>0</v>
      </c>
      <c r="M74" s="2"/>
      <c r="N74" s="7">
        <f t="shared" si="63"/>
        <v>0</v>
      </c>
      <c r="O74" s="11"/>
      <c r="P74" s="6">
        <v>117.45</v>
      </c>
      <c r="Q74" s="2"/>
      <c r="R74" s="7">
        <f t="shared" si="64"/>
        <v>8.2180537591560983E-4</v>
      </c>
      <c r="S74" s="2"/>
      <c r="T74" s="6">
        <v>119.45</v>
      </c>
      <c r="U74" s="2"/>
      <c r="V74" s="7">
        <f t="shared" si="65"/>
        <v>8.6427790720440946E-4</v>
      </c>
      <c r="W74" s="2"/>
      <c r="X74" s="6">
        <f t="shared" si="66"/>
        <v>-2</v>
      </c>
      <c r="Y74" s="2"/>
      <c r="Z74" s="7">
        <f t="shared" si="67"/>
        <v>-1.6743407283382167E-2</v>
      </c>
    </row>
    <row r="75" spans="1:26" s="29" customFormat="1" outlineLevel="1" collapsed="1" x14ac:dyDescent="0.25">
      <c r="A75" s="27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SUM(OSRRefD22_15x_0)</f>
        <v>771</v>
      </c>
      <c r="E75" s="1"/>
      <c r="F75" s="5">
        <f t="shared" si="60"/>
        <v>7.9558862103957326E-3</v>
      </c>
      <c r="G75" s="1"/>
      <c r="H75" s="1">
        <f>SUM(OSRRefH22_15x_0)</f>
        <v>575</v>
      </c>
      <c r="I75" s="1"/>
      <c r="J75" s="5">
        <f t="shared" si="61"/>
        <v>6.2180567610174769E-3</v>
      </c>
      <c r="K75" s="1"/>
      <c r="L75" s="1">
        <f t="shared" si="62"/>
        <v>196</v>
      </c>
      <c r="M75" s="1"/>
      <c r="N75" s="5">
        <f t="shared" si="63"/>
        <v>0.34086956521739131</v>
      </c>
      <c r="O75" s="14"/>
      <c r="P75" s="1">
        <f>SUM(OSRRefP22_15x_0)</f>
        <v>1542</v>
      </c>
      <c r="Q75" s="1"/>
      <c r="R75" s="5">
        <f t="shared" si="64"/>
        <v>1.0789475433476973E-2</v>
      </c>
      <c r="S75" s="1"/>
      <c r="T75" s="1">
        <f>SUM(OSRRefT22_15x_0)</f>
        <v>2313</v>
      </c>
      <c r="U75" s="1"/>
      <c r="V75" s="5">
        <f t="shared" si="65"/>
        <v>1.6735661777846789E-2</v>
      </c>
      <c r="W75" s="1"/>
      <c r="X75" s="1">
        <f t="shared" si="66"/>
        <v>-771</v>
      </c>
      <c r="Y75" s="1"/>
      <c r="Z75" s="5">
        <f t="shared" si="67"/>
        <v>-0.33333333333333331</v>
      </c>
    </row>
    <row r="76" spans="1:26" s="24" customFormat="1" hidden="1" outlineLevel="2" x14ac:dyDescent="0.25">
      <c r="A76" s="28"/>
      <c r="B76" s="11" t="str">
        <f>CONCATENATE("          ", "6274", " - ", "UTILITIES")</f>
        <v xml:space="preserve">          6274 - UTILITIES</v>
      </c>
      <c r="C76" s="11"/>
      <c r="D76" s="6">
        <v>771</v>
      </c>
      <c r="E76" s="2"/>
      <c r="F76" s="7">
        <f t="shared" si="60"/>
        <v>7.9558862103957326E-3</v>
      </c>
      <c r="G76" s="2"/>
      <c r="H76" s="6">
        <v>575</v>
      </c>
      <c r="I76" s="2"/>
      <c r="J76" s="7">
        <f t="shared" si="61"/>
        <v>6.2180567610174769E-3</v>
      </c>
      <c r="K76" s="2"/>
      <c r="L76" s="6">
        <f t="shared" si="62"/>
        <v>196</v>
      </c>
      <c r="M76" s="2"/>
      <c r="N76" s="7">
        <f t="shared" si="63"/>
        <v>0.34086956521739131</v>
      </c>
      <c r="O76" s="11"/>
      <c r="P76" s="6">
        <v>1542</v>
      </c>
      <c r="Q76" s="2"/>
      <c r="R76" s="7">
        <f t="shared" si="64"/>
        <v>1.0789475433476973E-2</v>
      </c>
      <c r="S76" s="2"/>
      <c r="T76" s="6">
        <v>2313</v>
      </c>
      <c r="U76" s="2"/>
      <c r="V76" s="7">
        <f t="shared" si="65"/>
        <v>1.6735661777846789E-2</v>
      </c>
      <c r="W76" s="2"/>
      <c r="X76" s="6">
        <f t="shared" si="66"/>
        <v>-771</v>
      </c>
      <c r="Y76" s="2"/>
      <c r="Z76" s="7">
        <f t="shared" si="67"/>
        <v>-0.33333333333333331</v>
      </c>
    </row>
    <row r="77" spans="1:26" s="53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5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6" t="s">
        <v>3</v>
      </c>
      <c r="C80" s="26"/>
      <c r="D80" s="21">
        <f>+D20-D22+D78</f>
        <v>19276.760000000002</v>
      </c>
      <c r="E80" s="13"/>
      <c r="F80" s="20">
        <f>IF(D$12=0,0,D80/D$12)</f>
        <v>0.19891531655656039</v>
      </c>
      <c r="G80" s="13"/>
      <c r="H80" s="21">
        <f>+H20-H22+H78</f>
        <v>18028.800000000014</v>
      </c>
      <c r="I80" s="13"/>
      <c r="J80" s="20">
        <f>IF(H$12=0,0,H80/H$12)</f>
        <v>0.1949636551878817</v>
      </c>
      <c r="K80" s="15"/>
      <c r="L80" s="21">
        <f>+D80-H80</f>
        <v>1247.9599999999882</v>
      </c>
      <c r="M80" s="15"/>
      <c r="N80" s="20">
        <f>IF(H80=0,0,L80/H80)</f>
        <v>6.9220358537450483E-2</v>
      </c>
      <c r="O80" s="25"/>
      <c r="P80" s="21">
        <f>+P20-P22+P78</f>
        <v>-4297.5800000000163</v>
      </c>
      <c r="Q80" s="13"/>
      <c r="R80" s="20">
        <f>IF(P$12=0,0,P80/P$12)</f>
        <v>-3.0070449956810727E-2</v>
      </c>
      <c r="S80" s="13"/>
      <c r="T80" s="21">
        <f>+T20-T22+T78</f>
        <v>-7218.3799999999901</v>
      </c>
      <c r="U80" s="13"/>
      <c r="V80" s="20">
        <f>IF(T$12=0,0,T80/T$12)</f>
        <v>-5.2228433317757693E-2</v>
      </c>
      <c r="W80" s="15"/>
      <c r="X80" s="21">
        <f>+P80-T80</f>
        <v>2920.7999999999738</v>
      </c>
      <c r="Y80" s="15"/>
      <c r="Z80" s="20">
        <f>IF(T80=0,0,X80/T80)</f>
        <v>-0.4046337266810528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>
        <v>9614.86</v>
      </c>
      <c r="E82" s="4"/>
      <c r="F82" s="12">
        <f>IF(D$12=0,0,D82/D$12)</f>
        <v>9.921495731372959E-2</v>
      </c>
      <c r="G82" s="4"/>
      <c r="H82" s="4">
        <v>7610.02</v>
      </c>
      <c r="I82" s="4"/>
      <c r="J82" s="12">
        <f>IF(H$12=0,0,H82/H$12)</f>
        <v>8.2294845760831695E-2</v>
      </c>
      <c r="K82" s="4"/>
      <c r="L82" s="4">
        <f>+D82-H82</f>
        <v>2004.8400000000001</v>
      </c>
      <c r="M82" s="4"/>
      <c r="N82" s="12">
        <f>IF(H82=0,0,L82/H82)</f>
        <v>0.26344740224072999</v>
      </c>
      <c r="O82" s="10"/>
      <c r="P82" s="4">
        <v>15351.18</v>
      </c>
      <c r="Q82" s="4"/>
      <c r="R82" s="12">
        <f>IF(P$12=0,0,P82/P$12)</f>
        <v>0.10741321626775813</v>
      </c>
      <c r="S82" s="4"/>
      <c r="T82" s="4">
        <v>12279.37</v>
      </c>
      <c r="U82" s="4"/>
      <c r="V82" s="12">
        <f>IF(T$12=0,0,T82/T$12)</f>
        <v>8.8847117667548006E-2</v>
      </c>
      <c r="W82" s="4"/>
      <c r="X82" s="4">
        <f>+P82-T82</f>
        <v>3071.8099999999995</v>
      </c>
      <c r="Y82" s="4"/>
      <c r="Z82" s="12">
        <f>IF(T82=0,0,X82/T82)</f>
        <v>0.25016022808987753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6" t="s">
        <v>4</v>
      </c>
      <c r="C84" s="26"/>
      <c r="D84" s="35">
        <f>+D80-D82</f>
        <v>9661.9000000000015</v>
      </c>
      <c r="E84" s="13"/>
      <c r="F84" s="30">
        <f>IF(D$12=0,0,D84/D$12)</f>
        <v>9.9700359242830786E-2</v>
      </c>
      <c r="G84" s="13"/>
      <c r="H84" s="35">
        <f>+H80-H82</f>
        <v>10418.780000000013</v>
      </c>
      <c r="I84" s="13"/>
      <c r="J84" s="30">
        <f>IF(H$12=0,0,H84/H$12)</f>
        <v>0.11266880942705</v>
      </c>
      <c r="K84" s="15"/>
      <c r="L84" s="35">
        <f>D84-H84</f>
        <v>-756.88000000001193</v>
      </c>
      <c r="M84" s="15"/>
      <c r="N84" s="30">
        <f>IF(H84=0,0,L84/H84)</f>
        <v>-7.2645741631938765E-2</v>
      </c>
      <c r="O84" s="25"/>
      <c r="P84" s="35">
        <f>+P80-P82</f>
        <v>-19648.760000000017</v>
      </c>
      <c r="Q84" s="13"/>
      <c r="R84" s="30">
        <f>IF(P$12=0,0,P84/P$12)</f>
        <v>-0.13748366622456887</v>
      </c>
      <c r="S84" s="13"/>
      <c r="T84" s="35">
        <f>+T80-T82</f>
        <v>-19497.749999999993</v>
      </c>
      <c r="U84" s="13"/>
      <c r="V84" s="30">
        <f>IF(T$12=0,0,T84/T$12)</f>
        <v>-0.14107555098530572</v>
      </c>
      <c r="W84" s="15"/>
      <c r="X84" s="35">
        <f>P84-T84</f>
        <v>-151.01000000002387</v>
      </c>
      <c r="Y84" s="15"/>
      <c r="Z84" s="30">
        <f>IF(T84=0,0,X84/T84)</f>
        <v>7.7449962175135043E-3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6" t="s">
        <v>5</v>
      </c>
      <c r="C87" s="26"/>
      <c r="D87" s="36">
        <f>SUM(D84:D86)</f>
        <v>9661.9000000000015</v>
      </c>
      <c r="E87" s="13"/>
      <c r="F87" s="31">
        <f>IF(D$12=0,0,D87/D$12)</f>
        <v>9.9700359242830786E-2</v>
      </c>
      <c r="G87" s="13"/>
      <c r="H87" s="36">
        <f>SUM(H84:H86)</f>
        <v>10418.780000000013</v>
      </c>
      <c r="I87" s="13"/>
      <c r="J87" s="31">
        <f>IF(H$12=0,0,H87/H$12)</f>
        <v>0.11266880942705</v>
      </c>
      <c r="K87" s="15"/>
      <c r="L87" s="36">
        <f>+D87-H87</f>
        <v>-756.88000000001193</v>
      </c>
      <c r="M87" s="15"/>
      <c r="N87" s="31">
        <f>IF(H87=0,0,L87/H87)</f>
        <v>-7.2645741631938765E-2</v>
      </c>
      <c r="O87" s="25"/>
      <c r="P87" s="36">
        <f>SUM(P84:P86)</f>
        <v>-19648.760000000017</v>
      </c>
      <c r="Q87" s="13"/>
      <c r="R87" s="31">
        <f>IF(P$12=0,0,P87/P$12)</f>
        <v>-0.13748366622456887</v>
      </c>
      <c r="S87" s="13"/>
      <c r="T87" s="36">
        <f>SUM(T84:T86)</f>
        <v>-19497.749999999993</v>
      </c>
      <c r="U87" s="13"/>
      <c r="V87" s="31">
        <f>IF(T$12=0,0,T87/T$12)</f>
        <v>-0.14107555098530572</v>
      </c>
      <c r="W87" s="15"/>
      <c r="X87" s="36">
        <f>+P87-T87</f>
        <v>-151.01000000002387</v>
      </c>
      <c r="Y87" s="15"/>
      <c r="Z87" s="31">
        <f>IF(T87=0,0,X87/T87)</f>
        <v>7.7449962175135043E-3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5">
        <v>43756.46319328704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6" t="s">
        <v>313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7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","327", " - ", "C-Store Vending Machine(s)")</f>
        <v>Department 327 - C-Store Vending Machine(s)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1942</v>
      </c>
      <c r="E12" s="4"/>
      <c r="F12" s="12"/>
      <c r="G12" s="4"/>
      <c r="H12" s="4">
        <f>SUM(OSRRefH13x_0)</f>
        <v>1485.5</v>
      </c>
      <c r="I12" s="4"/>
      <c r="J12" s="12"/>
      <c r="K12" s="4"/>
      <c r="L12" s="4">
        <f t="shared" ref="L12:L13" si="0">+D12-H12</f>
        <v>456.5</v>
      </c>
      <c r="M12" s="4"/>
      <c r="N12" s="12">
        <f t="shared" ref="N12:N13" si="1">IF(H12=0,0,L12/H12)</f>
        <v>0.30730393806799056</v>
      </c>
      <c r="O12" s="10"/>
      <c r="P12" s="4">
        <f>SUM(OSRRefP13x_0)</f>
        <v>2406.5</v>
      </c>
      <c r="Q12" s="4"/>
      <c r="R12" s="12"/>
      <c r="S12" s="4"/>
      <c r="T12" s="4">
        <f>SUM(OSRRefT13x_0)</f>
        <v>1986</v>
      </c>
      <c r="U12" s="4"/>
      <c r="V12" s="12"/>
      <c r="W12" s="4"/>
      <c r="X12" s="4">
        <f t="shared" ref="X12:X13" si="2">+P12-T12</f>
        <v>420.5</v>
      </c>
      <c r="Y12" s="4"/>
      <c r="Z12" s="12">
        <f t="shared" ref="Z12:Z13" si="3">IF(T12=0,0,X12/T12)</f>
        <v>0.21173212487411883</v>
      </c>
    </row>
    <row r="13" spans="1:26" s="24" customFormat="1" hidden="1" outlineLevel="1" x14ac:dyDescent="0.2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--1942</f>
        <v>1942</v>
      </c>
      <c r="E13" s="2"/>
      <c r="F13" s="19"/>
      <c r="G13" s="2"/>
      <c r="H13" s="2">
        <f>--1485.5</f>
        <v>1485.5</v>
      </c>
      <c r="I13" s="2"/>
      <c r="J13" s="19"/>
      <c r="K13" s="2"/>
      <c r="L13" s="2">
        <f t="shared" si="0"/>
        <v>456.5</v>
      </c>
      <c r="M13" s="2"/>
      <c r="N13" s="19">
        <f t="shared" si="1"/>
        <v>0.30730393806799056</v>
      </c>
      <c r="O13" s="11"/>
      <c r="P13" s="2">
        <f>--2406.5</f>
        <v>2406.5</v>
      </c>
      <c r="Q13" s="2"/>
      <c r="R13" s="19"/>
      <c r="S13" s="2"/>
      <c r="T13" s="2">
        <f>--1986</f>
        <v>1986</v>
      </c>
      <c r="U13" s="2"/>
      <c r="V13" s="19"/>
      <c r="W13" s="2"/>
      <c r="X13" s="2">
        <f t="shared" si="2"/>
        <v>420.5</v>
      </c>
      <c r="Y13" s="2"/>
      <c r="Z13" s="19">
        <f t="shared" si="3"/>
        <v>0.21173212487411883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>
        <f>SUM(OSRRefD16x_0)</f>
        <v>381</v>
      </c>
      <c r="E15" s="4"/>
      <c r="F15" s="12">
        <f t="shared" ref="F15:F16" si="4">IF(D$12=0,0,D15/D$12)</f>
        <v>0.19618949536560248</v>
      </c>
      <c r="G15" s="4"/>
      <c r="H15" s="4">
        <f>SUM(OSRRefH16x_0)</f>
        <v>740.41</v>
      </c>
      <c r="I15" s="4"/>
      <c r="J15" s="12">
        <f t="shared" ref="J15:J16" si="5">IF(H$12=0,0,H15/H$12)</f>
        <v>0.49842477280376973</v>
      </c>
      <c r="K15" s="4"/>
      <c r="L15" s="4">
        <f t="shared" ref="L15:L16" si="6">+D15-H15</f>
        <v>-359.40999999999997</v>
      </c>
      <c r="M15" s="4"/>
      <c r="N15" s="12">
        <f t="shared" ref="N15:N16" si="7">IF(H15=0,0,L15/H15)</f>
        <v>-0.48542024013722124</v>
      </c>
      <c r="O15" s="10"/>
      <c r="P15" s="4">
        <f>SUM(OSRRefP16x_0)</f>
        <v>869.96</v>
      </c>
      <c r="Q15" s="4"/>
      <c r="R15" s="12">
        <f t="shared" ref="R15:R16" si="8">IF(P$12=0,0,P15/P$12)</f>
        <v>0.36150425929773533</v>
      </c>
      <c r="S15" s="4"/>
      <c r="T15" s="4">
        <f>SUM(OSRRefT16x_0)</f>
        <v>1017.41</v>
      </c>
      <c r="U15" s="4"/>
      <c r="V15" s="12">
        <f t="shared" ref="V15:V16" si="9">IF(T$12=0,0,T15/T$12)</f>
        <v>0.51229103726082581</v>
      </c>
      <c r="W15" s="4"/>
      <c r="X15" s="4">
        <f t="shared" ref="X15:X16" si="10">+P15-T15</f>
        <v>-147.44999999999993</v>
      </c>
      <c r="Y15" s="4"/>
      <c r="Z15" s="12">
        <f t="shared" ref="Z15:Z16" si="11">IF(T15=0,0,X15/T15)</f>
        <v>-0.14492682399425988</v>
      </c>
    </row>
    <row r="16" spans="1:26" s="24" customFormat="1" hidden="1" outlineLevel="1" x14ac:dyDescent="0.25">
      <c r="A16" s="44"/>
      <c r="B16" s="11" t="str">
        <f>CONCATENATE("          ", "5059", " - ", "PURCHASES @ COST-FOOD")</f>
        <v xml:space="preserve">          5059 - PURCHASES @ COST-FOOD</v>
      </c>
      <c r="C16" s="11"/>
      <c r="D16" s="2">
        <v>381</v>
      </c>
      <c r="E16" s="2"/>
      <c r="F16" s="19">
        <f t="shared" si="4"/>
        <v>0.19618949536560248</v>
      </c>
      <c r="G16" s="2"/>
      <c r="H16" s="2">
        <v>740.41</v>
      </c>
      <c r="I16" s="2"/>
      <c r="J16" s="19">
        <f t="shared" si="5"/>
        <v>0.49842477280376973</v>
      </c>
      <c r="K16" s="2"/>
      <c r="L16" s="2">
        <f t="shared" si="6"/>
        <v>-359.40999999999997</v>
      </c>
      <c r="M16" s="2"/>
      <c r="N16" s="19">
        <f t="shared" si="7"/>
        <v>-0.48542024013722124</v>
      </c>
      <c r="O16" s="11"/>
      <c r="P16" s="2">
        <v>869.96</v>
      </c>
      <c r="Q16" s="2"/>
      <c r="R16" s="19">
        <f t="shared" si="8"/>
        <v>0.36150425929773533</v>
      </c>
      <c r="S16" s="2"/>
      <c r="T16" s="2">
        <v>1017.41</v>
      </c>
      <c r="U16" s="2"/>
      <c r="V16" s="19">
        <f t="shared" si="9"/>
        <v>0.51229103726082581</v>
      </c>
      <c r="W16" s="2"/>
      <c r="X16" s="2">
        <f t="shared" si="10"/>
        <v>-147.44999999999993</v>
      </c>
      <c r="Y16" s="2"/>
      <c r="Z16" s="19">
        <f t="shared" si="11"/>
        <v>-0.14492682399425988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>
        <f>D12-D15</f>
        <v>1561</v>
      </c>
      <c r="E18" s="13"/>
      <c r="F18" s="20">
        <f>IF(D$12=0,0,D18/D$12)</f>
        <v>0.80381050463439752</v>
      </c>
      <c r="G18" s="13"/>
      <c r="H18" s="21">
        <f>H12-H15</f>
        <v>745.09</v>
      </c>
      <c r="I18" s="13"/>
      <c r="J18" s="20">
        <f>IF(H$12=0,0,H18/H$12)</f>
        <v>0.50157522719623027</v>
      </c>
      <c r="K18" s="15"/>
      <c r="L18" s="21">
        <f>+D18-H18</f>
        <v>815.91</v>
      </c>
      <c r="M18" s="15"/>
      <c r="N18" s="20">
        <f>IF(H18=0,0,L18/H18)</f>
        <v>1.0950489202646658</v>
      </c>
      <c r="O18" s="25"/>
      <c r="P18" s="21">
        <f>P12-P15</f>
        <v>1536.54</v>
      </c>
      <c r="Q18" s="13"/>
      <c r="R18" s="20">
        <f>IF(P$12=0,0,P18/P$12)</f>
        <v>0.63849574070226467</v>
      </c>
      <c r="S18" s="13"/>
      <c r="T18" s="21">
        <f>T12-T15</f>
        <v>968.59</v>
      </c>
      <c r="U18" s="13"/>
      <c r="V18" s="20">
        <f>IF(T$12=0,0,T18/T$12)</f>
        <v>0.48770896273917425</v>
      </c>
      <c r="W18" s="15"/>
      <c r="X18" s="21">
        <f>+P18-T18</f>
        <v>567.94999999999993</v>
      </c>
      <c r="Y18" s="15"/>
      <c r="Z18" s="20">
        <f>IF(T18=0,0,X18/T18)</f>
        <v>0.58636781300653518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>
        <f>SUM(OSRRefD22x_0)</f>
        <v>109.89</v>
      </c>
      <c r="E20" s="22"/>
      <c r="F20" s="34">
        <f t="shared" ref="F20:F24" si="12">IF(D$12=0,0,D20/D$12)</f>
        <v>5.6585993820803294E-2</v>
      </c>
      <c r="G20" s="22"/>
      <c r="H20" s="22">
        <f>SUM(OSRRefH22x_0)</f>
        <v>966.42</v>
      </c>
      <c r="I20" s="22"/>
      <c r="J20" s="34">
        <f t="shared" ref="J20:J24" si="13">IF(H$12=0,0,H20/H$12)</f>
        <v>0.65056883204308313</v>
      </c>
      <c r="K20" s="4"/>
      <c r="L20" s="22">
        <f t="shared" ref="L20:L24" si="14">+D20-H20</f>
        <v>-856.53</v>
      </c>
      <c r="M20" s="4"/>
      <c r="N20" s="34">
        <f t="shared" ref="N20:N24" si="15">IF(H20=0,0,L20/H20)</f>
        <v>-0.88629167442726764</v>
      </c>
      <c r="O20" s="10"/>
      <c r="P20" s="22">
        <f>SUM(OSRRefP22x_0)</f>
        <v>217.74</v>
      </c>
      <c r="Q20" s="22"/>
      <c r="R20" s="34">
        <f t="shared" ref="R20:R24" si="16">IF(P$12=0,0,P20/P$12)</f>
        <v>9.0479950135050904E-2</v>
      </c>
      <c r="S20" s="22"/>
      <c r="T20" s="22">
        <f>SUM(OSRRefT22x_0)</f>
        <v>6341.1900000000005</v>
      </c>
      <c r="U20" s="22"/>
      <c r="V20" s="34">
        <f t="shared" ref="V20:V24" si="17">IF(T$12=0,0,T20/T$12)</f>
        <v>3.1929456193353478</v>
      </c>
      <c r="W20" s="4"/>
      <c r="X20" s="22">
        <f t="shared" ref="X20:X24" si="18">+P20-T20</f>
        <v>-6123.4500000000007</v>
      </c>
      <c r="Y20" s="4"/>
      <c r="Z20" s="34">
        <f t="shared" ref="Z20:Z24" si="19">IF(T20=0,0,X20/T20)</f>
        <v>-0.96566259645271635</v>
      </c>
    </row>
    <row r="21" spans="1:26" s="29" customFormat="1" outlineLevel="1" collapsed="1" x14ac:dyDescent="0.25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SUM(OSRRefD22_0x_0)</f>
        <v>109.89</v>
      </c>
      <c r="E21" s="1"/>
      <c r="F21" s="5">
        <f t="shared" si="12"/>
        <v>5.6585993820803294E-2</v>
      </c>
      <c r="G21" s="1"/>
      <c r="H21" s="1">
        <f>SUM(OSRRefH22_0x_0)</f>
        <v>120.15</v>
      </c>
      <c r="I21" s="1"/>
      <c r="J21" s="5">
        <f t="shared" si="13"/>
        <v>8.0881857960282744E-2</v>
      </c>
      <c r="K21" s="1"/>
      <c r="L21" s="1">
        <f t="shared" si="14"/>
        <v>-10.260000000000005</v>
      </c>
      <c r="M21" s="1"/>
      <c r="N21" s="5">
        <f t="shared" si="15"/>
        <v>-8.5393258426966337E-2</v>
      </c>
      <c r="O21" s="14"/>
      <c r="P21" s="1">
        <f>SUM(OSRRefP22_0x_0)</f>
        <v>217.74</v>
      </c>
      <c r="Q21" s="1"/>
      <c r="R21" s="5">
        <f t="shared" si="16"/>
        <v>9.0479950135050904E-2</v>
      </c>
      <c r="S21" s="1"/>
      <c r="T21" s="1">
        <f>SUM(OSRRefT22_0x_0)</f>
        <v>201.97</v>
      </c>
      <c r="U21" s="1"/>
      <c r="V21" s="5">
        <f t="shared" si="17"/>
        <v>0.1016968781470292</v>
      </c>
      <c r="W21" s="1"/>
      <c r="X21" s="1">
        <f t="shared" si="18"/>
        <v>15.77000000000001</v>
      </c>
      <c r="Y21" s="1"/>
      <c r="Z21" s="5">
        <f t="shared" si="19"/>
        <v>7.8080903104421506E-2</v>
      </c>
    </row>
    <row r="22" spans="1:26" s="24" customFormat="1" hidden="1" outlineLevel="2" x14ac:dyDescent="0.25">
      <c r="A22" s="28"/>
      <c r="B22" s="11" t="str">
        <f>CONCATENATE("          ", "6381", " - ", "BANK/CREDIT CARD FEES")</f>
        <v xml:space="preserve">          6381 - BANK/CREDIT CARD FEES</v>
      </c>
      <c r="C22" s="11"/>
      <c r="D22" s="6">
        <v>109.89</v>
      </c>
      <c r="E22" s="2"/>
      <c r="F22" s="7">
        <f t="shared" si="12"/>
        <v>5.6585993820803294E-2</v>
      </c>
      <c r="G22" s="2"/>
      <c r="H22" s="6">
        <v>120.15</v>
      </c>
      <c r="I22" s="2"/>
      <c r="J22" s="7">
        <f t="shared" si="13"/>
        <v>8.0881857960282744E-2</v>
      </c>
      <c r="K22" s="2"/>
      <c r="L22" s="6">
        <f t="shared" si="14"/>
        <v>-10.260000000000005</v>
      </c>
      <c r="M22" s="2"/>
      <c r="N22" s="7">
        <f t="shared" si="15"/>
        <v>-8.5393258426966337E-2</v>
      </c>
      <c r="O22" s="11"/>
      <c r="P22" s="6">
        <v>217.74</v>
      </c>
      <c r="Q22" s="2"/>
      <c r="R22" s="7">
        <f t="shared" si="16"/>
        <v>9.0479950135050904E-2</v>
      </c>
      <c r="S22" s="2"/>
      <c r="T22" s="6">
        <v>201.97</v>
      </c>
      <c r="U22" s="2"/>
      <c r="V22" s="7">
        <f t="shared" si="17"/>
        <v>0.1016968781470292</v>
      </c>
      <c r="W22" s="2"/>
      <c r="X22" s="6">
        <f t="shared" si="18"/>
        <v>15.77000000000001</v>
      </c>
      <c r="Y22" s="2"/>
      <c r="Z22" s="7">
        <f t="shared" si="19"/>
        <v>7.8080903104421506E-2</v>
      </c>
    </row>
    <row r="23" spans="1:26" s="29" customFormat="1" outlineLevel="1" collapsed="1" x14ac:dyDescent="0.25">
      <c r="A23" s="27"/>
      <c r="B23" s="14" t="str">
        <f>CONCATENATE("     ","Supplies                                          ")</f>
        <v xml:space="preserve">     Supplies                                          </v>
      </c>
      <c r="C23" s="14"/>
      <c r="D23" s="1">
        <f>SUM(OSRRefD22_1x_0)</f>
        <v>0</v>
      </c>
      <c r="E23" s="1"/>
      <c r="F23" s="5">
        <f t="shared" si="12"/>
        <v>0</v>
      </c>
      <c r="G23" s="1"/>
      <c r="H23" s="1">
        <f>SUM(OSRRefH22_1x_0)</f>
        <v>846.27</v>
      </c>
      <c r="I23" s="1"/>
      <c r="J23" s="5">
        <f t="shared" si="13"/>
        <v>0.56968697408280045</v>
      </c>
      <c r="K23" s="1"/>
      <c r="L23" s="1">
        <f t="shared" si="14"/>
        <v>-846.27</v>
      </c>
      <c r="M23" s="1"/>
      <c r="N23" s="5">
        <f t="shared" si="15"/>
        <v>-1</v>
      </c>
      <c r="O23" s="14"/>
      <c r="P23" s="1">
        <f>SUM(OSRRefP22_1x_0)</f>
        <v>0</v>
      </c>
      <c r="Q23" s="1"/>
      <c r="R23" s="5">
        <f t="shared" si="16"/>
        <v>0</v>
      </c>
      <c r="S23" s="1"/>
      <c r="T23" s="1">
        <f>SUM(OSRRefT22_1x_0)</f>
        <v>6139.22</v>
      </c>
      <c r="U23" s="1"/>
      <c r="V23" s="5">
        <f t="shared" si="17"/>
        <v>3.0912487411883185</v>
      </c>
      <c r="W23" s="1"/>
      <c r="X23" s="1">
        <f t="shared" si="18"/>
        <v>-6139.22</v>
      </c>
      <c r="Y23" s="1"/>
      <c r="Z23" s="5">
        <f t="shared" si="19"/>
        <v>-1</v>
      </c>
    </row>
    <row r="24" spans="1:26" s="24" customFormat="1" hidden="1" outlineLevel="2" x14ac:dyDescent="0.25">
      <c r="A24" s="28"/>
      <c r="B24" s="11" t="str">
        <f>CONCATENATE("          ", "6247", " - ", "STORE SUPPLIES")</f>
        <v xml:space="preserve">          6247 - STORE SUPPLIES</v>
      </c>
      <c r="C24" s="11"/>
      <c r="D24" s="6"/>
      <c r="E24" s="2"/>
      <c r="F24" s="7">
        <f t="shared" si="12"/>
        <v>0</v>
      </c>
      <c r="G24" s="2"/>
      <c r="H24" s="6">
        <v>846.27</v>
      </c>
      <c r="I24" s="2"/>
      <c r="J24" s="7">
        <f t="shared" si="13"/>
        <v>0.56968697408280045</v>
      </c>
      <c r="K24" s="2"/>
      <c r="L24" s="6">
        <f t="shared" si="14"/>
        <v>-846.27</v>
      </c>
      <c r="M24" s="2"/>
      <c r="N24" s="7">
        <f t="shared" si="15"/>
        <v>-1</v>
      </c>
      <c r="O24" s="11"/>
      <c r="P24" s="6"/>
      <c r="Q24" s="2"/>
      <c r="R24" s="7">
        <f t="shared" si="16"/>
        <v>0</v>
      </c>
      <c r="S24" s="2"/>
      <c r="T24" s="6">
        <v>6139.22</v>
      </c>
      <c r="U24" s="2"/>
      <c r="V24" s="7">
        <f t="shared" si="17"/>
        <v>3.0912487411883185</v>
      </c>
      <c r="W24" s="2"/>
      <c r="X24" s="6">
        <f t="shared" si="18"/>
        <v>-6139.22</v>
      </c>
      <c r="Y24" s="2"/>
      <c r="Z24" s="7">
        <f t="shared" si="19"/>
        <v>-1</v>
      </c>
    </row>
    <row r="25" spans="1:26" s="53" customFormat="1" x14ac:dyDescent="0.25">
      <c r="A25" s="37"/>
      <c r="B25" s="37"/>
      <c r="C25" s="37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6" t="s">
        <v>3</v>
      </c>
      <c r="C28" s="26"/>
      <c r="D28" s="21">
        <f>+D18-D20+D26</f>
        <v>1451.11</v>
      </c>
      <c r="E28" s="13"/>
      <c r="F28" s="20">
        <f>IF(D$12=0,0,D28/D$12)</f>
        <v>0.7472245108135942</v>
      </c>
      <c r="G28" s="13"/>
      <c r="H28" s="21">
        <f>+H18-H20+H26</f>
        <v>-221.32999999999993</v>
      </c>
      <c r="I28" s="13"/>
      <c r="J28" s="20">
        <f>IF(H$12=0,0,H28/H$12)</f>
        <v>-0.14899360484685287</v>
      </c>
      <c r="K28" s="15"/>
      <c r="L28" s="21">
        <f>+D28-H28</f>
        <v>1672.4399999999998</v>
      </c>
      <c r="M28" s="15"/>
      <c r="N28" s="20">
        <f>IF(H28=0,0,L28/H28)</f>
        <v>-7.5563186192563156</v>
      </c>
      <c r="O28" s="25"/>
      <c r="P28" s="21">
        <f>+P18-P20+P26</f>
        <v>1318.8</v>
      </c>
      <c r="Q28" s="13"/>
      <c r="R28" s="20">
        <f>IF(P$12=0,0,P28/P$12)</f>
        <v>0.54801579056721372</v>
      </c>
      <c r="S28" s="13"/>
      <c r="T28" s="21">
        <f>+T18-T20+T26</f>
        <v>-5372.6</v>
      </c>
      <c r="U28" s="13"/>
      <c r="V28" s="20">
        <f>IF(T$12=0,0,T28/T$12)</f>
        <v>-2.7052366565961732</v>
      </c>
      <c r="W28" s="15"/>
      <c r="X28" s="21">
        <f>+P28-T28</f>
        <v>6691.4000000000005</v>
      </c>
      <c r="Y28" s="15"/>
      <c r="Z28" s="20">
        <f>IF(T28=0,0,X28/T28)</f>
        <v>-1.2454677437367383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1"/>
      <c r="B30" s="10" t="s">
        <v>13</v>
      </c>
      <c r="C30" s="10"/>
      <c r="D30" s="4">
        <v>200.58</v>
      </c>
      <c r="E30" s="4"/>
      <c r="F30" s="12">
        <f>IF(D$12=0,0,D30/D$12)</f>
        <v>0.10328527291452112</v>
      </c>
      <c r="G30" s="4"/>
      <c r="H30" s="4">
        <v>125.35</v>
      </c>
      <c r="I30" s="4"/>
      <c r="J30" s="12">
        <f>IF(H$12=0,0,H30/H$12)</f>
        <v>8.4382362840794339E-2</v>
      </c>
      <c r="K30" s="4"/>
      <c r="L30" s="4">
        <f>+D30-H30</f>
        <v>75.230000000000018</v>
      </c>
      <c r="M30" s="4"/>
      <c r="N30" s="12">
        <f>IF(H30=0,0,L30/H30)</f>
        <v>0.60015955325089765</v>
      </c>
      <c r="O30" s="10"/>
      <c r="P30" s="4">
        <v>258.49</v>
      </c>
      <c r="Q30" s="4"/>
      <c r="R30" s="12">
        <f>IF(P$12=0,0,P30/P$12)</f>
        <v>0.10741325576563475</v>
      </c>
      <c r="S30" s="4"/>
      <c r="T30" s="4">
        <v>176.45</v>
      </c>
      <c r="U30" s="4"/>
      <c r="V30" s="12">
        <f>IF(T$12=0,0,T30/T$12)</f>
        <v>8.8846928499496464E-2</v>
      </c>
      <c r="W30" s="4"/>
      <c r="X30" s="4">
        <f>+P30-T30</f>
        <v>82.04000000000002</v>
      </c>
      <c r="Y30" s="4"/>
      <c r="Z30" s="12">
        <f>IF(T30=0,0,X30/T30)</f>
        <v>0.46494757721734215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6" t="s">
        <v>4</v>
      </c>
      <c r="C32" s="26"/>
      <c r="D32" s="35">
        <f>+D28-D30</f>
        <v>1250.53</v>
      </c>
      <c r="E32" s="13"/>
      <c r="F32" s="30">
        <f>IF(D$12=0,0,D32/D$12)</f>
        <v>0.64393923789907315</v>
      </c>
      <c r="G32" s="13"/>
      <c r="H32" s="35">
        <f>+H28-H30</f>
        <v>-346.67999999999995</v>
      </c>
      <c r="I32" s="13"/>
      <c r="J32" s="30">
        <f>IF(H$12=0,0,H32/H$12)</f>
        <v>-0.23337596768764723</v>
      </c>
      <c r="K32" s="15"/>
      <c r="L32" s="35">
        <f>D32-H32</f>
        <v>1597.21</v>
      </c>
      <c r="M32" s="15"/>
      <c r="N32" s="30">
        <f>IF(H32=0,0,L32/H32)</f>
        <v>-4.6071593400253841</v>
      </c>
      <c r="O32" s="25"/>
      <c r="P32" s="35">
        <f>+P28-P30</f>
        <v>1060.31</v>
      </c>
      <c r="Q32" s="13"/>
      <c r="R32" s="30">
        <f>IF(P$12=0,0,P32/P$12)</f>
        <v>0.44060253480157902</v>
      </c>
      <c r="S32" s="13"/>
      <c r="T32" s="35">
        <f>+T28-T30</f>
        <v>-5549.05</v>
      </c>
      <c r="U32" s="13"/>
      <c r="V32" s="30">
        <f>IF(T$12=0,0,T32/T$12)</f>
        <v>-2.7940835850956698</v>
      </c>
      <c r="W32" s="15"/>
      <c r="X32" s="35">
        <f>P32-T32</f>
        <v>6609.3600000000006</v>
      </c>
      <c r="Y32" s="15"/>
      <c r="Z32" s="30">
        <f>IF(T32=0,0,X32/T32)</f>
        <v>-1.1910795541579189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6" t="s">
        <v>5</v>
      </c>
      <c r="C35" s="26"/>
      <c r="D35" s="36">
        <f>SUM(D32:D34)</f>
        <v>1250.53</v>
      </c>
      <c r="E35" s="13"/>
      <c r="F35" s="31">
        <f>IF(D$12=0,0,D35/D$12)</f>
        <v>0.64393923789907315</v>
      </c>
      <c r="G35" s="13"/>
      <c r="H35" s="36">
        <f>SUM(H32:H34)</f>
        <v>-346.67999999999995</v>
      </c>
      <c r="I35" s="13"/>
      <c r="J35" s="31">
        <f>IF(H$12=0,0,H35/H$12)</f>
        <v>-0.23337596768764723</v>
      </c>
      <c r="K35" s="15"/>
      <c r="L35" s="36">
        <f>+D35-H35</f>
        <v>1597.21</v>
      </c>
      <c r="M35" s="15"/>
      <c r="N35" s="31">
        <f>IF(H35=0,0,L35/H35)</f>
        <v>-4.6071593400253841</v>
      </c>
      <c r="O35" s="25"/>
      <c r="P35" s="36">
        <f>SUM(P32:P34)</f>
        <v>1060.31</v>
      </c>
      <c r="Q35" s="13"/>
      <c r="R35" s="31">
        <f>IF(P$12=0,0,P35/P$12)</f>
        <v>0.44060253480157902</v>
      </c>
      <c r="S35" s="13"/>
      <c r="T35" s="36">
        <f>SUM(T32:T34)</f>
        <v>-5549.05</v>
      </c>
      <c r="U35" s="13"/>
      <c r="V35" s="31">
        <f>IF(T$12=0,0,T35/T$12)</f>
        <v>-2.7940835850956698</v>
      </c>
      <c r="W35" s="15"/>
      <c r="X35" s="36">
        <f>+P35-T35</f>
        <v>6609.3600000000006</v>
      </c>
      <c r="Y35" s="15"/>
      <c r="Z35" s="31">
        <f>IF(T35=0,0,X35/T35)</f>
        <v>-1.1910795541579189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55">
        <v>43756.463228356479</v>
      </c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s">
        <v>313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309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2172214.0600000005</v>
      </c>
      <c r="E12" s="4"/>
      <c r="F12" s="12"/>
      <c r="G12" s="4"/>
      <c r="H12" s="4">
        <f>SUM(OSRRefH13x_0)</f>
        <v>2231522.4999999995</v>
      </c>
      <c r="I12" s="4"/>
      <c r="J12" s="12"/>
      <c r="K12" s="4"/>
      <c r="L12" s="4">
        <f t="shared" ref="L12:L24" si="0">+D12-H12</f>
        <v>-59308.439999999013</v>
      </c>
      <c r="M12" s="4"/>
      <c r="N12" s="12">
        <f t="shared" ref="N12:N24" si="1">IF(H12=0,0,L12/H12)</f>
        <v>-2.6577567557575163E-2</v>
      </c>
      <c r="O12" s="10"/>
      <c r="P12" s="4">
        <f>SUM(OSRRefP13x_0)</f>
        <v>3715195.15</v>
      </c>
      <c r="Q12" s="4"/>
      <c r="R12" s="12"/>
      <c r="S12" s="4"/>
      <c r="T12" s="4">
        <f>SUM(OSRRefT13x_0)</f>
        <v>3779355.05</v>
      </c>
      <c r="U12" s="4"/>
      <c r="V12" s="12"/>
      <c r="W12" s="4"/>
      <c r="X12" s="4">
        <f t="shared" ref="X12:X24" si="2">+P12-T12</f>
        <v>-64159.899999999907</v>
      </c>
      <c r="Y12" s="4"/>
      <c r="Z12" s="12">
        <f t="shared" ref="Z12:Z24" si="3">IF(T12=0,0,X12/T12)</f>
        <v>-1.6976415063199714E-2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--82575.01</f>
        <v>82575.009999999995</v>
      </c>
      <c r="E13" s="2"/>
      <c r="F13" s="19"/>
      <c r="G13" s="2"/>
      <c r="H13" s="2">
        <f>--79276.18</f>
        <v>79276.179999999993</v>
      </c>
      <c r="I13" s="2"/>
      <c r="J13" s="19"/>
      <c r="K13" s="2"/>
      <c r="L13" s="2">
        <f t="shared" si="0"/>
        <v>3298.8300000000017</v>
      </c>
      <c r="M13" s="2"/>
      <c r="N13" s="19">
        <f t="shared" si="1"/>
        <v>4.1611868785806812E-2</v>
      </c>
      <c r="O13" s="11"/>
      <c r="P13" s="2">
        <f>--135770.76</f>
        <v>135770.76</v>
      </c>
      <c r="Q13" s="2"/>
      <c r="R13" s="19"/>
      <c r="S13" s="2"/>
      <c r="T13" s="2">
        <f>--134558.31</f>
        <v>134558.31</v>
      </c>
      <c r="U13" s="2"/>
      <c r="V13" s="19"/>
      <c r="W13" s="2"/>
      <c r="X13" s="2">
        <f t="shared" si="2"/>
        <v>1212.4500000000116</v>
      </c>
      <c r="Y13" s="2"/>
      <c r="Z13" s="19">
        <f t="shared" si="3"/>
        <v>9.0105917650125933E-3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--113975.81</f>
        <v>113975.81</v>
      </c>
      <c r="E14" s="2"/>
      <c r="F14" s="19"/>
      <c r="G14" s="2"/>
      <c r="H14" s="2">
        <f>--128269.55</f>
        <v>128269.55</v>
      </c>
      <c r="I14" s="2"/>
      <c r="J14" s="19"/>
      <c r="K14" s="2"/>
      <c r="L14" s="2">
        <f t="shared" si="0"/>
        <v>-14293.740000000005</v>
      </c>
      <c r="M14" s="2"/>
      <c r="N14" s="19">
        <f t="shared" si="1"/>
        <v>-0.11143517693794049</v>
      </c>
      <c r="O14" s="11"/>
      <c r="P14" s="2">
        <f>--253506.01</f>
        <v>253506.01</v>
      </c>
      <c r="Q14" s="2"/>
      <c r="R14" s="19"/>
      <c r="S14" s="2"/>
      <c r="T14" s="2">
        <f>--318104.17</f>
        <v>318104.17</v>
      </c>
      <c r="U14" s="2"/>
      <c r="V14" s="19"/>
      <c r="W14" s="2"/>
      <c r="X14" s="2">
        <f t="shared" si="2"/>
        <v>-64598.159999999974</v>
      </c>
      <c r="Y14" s="2"/>
      <c r="Z14" s="19">
        <f t="shared" si="3"/>
        <v>-0.20307234576648264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--3885.3</f>
        <v>3885.3</v>
      </c>
      <c r="E15" s="2"/>
      <c r="F15" s="19"/>
      <c r="G15" s="2"/>
      <c r="H15" s="2">
        <f>--5311.61</f>
        <v>5311.61</v>
      </c>
      <c r="I15" s="2"/>
      <c r="J15" s="19"/>
      <c r="K15" s="2"/>
      <c r="L15" s="2">
        <f t="shared" si="0"/>
        <v>-1426.3099999999995</v>
      </c>
      <c r="M15" s="2"/>
      <c r="N15" s="19">
        <f t="shared" si="1"/>
        <v>-0.26852686850126412</v>
      </c>
      <c r="O15" s="11"/>
      <c r="P15" s="2">
        <f>--50166.43</f>
        <v>50166.43</v>
      </c>
      <c r="Q15" s="2"/>
      <c r="R15" s="19"/>
      <c r="S15" s="2"/>
      <c r="T15" s="2">
        <f>--40976.49</f>
        <v>40976.49</v>
      </c>
      <c r="U15" s="2"/>
      <c r="V15" s="19"/>
      <c r="W15" s="2"/>
      <c r="X15" s="2">
        <f t="shared" si="2"/>
        <v>9189.9400000000023</v>
      </c>
      <c r="Y15" s="2"/>
      <c r="Z15" s="19">
        <f t="shared" si="3"/>
        <v>0.22427347974411677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>--67132.28</f>
        <v>67132.28</v>
      </c>
      <c r="E16" s="2"/>
      <c r="F16" s="19"/>
      <c r="G16" s="2"/>
      <c r="H16" s="2">
        <f>--76282.99</f>
        <v>76282.990000000005</v>
      </c>
      <c r="I16" s="2"/>
      <c r="J16" s="19"/>
      <c r="K16" s="2"/>
      <c r="L16" s="2">
        <f t="shared" si="0"/>
        <v>-9150.7100000000064</v>
      </c>
      <c r="M16" s="2"/>
      <c r="N16" s="19">
        <f t="shared" si="1"/>
        <v>-0.1199574112131683</v>
      </c>
      <c r="O16" s="11"/>
      <c r="P16" s="2">
        <f>--111115</f>
        <v>111115</v>
      </c>
      <c r="Q16" s="2"/>
      <c r="R16" s="19"/>
      <c r="S16" s="2"/>
      <c r="T16" s="2">
        <f>--126483.4</f>
        <v>126483.4</v>
      </c>
      <c r="U16" s="2"/>
      <c r="V16" s="19"/>
      <c r="W16" s="2"/>
      <c r="X16" s="2">
        <f t="shared" si="2"/>
        <v>-15368.399999999994</v>
      </c>
      <c r="Y16" s="2"/>
      <c r="Z16" s="19">
        <f t="shared" si="3"/>
        <v>-0.12150527262866111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--24452.76</f>
        <v>24452.76</v>
      </c>
      <c r="E18" s="2"/>
      <c r="F18" s="19"/>
      <c r="G18" s="2"/>
      <c r="H18" s="2">
        <f>--37319.34</f>
        <v>37319.339999999997</v>
      </c>
      <c r="I18" s="2"/>
      <c r="J18" s="19"/>
      <c r="K18" s="2"/>
      <c r="L18" s="2">
        <f t="shared" si="0"/>
        <v>-12866.579999999998</v>
      </c>
      <c r="M18" s="2"/>
      <c r="N18" s="19">
        <f t="shared" si="1"/>
        <v>-0.3447697628093101</v>
      </c>
      <c r="O18" s="11"/>
      <c r="P18" s="2">
        <f>--42290.9</f>
        <v>42290.9</v>
      </c>
      <c r="Q18" s="2"/>
      <c r="R18" s="19"/>
      <c r="S18" s="2"/>
      <c r="T18" s="2">
        <f>--65691.63</f>
        <v>65691.63</v>
      </c>
      <c r="U18" s="2"/>
      <c r="V18" s="19"/>
      <c r="W18" s="2"/>
      <c r="X18" s="2">
        <f t="shared" si="2"/>
        <v>-23400.730000000003</v>
      </c>
      <c r="Y18" s="2"/>
      <c r="Z18" s="19">
        <f t="shared" si="3"/>
        <v>-0.35622087623643989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--1647621.37</f>
        <v>1647621.37</v>
      </c>
      <c r="E19" s="2"/>
      <c r="F19" s="19"/>
      <c r="G19" s="2"/>
      <c r="H19" s="2">
        <f>--1684971.42</f>
        <v>1684971.42</v>
      </c>
      <c r="I19" s="2"/>
      <c r="J19" s="19"/>
      <c r="K19" s="2"/>
      <c r="L19" s="2">
        <f t="shared" si="0"/>
        <v>-37350.049999999814</v>
      </c>
      <c r="M19" s="2"/>
      <c r="N19" s="19">
        <f t="shared" si="1"/>
        <v>-2.2166577757146654E-2</v>
      </c>
      <c r="O19" s="11"/>
      <c r="P19" s="2">
        <f>--2650999.13</f>
        <v>2650999.13</v>
      </c>
      <c r="Q19" s="2"/>
      <c r="R19" s="19"/>
      <c r="S19" s="2"/>
      <c r="T19" s="2">
        <f>--2639343.8</f>
        <v>2639343.7999999998</v>
      </c>
      <c r="U19" s="2"/>
      <c r="V19" s="19"/>
      <c r="W19" s="2"/>
      <c r="X19" s="2">
        <f t="shared" si="2"/>
        <v>11655.330000000075</v>
      </c>
      <c r="Y19" s="2"/>
      <c r="Z19" s="19">
        <f t="shared" si="3"/>
        <v>4.4159953697582239E-3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--8131.54</f>
        <v>8131.54</v>
      </c>
      <c r="E20" s="2"/>
      <c r="F20" s="19"/>
      <c r="G20" s="2"/>
      <c r="H20" s="2">
        <f>--7627.39</f>
        <v>7627.39</v>
      </c>
      <c r="I20" s="2"/>
      <c r="J20" s="19"/>
      <c r="K20" s="2"/>
      <c r="L20" s="2">
        <f t="shared" si="0"/>
        <v>504.14999999999964</v>
      </c>
      <c r="M20" s="2"/>
      <c r="N20" s="19">
        <f t="shared" si="1"/>
        <v>6.6097315071079313E-2</v>
      </c>
      <c r="O20" s="11"/>
      <c r="P20" s="2">
        <f>--15789.06</f>
        <v>15789.06</v>
      </c>
      <c r="Q20" s="2"/>
      <c r="R20" s="19"/>
      <c r="S20" s="2"/>
      <c r="T20" s="2">
        <f>--15299.92</f>
        <v>15299.92</v>
      </c>
      <c r="U20" s="2"/>
      <c r="V20" s="19"/>
      <c r="W20" s="2"/>
      <c r="X20" s="2">
        <f t="shared" si="2"/>
        <v>489.13999999999942</v>
      </c>
      <c r="Y20" s="2"/>
      <c r="Z20" s="19">
        <f t="shared" si="3"/>
        <v>3.1970101804453845E-2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--39533.66</f>
        <v>39533.660000000003</v>
      </c>
      <c r="E21" s="2"/>
      <c r="F21" s="19"/>
      <c r="G21" s="2"/>
      <c r="H21" s="2">
        <f>--37400.93</f>
        <v>37400.93</v>
      </c>
      <c r="I21" s="2"/>
      <c r="J21" s="19"/>
      <c r="K21" s="2"/>
      <c r="L21" s="2">
        <f t="shared" si="0"/>
        <v>2132.7300000000032</v>
      </c>
      <c r="M21" s="2"/>
      <c r="N21" s="19">
        <f t="shared" si="1"/>
        <v>5.7023448347407489E-2</v>
      </c>
      <c r="O21" s="11"/>
      <c r="P21" s="2">
        <f>--159285.58</f>
        <v>159285.57999999999</v>
      </c>
      <c r="Q21" s="2"/>
      <c r="R21" s="19"/>
      <c r="S21" s="2"/>
      <c r="T21" s="2">
        <f>--129037.91</f>
        <v>129037.91</v>
      </c>
      <c r="U21" s="2"/>
      <c r="V21" s="19"/>
      <c r="W21" s="2"/>
      <c r="X21" s="2">
        <f t="shared" si="2"/>
        <v>30247.669999999984</v>
      </c>
      <c r="Y21" s="2"/>
      <c r="Z21" s="19">
        <f t="shared" si="3"/>
        <v>0.23440917479212103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--113029.61</f>
        <v>113029.61</v>
      </c>
      <c r="E22" s="2"/>
      <c r="F22" s="19"/>
      <c r="G22" s="2"/>
      <c r="H22" s="2">
        <f>--106514.11</f>
        <v>106514.11</v>
      </c>
      <c r="I22" s="2"/>
      <c r="J22" s="19"/>
      <c r="K22" s="2"/>
      <c r="L22" s="2">
        <f t="shared" si="0"/>
        <v>6515.5</v>
      </c>
      <c r="M22" s="2"/>
      <c r="N22" s="19">
        <f t="shared" si="1"/>
        <v>6.1170299409158094E-2</v>
      </c>
      <c r="O22" s="11"/>
      <c r="P22" s="2">
        <f>--184025.65</f>
        <v>184025.65</v>
      </c>
      <c r="Q22" s="2"/>
      <c r="R22" s="19"/>
      <c r="S22" s="2"/>
      <c r="T22" s="2">
        <f>--174274.09</f>
        <v>174274.09</v>
      </c>
      <c r="U22" s="2"/>
      <c r="V22" s="19"/>
      <c r="W22" s="2"/>
      <c r="X22" s="2">
        <f t="shared" si="2"/>
        <v>9751.5599999999977</v>
      </c>
      <c r="Y22" s="2"/>
      <c r="Z22" s="19">
        <f t="shared" si="3"/>
        <v>5.5955305805929029E-2</v>
      </c>
    </row>
    <row r="23" spans="1:26" s="24" customFormat="1" hidden="1" outlineLevel="1" x14ac:dyDescent="0.25">
      <c r="A23" s="44"/>
      <c r="B23" s="11" t="str">
        <f>CONCATENATE("          ", "4158", " - ", "NON-TAXABLE SALES-FOOD")</f>
        <v xml:space="preserve">          4158 - NON-TAXABLE SALES-FOOD</v>
      </c>
      <c r="C23" s="11"/>
      <c r="D23" s="2">
        <f>--71876.72</f>
        <v>71876.72</v>
      </c>
      <c r="E23" s="2"/>
      <c r="F23" s="19"/>
      <c r="G23" s="2"/>
      <c r="H23" s="2">
        <f>--68548.98</f>
        <v>68548.98</v>
      </c>
      <c r="I23" s="2"/>
      <c r="J23" s="19"/>
      <c r="K23" s="2"/>
      <c r="L23" s="2">
        <f t="shared" si="0"/>
        <v>3327.7400000000052</v>
      </c>
      <c r="M23" s="2"/>
      <c r="N23" s="19">
        <f t="shared" si="1"/>
        <v>4.8545434228197203E-2</v>
      </c>
      <c r="O23" s="11"/>
      <c r="P23" s="2">
        <f>--112246.63</f>
        <v>112246.63</v>
      </c>
      <c r="Q23" s="2"/>
      <c r="R23" s="19"/>
      <c r="S23" s="2"/>
      <c r="T23" s="2">
        <f>--123024.35</f>
        <v>123024.35</v>
      </c>
      <c r="U23" s="2"/>
      <c r="V23" s="19"/>
      <c r="W23" s="2"/>
      <c r="X23" s="2">
        <f t="shared" si="2"/>
        <v>-10777.720000000001</v>
      </c>
      <c r="Y23" s="2"/>
      <c r="Z23" s="19">
        <f t="shared" si="3"/>
        <v>-8.7606396619856156E-2</v>
      </c>
    </row>
    <row r="24" spans="1:26" s="24" customFormat="1" hidden="1" outlineLevel="1" x14ac:dyDescent="0.25">
      <c r="A24" s="44"/>
      <c r="B24" s="11" t="str">
        <f>CONCATENATE("          ", "4159", " - ", "NON-TAXABLE SALES-FOOD")</f>
        <v xml:space="preserve">          4159 - NON-TAXABLE SALES-FOOD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--1054.9</f>
        <v>1054.9000000000001</v>
      </c>
      <c r="U24" s="2"/>
      <c r="V24" s="19"/>
      <c r="W24" s="2"/>
      <c r="X24" s="2">
        <f t="shared" si="2"/>
        <v>-1054.9000000000001</v>
      </c>
      <c r="Y24" s="2"/>
      <c r="Z24" s="19">
        <f t="shared" si="3"/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5" t="s">
        <v>8</v>
      </c>
      <c r="C26" s="10"/>
      <c r="D26" s="4">
        <f>SUM(OSRRefD16x_0)</f>
        <v>571672.34</v>
      </c>
      <c r="E26" s="4"/>
      <c r="F26" s="12">
        <f t="shared" ref="F26:F28" si="4">IF(D$12=0,0,D26/D$12)</f>
        <v>0.26317495615510372</v>
      </c>
      <c r="G26" s="4"/>
      <c r="H26" s="4">
        <f>SUM(OSRRefH16x_0)</f>
        <v>520868.09</v>
      </c>
      <c r="I26" s="4"/>
      <c r="J26" s="12">
        <f t="shared" ref="J26:J28" si="5">IF(H$12=0,0,H26/H$12)</f>
        <v>0.2334137746762581</v>
      </c>
      <c r="K26" s="4"/>
      <c r="L26" s="4">
        <f t="shared" ref="L26:L28" si="6">+D26-H26</f>
        <v>50804.249999999942</v>
      </c>
      <c r="M26" s="4"/>
      <c r="N26" s="12">
        <f t="shared" ref="N26:N28" si="7">IF(H26=0,0,L26/H26)</f>
        <v>9.7537651039440593E-2</v>
      </c>
      <c r="O26" s="10"/>
      <c r="P26" s="4">
        <f>SUM(OSRRefP16x_0)</f>
        <v>1050982.26</v>
      </c>
      <c r="Q26" s="4"/>
      <c r="R26" s="12">
        <f t="shared" ref="R26:R28" si="8">IF(P$12=0,0,P26/P$12)</f>
        <v>0.28288749784785872</v>
      </c>
      <c r="S26" s="4"/>
      <c r="T26" s="4">
        <f>SUM(OSRRefT16x_0)</f>
        <v>1017975.2400000001</v>
      </c>
      <c r="U26" s="4"/>
      <c r="V26" s="12">
        <f t="shared" ref="V26:V28" si="9">IF(T$12=0,0,T26/T$12)</f>
        <v>0.26935157626960721</v>
      </c>
      <c r="W26" s="4"/>
      <c r="X26" s="4">
        <f t="shared" ref="X26:X28" si="10">+P26-T26</f>
        <v>33007.019999999902</v>
      </c>
      <c r="Y26" s="4"/>
      <c r="Z26" s="12">
        <f t="shared" ref="Z26:Z28" si="11">IF(T26=0,0,X26/T26)</f>
        <v>3.2424187448802683E-2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551152.96</v>
      </c>
      <c r="E27" s="2"/>
      <c r="F27" s="19">
        <f t="shared" si="4"/>
        <v>0.2537286587676354</v>
      </c>
      <c r="G27" s="2"/>
      <c r="H27" s="2">
        <v>530583.68000000005</v>
      </c>
      <c r="I27" s="2"/>
      <c r="J27" s="19">
        <f t="shared" si="5"/>
        <v>0.23776756900277732</v>
      </c>
      <c r="K27" s="2"/>
      <c r="L27" s="2">
        <f t="shared" si="6"/>
        <v>20569.279999999912</v>
      </c>
      <c r="M27" s="2"/>
      <c r="N27" s="19">
        <f t="shared" si="7"/>
        <v>3.8767268529631194E-2</v>
      </c>
      <c r="O27" s="11"/>
      <c r="P27" s="2">
        <v>1079772.17</v>
      </c>
      <c r="Q27" s="2"/>
      <c r="R27" s="19">
        <f t="shared" si="8"/>
        <v>0.29063673007863394</v>
      </c>
      <c r="S27" s="2"/>
      <c r="T27" s="2">
        <v>1085051.8900000001</v>
      </c>
      <c r="U27" s="2"/>
      <c r="V27" s="19">
        <f t="shared" si="9"/>
        <v>0.2870997499957037</v>
      </c>
      <c r="W27" s="2"/>
      <c r="X27" s="2">
        <f t="shared" si="10"/>
        <v>-5279.7200000002049</v>
      </c>
      <c r="Y27" s="2"/>
      <c r="Z27" s="19">
        <f t="shared" si="11"/>
        <v>-4.8658686728799711E-3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20519.38</v>
      </c>
      <c r="E28" s="2"/>
      <c r="F28" s="19">
        <f t="shared" si="4"/>
        <v>9.4462973874683397E-3</v>
      </c>
      <c r="G28" s="2"/>
      <c r="H28" s="2">
        <v>-9715.59</v>
      </c>
      <c r="I28" s="2"/>
      <c r="J28" s="19">
        <f t="shared" si="5"/>
        <v>-4.3537943265192268E-3</v>
      </c>
      <c r="K28" s="2"/>
      <c r="L28" s="2">
        <f t="shared" si="6"/>
        <v>30234.97</v>
      </c>
      <c r="M28" s="2"/>
      <c r="N28" s="19">
        <f t="shared" si="7"/>
        <v>-3.1120055498430874</v>
      </c>
      <c r="O28" s="11"/>
      <c r="P28" s="2">
        <v>-28789.91</v>
      </c>
      <c r="Q28" s="2"/>
      <c r="R28" s="19">
        <f t="shared" si="8"/>
        <v>-7.74923223077528E-3</v>
      </c>
      <c r="S28" s="2"/>
      <c r="T28" s="2">
        <v>-67076.649999999994</v>
      </c>
      <c r="U28" s="2"/>
      <c r="V28" s="19">
        <f t="shared" si="9"/>
        <v>-1.7748173726096467E-2</v>
      </c>
      <c r="W28" s="2"/>
      <c r="X28" s="2">
        <f t="shared" si="10"/>
        <v>38286.739999999991</v>
      </c>
      <c r="Y28" s="2"/>
      <c r="Z28" s="19">
        <f t="shared" si="11"/>
        <v>-0.57079087879314183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6" t="s">
        <v>6</v>
      </c>
      <c r="C30" s="26"/>
      <c r="D30" s="21">
        <f>D12-D26</f>
        <v>1600541.7200000007</v>
      </c>
      <c r="E30" s="13"/>
      <c r="F30" s="20">
        <f>IF(D$12=0,0,D30/D$12)</f>
        <v>0.73682504384489633</v>
      </c>
      <c r="G30" s="13"/>
      <c r="H30" s="21">
        <f>H12-H26</f>
        <v>1710654.4099999995</v>
      </c>
      <c r="I30" s="13"/>
      <c r="J30" s="20">
        <f>IF(H$12=0,0,H30/H$12)</f>
        <v>0.76658622532374188</v>
      </c>
      <c r="K30" s="15"/>
      <c r="L30" s="21">
        <f>+D30-H30</f>
        <v>-110112.68999999878</v>
      </c>
      <c r="M30" s="15"/>
      <c r="N30" s="20">
        <f>IF(H30=0,0,L30/H30)</f>
        <v>-6.4368752306901547E-2</v>
      </c>
      <c r="O30" s="25"/>
      <c r="P30" s="21">
        <f>P12-P26</f>
        <v>2664212.8899999997</v>
      </c>
      <c r="Q30" s="13"/>
      <c r="R30" s="20">
        <f>IF(P$12=0,0,P30/P$12)</f>
        <v>0.71711250215214128</v>
      </c>
      <c r="S30" s="13"/>
      <c r="T30" s="21">
        <f>T12-T26</f>
        <v>2761379.8099999996</v>
      </c>
      <c r="U30" s="13"/>
      <c r="V30" s="20">
        <f>IF(T$12=0,0,T30/T$12)</f>
        <v>0.73064842373039274</v>
      </c>
      <c r="W30" s="15"/>
      <c r="X30" s="21">
        <f>+P30-T30</f>
        <v>-97166.919999999925</v>
      </c>
      <c r="Y30" s="15"/>
      <c r="Z30" s="20">
        <f>IF(T30=0,0,X30/T30)</f>
        <v>-3.5187814312294813E-2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5" t="s">
        <v>9</v>
      </c>
      <c r="C32" s="10"/>
      <c r="D32" s="22">
        <f>SUM(OSRRefD22x_0)</f>
        <v>1100441.0300000003</v>
      </c>
      <c r="E32" s="22"/>
      <c r="F32" s="34">
        <f t="shared" ref="F32:F42" si="12">IF(D$12=0,0,D32/D$12)</f>
        <v>0.5065987971737923</v>
      </c>
      <c r="G32" s="22"/>
      <c r="H32" s="22">
        <f>SUM(OSRRefH22x_0)</f>
        <v>938136.97999999986</v>
      </c>
      <c r="I32" s="22"/>
      <c r="J32" s="34">
        <f t="shared" ref="J32:J42" si="13">IF(H$12=0,0,H32/H$12)</f>
        <v>0.42040220522087501</v>
      </c>
      <c r="K32" s="4"/>
      <c r="L32" s="22">
        <f t="shared" ref="L32:L42" si="14">+D32-H32</f>
        <v>162304.0500000004</v>
      </c>
      <c r="M32" s="4"/>
      <c r="N32" s="34">
        <f t="shared" ref="N32:N42" si="15">IF(H32=0,0,L32/H32)</f>
        <v>0.17300677135656717</v>
      </c>
      <c r="O32" s="10"/>
      <c r="P32" s="22">
        <f>SUM(OSRRefP22x_0)</f>
        <v>2670869.92</v>
      </c>
      <c r="Q32" s="22"/>
      <c r="R32" s="34">
        <f t="shared" ref="R32:R42" si="16">IF(P$12=0,0,P32/P$12)</f>
        <v>0.71890434073160325</v>
      </c>
      <c r="S32" s="22"/>
      <c r="T32" s="22">
        <f>SUM(OSRRefT22x_0)</f>
        <v>2419949.61</v>
      </c>
      <c r="U32" s="22"/>
      <c r="V32" s="34">
        <f t="shared" ref="V32:V42" si="17">IF(T$12=0,0,T32/T$12)</f>
        <v>0.64030755988379551</v>
      </c>
      <c r="W32" s="4"/>
      <c r="X32" s="22">
        <f t="shared" ref="X32:X42" si="18">+P32-T32</f>
        <v>250920.31000000006</v>
      </c>
      <c r="Y32" s="4"/>
      <c r="Z32" s="34">
        <f t="shared" ref="Z32:Z42" si="19">IF(T32=0,0,X32/T32)</f>
        <v>0.10368823754144206</v>
      </c>
    </row>
    <row r="33" spans="1:26" s="29" customFormat="1" outlineLevel="1" collapsed="1" x14ac:dyDescent="0.25">
      <c r="A33" s="27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168224.55000000002</v>
      </c>
      <c r="E33" s="1"/>
      <c r="F33" s="5">
        <f t="shared" si="12"/>
        <v>7.7443817852831678E-2</v>
      </c>
      <c r="G33" s="1"/>
      <c r="H33" s="1">
        <f>SUM(OSRRefH22_0x_0)</f>
        <v>135096.07</v>
      </c>
      <c r="I33" s="1"/>
      <c r="J33" s="5">
        <f t="shared" si="13"/>
        <v>6.0539864599169414E-2</v>
      </c>
      <c r="K33" s="1"/>
      <c r="L33" s="1">
        <f t="shared" si="14"/>
        <v>33128.48000000001</v>
      </c>
      <c r="M33" s="1"/>
      <c r="N33" s="5">
        <f t="shared" si="15"/>
        <v>0.24522164116247058</v>
      </c>
      <c r="O33" s="14"/>
      <c r="P33" s="1">
        <f>SUM(OSRRefP22_0x_0)</f>
        <v>480117.90000000008</v>
      </c>
      <c r="Q33" s="1"/>
      <c r="R33" s="5">
        <f t="shared" si="16"/>
        <v>0.12923086960855881</v>
      </c>
      <c r="S33" s="1"/>
      <c r="T33" s="1">
        <f>SUM(OSRRefT22_0x_0)</f>
        <v>411036.64</v>
      </c>
      <c r="U33" s="1"/>
      <c r="V33" s="5">
        <f t="shared" si="17"/>
        <v>0.10875840839563354</v>
      </c>
      <c r="W33" s="1"/>
      <c r="X33" s="1">
        <f t="shared" si="18"/>
        <v>69081.260000000068</v>
      </c>
      <c r="Y33" s="1"/>
      <c r="Z33" s="5">
        <f t="shared" si="19"/>
        <v>0.1680659417612991</v>
      </c>
    </row>
    <row r="34" spans="1:26" s="24" customFormat="1" hidden="1" outlineLevel="2" x14ac:dyDescent="0.25">
      <c r="A34" s="28"/>
      <c r="B34" s="11" t="str">
        <f>CONCATENATE("          ", "6111", " - ", "F.I.C.A.")</f>
        <v xml:space="preserve">          6111 - F.I.C.A.</v>
      </c>
      <c r="C34" s="11"/>
      <c r="D34" s="6">
        <v>24286.969999999998</v>
      </c>
      <c r="E34" s="2"/>
      <c r="F34" s="7">
        <f t="shared" si="12"/>
        <v>1.1180744313937454E-2</v>
      </c>
      <c r="G34" s="2"/>
      <c r="H34" s="6">
        <v>20781.439999999999</v>
      </c>
      <c r="I34" s="2"/>
      <c r="J34" s="7">
        <f t="shared" si="13"/>
        <v>9.312673298163026E-3</v>
      </c>
      <c r="K34" s="2"/>
      <c r="L34" s="6">
        <f t="shared" si="14"/>
        <v>3505.5299999999988</v>
      </c>
      <c r="M34" s="2"/>
      <c r="N34" s="7">
        <f t="shared" si="15"/>
        <v>0.16868561562625106</v>
      </c>
      <c r="O34" s="11"/>
      <c r="P34" s="6">
        <v>73555.66</v>
      </c>
      <c r="Q34" s="2"/>
      <c r="R34" s="7">
        <f t="shared" si="16"/>
        <v>1.9798599274118887E-2</v>
      </c>
      <c r="S34" s="2"/>
      <c r="T34" s="6">
        <v>66259.47</v>
      </c>
      <c r="U34" s="2"/>
      <c r="V34" s="7">
        <f t="shared" si="17"/>
        <v>1.7531951648734355E-2</v>
      </c>
      <c r="W34" s="2"/>
      <c r="X34" s="6">
        <f t="shared" si="18"/>
        <v>7296.1900000000023</v>
      </c>
      <c r="Y34" s="2"/>
      <c r="Z34" s="7">
        <f t="shared" si="19"/>
        <v>0.11011542953784571</v>
      </c>
    </row>
    <row r="35" spans="1:26" s="24" customFormat="1" hidden="1" outlineLevel="2" x14ac:dyDescent="0.25">
      <c r="A35" s="28"/>
      <c r="B35" s="11" t="str">
        <f>CONCATENATE("          ", "6112", " - ", "COMPENSATION INSURANCE")</f>
        <v xml:space="preserve">          6112 - COMPENSATION INSURANCE</v>
      </c>
      <c r="C35" s="11"/>
      <c r="D35" s="6">
        <v>20010.919999999998</v>
      </c>
      <c r="E35" s="2"/>
      <c r="F35" s="7">
        <f t="shared" si="12"/>
        <v>9.2122228506337882E-3</v>
      </c>
      <c r="G35" s="2"/>
      <c r="H35" s="6"/>
      <c r="I35" s="2"/>
      <c r="J35" s="7">
        <f t="shared" si="13"/>
        <v>0</v>
      </c>
      <c r="K35" s="2"/>
      <c r="L35" s="6">
        <f t="shared" si="14"/>
        <v>20010.919999999998</v>
      </c>
      <c r="M35" s="2"/>
      <c r="N35" s="7">
        <f t="shared" si="15"/>
        <v>0</v>
      </c>
      <c r="O35" s="11"/>
      <c r="P35" s="6">
        <v>45188.060000000005</v>
      </c>
      <c r="Q35" s="2"/>
      <c r="R35" s="7">
        <f t="shared" si="16"/>
        <v>1.2163038057368267E-2</v>
      </c>
      <c r="S35" s="2"/>
      <c r="T35" s="6">
        <v>25185.78</v>
      </c>
      <c r="U35" s="2"/>
      <c r="V35" s="7">
        <f t="shared" si="17"/>
        <v>6.6640417919983461E-3</v>
      </c>
      <c r="W35" s="2"/>
      <c r="X35" s="6">
        <f t="shared" si="18"/>
        <v>20002.280000000006</v>
      </c>
      <c r="Y35" s="2"/>
      <c r="Z35" s="7">
        <f t="shared" si="19"/>
        <v>0.79418941958517886</v>
      </c>
    </row>
    <row r="36" spans="1:26" s="24" customFormat="1" hidden="1" outlineLevel="2" x14ac:dyDescent="0.25">
      <c r="A36" s="28"/>
      <c r="B36" s="11" t="str">
        <f>CONCATENATE("          ", "6113", " - ", "GROUP INSURANCE")</f>
        <v xml:space="preserve">          6113 - GROUP INSURANCE</v>
      </c>
      <c r="C36" s="11"/>
      <c r="D36" s="6">
        <v>66268.290000000008</v>
      </c>
      <c r="E36" s="2"/>
      <c r="F36" s="7">
        <f t="shared" si="12"/>
        <v>3.05072558088497E-2</v>
      </c>
      <c r="G36" s="2"/>
      <c r="H36" s="6">
        <v>74131.97</v>
      </c>
      <c r="I36" s="2"/>
      <c r="J36" s="7">
        <f t="shared" si="13"/>
        <v>3.3220355161106385E-2</v>
      </c>
      <c r="K36" s="2"/>
      <c r="L36" s="6">
        <f t="shared" si="14"/>
        <v>-7863.679999999993</v>
      </c>
      <c r="M36" s="2"/>
      <c r="N36" s="7">
        <f t="shared" si="15"/>
        <v>-0.10607677092622782</v>
      </c>
      <c r="O36" s="11"/>
      <c r="P36" s="6">
        <v>197560.28999999998</v>
      </c>
      <c r="Q36" s="2"/>
      <c r="R36" s="7">
        <f t="shared" si="16"/>
        <v>5.3176288734119385E-2</v>
      </c>
      <c r="S36" s="2"/>
      <c r="T36" s="6">
        <v>174736.96</v>
      </c>
      <c r="U36" s="2"/>
      <c r="V36" s="7">
        <f t="shared" si="17"/>
        <v>4.6234597620035726E-2</v>
      </c>
      <c r="W36" s="2"/>
      <c r="X36" s="6">
        <f t="shared" si="18"/>
        <v>22823.329999999987</v>
      </c>
      <c r="Y36" s="2"/>
      <c r="Z36" s="7">
        <f t="shared" si="19"/>
        <v>0.13061535464506185</v>
      </c>
    </row>
    <row r="37" spans="1:26" s="24" customFormat="1" hidden="1" outlineLevel="2" x14ac:dyDescent="0.25">
      <c r="A37" s="28"/>
      <c r="B37" s="11" t="str">
        <f>CONCATENATE("          ", "6114", " - ", "STATE UNEMPLOYMENT INSURANCE")</f>
        <v xml:space="preserve">          6114 - STATE UNEMPLOYMENT INSURANCE</v>
      </c>
      <c r="C37" s="11"/>
      <c r="D37" s="6">
        <v>1383.96</v>
      </c>
      <c r="E37" s="2"/>
      <c r="F37" s="7">
        <f t="shared" si="12"/>
        <v>6.3711952955501985E-4</v>
      </c>
      <c r="G37" s="2"/>
      <c r="H37" s="6">
        <v>1231.46</v>
      </c>
      <c r="I37" s="2"/>
      <c r="J37" s="7">
        <f t="shared" si="13"/>
        <v>5.5184744944314942E-4</v>
      </c>
      <c r="K37" s="2"/>
      <c r="L37" s="6">
        <f t="shared" si="14"/>
        <v>152.5</v>
      </c>
      <c r="M37" s="2"/>
      <c r="N37" s="7">
        <f t="shared" si="15"/>
        <v>0.12383674662595617</v>
      </c>
      <c r="O37" s="11"/>
      <c r="P37" s="6">
        <v>3109.85</v>
      </c>
      <c r="Q37" s="2"/>
      <c r="R37" s="7">
        <f t="shared" si="16"/>
        <v>8.3706235458452295E-4</v>
      </c>
      <c r="S37" s="2"/>
      <c r="T37" s="6">
        <v>3130.65</v>
      </c>
      <c r="U37" s="2"/>
      <c r="V37" s="7">
        <f t="shared" si="17"/>
        <v>8.2835562115287373E-4</v>
      </c>
      <c r="W37" s="2"/>
      <c r="X37" s="6">
        <f t="shared" si="18"/>
        <v>-20.800000000000182</v>
      </c>
      <c r="Y37" s="2"/>
      <c r="Z37" s="7">
        <f t="shared" si="19"/>
        <v>-6.6439876702921695E-3</v>
      </c>
    </row>
    <row r="38" spans="1:26" s="24" customFormat="1" hidden="1" outlineLevel="2" x14ac:dyDescent="0.25">
      <c r="A38" s="28"/>
      <c r="B38" s="11" t="str">
        <f>CONCATENATE("          ", "6115", " - ", "P.E.R.S.")</f>
        <v xml:space="preserve">          6115 - P.E.R.S.</v>
      </c>
      <c r="C38" s="11"/>
      <c r="D38" s="6">
        <v>10199.94</v>
      </c>
      <c r="E38" s="2"/>
      <c r="F38" s="7">
        <f t="shared" si="12"/>
        <v>4.6956421965153828E-3</v>
      </c>
      <c r="G38" s="2"/>
      <c r="H38" s="6">
        <v>9103.89</v>
      </c>
      <c r="I38" s="2"/>
      <c r="J38" s="7">
        <f t="shared" si="13"/>
        <v>4.0796765437050271E-3</v>
      </c>
      <c r="K38" s="2"/>
      <c r="L38" s="6">
        <f t="shared" si="14"/>
        <v>1096.0500000000011</v>
      </c>
      <c r="M38" s="2"/>
      <c r="N38" s="7">
        <f t="shared" si="15"/>
        <v>0.12039358999284934</v>
      </c>
      <c r="O38" s="11"/>
      <c r="P38" s="6">
        <v>29936.959999999999</v>
      </c>
      <c r="Q38" s="2"/>
      <c r="R38" s="7">
        <f t="shared" si="16"/>
        <v>8.0579777888652761E-3</v>
      </c>
      <c r="S38" s="2"/>
      <c r="T38" s="6">
        <v>31847.660000000003</v>
      </c>
      <c r="U38" s="2"/>
      <c r="V38" s="7">
        <f t="shared" si="17"/>
        <v>8.4267446637489134E-3</v>
      </c>
      <c r="W38" s="2"/>
      <c r="X38" s="6">
        <f t="shared" si="18"/>
        <v>-1910.7000000000044</v>
      </c>
      <c r="Y38" s="2"/>
      <c r="Z38" s="7">
        <f t="shared" si="19"/>
        <v>-5.9994988642807799E-2</v>
      </c>
    </row>
    <row r="39" spans="1:26" s="24" customFormat="1" hidden="1" outlineLevel="2" x14ac:dyDescent="0.25">
      <c r="A39" s="28"/>
      <c r="B39" s="11" t="str">
        <f>CONCATENATE("          ", "6117", " - ", "RETIREMENT STAFF HOURLY")</f>
        <v xml:space="preserve">          6117 - RETIREMENT STAFF HOURLY</v>
      </c>
      <c r="C39" s="11"/>
      <c r="D39" s="6">
        <v>2369.4699999999998</v>
      </c>
      <c r="E39" s="2"/>
      <c r="F39" s="7">
        <f t="shared" si="12"/>
        <v>1.0908087023430827E-3</v>
      </c>
      <c r="G39" s="2"/>
      <c r="H39" s="6">
        <v>2322.44</v>
      </c>
      <c r="I39" s="2"/>
      <c r="J39" s="7">
        <f t="shared" si="13"/>
        <v>1.0407423631175578E-3</v>
      </c>
      <c r="K39" s="2"/>
      <c r="L39" s="6">
        <f t="shared" si="14"/>
        <v>47.029999999999745</v>
      </c>
      <c r="M39" s="2"/>
      <c r="N39" s="7">
        <f t="shared" si="15"/>
        <v>2.0250254043161393E-2</v>
      </c>
      <c r="O39" s="11"/>
      <c r="P39" s="6">
        <v>5028.78</v>
      </c>
      <c r="Q39" s="2"/>
      <c r="R39" s="7">
        <f t="shared" si="16"/>
        <v>1.3535708884632883E-3</v>
      </c>
      <c r="S39" s="2"/>
      <c r="T39" s="6">
        <v>5052.55</v>
      </c>
      <c r="U39" s="2"/>
      <c r="V39" s="7">
        <f t="shared" si="17"/>
        <v>1.336881540145322E-3</v>
      </c>
      <c r="W39" s="2"/>
      <c r="X39" s="6">
        <f t="shared" si="18"/>
        <v>-23.770000000000437</v>
      </c>
      <c r="Y39" s="2"/>
      <c r="Z39" s="7">
        <f t="shared" si="19"/>
        <v>-4.7045551256297185E-3</v>
      </c>
    </row>
    <row r="40" spans="1:26" s="24" customFormat="1" hidden="1" outlineLevel="2" x14ac:dyDescent="0.25">
      <c r="A40" s="28"/>
      <c r="B40" s="11" t="str">
        <f>CONCATENATE("          ", "6118", " - ", "VACATION")</f>
        <v xml:space="preserve">          6118 - VACATION</v>
      </c>
      <c r="C40" s="11"/>
      <c r="D40" s="6">
        <v>16940</v>
      </c>
      <c r="E40" s="2"/>
      <c r="F40" s="7">
        <f t="shared" si="12"/>
        <v>7.798494776338938E-3</v>
      </c>
      <c r="G40" s="2"/>
      <c r="H40" s="6">
        <v>12497.06</v>
      </c>
      <c r="I40" s="2"/>
      <c r="J40" s="7">
        <f t="shared" si="13"/>
        <v>5.6002392985058415E-3</v>
      </c>
      <c r="K40" s="2"/>
      <c r="L40" s="6">
        <f t="shared" si="14"/>
        <v>4442.9400000000005</v>
      </c>
      <c r="M40" s="2"/>
      <c r="N40" s="7">
        <f t="shared" si="15"/>
        <v>0.35551881802599977</v>
      </c>
      <c r="O40" s="11"/>
      <c r="P40" s="6">
        <v>49447.7</v>
      </c>
      <c r="Q40" s="2"/>
      <c r="R40" s="7">
        <f t="shared" si="16"/>
        <v>1.3309583481772148E-2</v>
      </c>
      <c r="S40" s="2"/>
      <c r="T40" s="6">
        <v>43461.53</v>
      </c>
      <c r="U40" s="2"/>
      <c r="V40" s="7">
        <f t="shared" si="17"/>
        <v>1.1499721361188334E-2</v>
      </c>
      <c r="W40" s="2"/>
      <c r="X40" s="6">
        <f t="shared" si="18"/>
        <v>5986.1699999999983</v>
      </c>
      <c r="Y40" s="2"/>
      <c r="Z40" s="7">
        <f t="shared" si="19"/>
        <v>0.13773491177139871</v>
      </c>
    </row>
    <row r="41" spans="1:26" s="24" customFormat="1" hidden="1" outlineLevel="2" x14ac:dyDescent="0.25">
      <c r="A41" s="28"/>
      <c r="B41" s="11" t="str">
        <f>CONCATENATE("          ", "6119", " - ", "SICK LEAVE")</f>
        <v xml:space="preserve">          6119 - SICK LEAVE</v>
      </c>
      <c r="C41" s="11"/>
      <c r="D41" s="6">
        <v>20372.05</v>
      </c>
      <c r="E41" s="2"/>
      <c r="F41" s="7">
        <f t="shared" si="12"/>
        <v>9.3784725801839223E-3</v>
      </c>
      <c r="G41" s="2"/>
      <c r="H41" s="6">
        <v>8602.69</v>
      </c>
      <c r="I41" s="2"/>
      <c r="J41" s="7">
        <f t="shared" si="13"/>
        <v>3.8550765228672363E-3</v>
      </c>
      <c r="K41" s="2"/>
      <c r="L41" s="6">
        <f t="shared" si="14"/>
        <v>11769.359999999999</v>
      </c>
      <c r="M41" s="2"/>
      <c r="N41" s="7">
        <f t="shared" si="15"/>
        <v>1.3681023028843302</v>
      </c>
      <c r="O41" s="11"/>
      <c r="P41" s="6">
        <v>58982.15</v>
      </c>
      <c r="Q41" s="2"/>
      <c r="R41" s="7">
        <f t="shared" si="16"/>
        <v>1.5875922426309155E-2</v>
      </c>
      <c r="S41" s="2"/>
      <c r="T41" s="6">
        <v>42478.32</v>
      </c>
      <c r="U41" s="2"/>
      <c r="V41" s="7">
        <f t="shared" si="17"/>
        <v>1.1239568507859562E-2</v>
      </c>
      <c r="W41" s="2"/>
      <c r="X41" s="6">
        <f t="shared" si="18"/>
        <v>16503.830000000002</v>
      </c>
      <c r="Y41" s="2"/>
      <c r="Z41" s="7">
        <f t="shared" si="19"/>
        <v>0.38852360451166623</v>
      </c>
    </row>
    <row r="42" spans="1:26" s="24" customFormat="1" hidden="1" outlineLevel="2" x14ac:dyDescent="0.25">
      <c r="A42" s="28"/>
      <c r="B42" s="11" t="str">
        <f>CONCATENATE("          ", "6156", " - ", "EMPLOYEE MEALS")</f>
        <v xml:space="preserve">          6156 - EMPLOYEE MEALS</v>
      </c>
      <c r="C42" s="11"/>
      <c r="D42" s="6">
        <v>6392.95</v>
      </c>
      <c r="E42" s="2"/>
      <c r="F42" s="7">
        <f t="shared" si="12"/>
        <v>2.9430570944743808E-3</v>
      </c>
      <c r="G42" s="2"/>
      <c r="H42" s="6">
        <v>6425.12</v>
      </c>
      <c r="I42" s="2"/>
      <c r="J42" s="7">
        <f t="shared" si="13"/>
        <v>2.8792539622611922E-3</v>
      </c>
      <c r="K42" s="2"/>
      <c r="L42" s="6">
        <f t="shared" si="14"/>
        <v>-32.170000000000073</v>
      </c>
      <c r="M42" s="2"/>
      <c r="N42" s="7">
        <f t="shared" si="15"/>
        <v>-5.0069103767711844E-3</v>
      </c>
      <c r="O42" s="11"/>
      <c r="P42" s="6">
        <v>17308.449999999997</v>
      </c>
      <c r="Q42" s="2"/>
      <c r="R42" s="7">
        <f t="shared" si="16"/>
        <v>4.6588266029578551E-3</v>
      </c>
      <c r="S42" s="2"/>
      <c r="T42" s="6">
        <v>18883.72</v>
      </c>
      <c r="U42" s="2"/>
      <c r="V42" s="7">
        <f t="shared" si="17"/>
        <v>4.9965456407701104E-3</v>
      </c>
      <c r="W42" s="2"/>
      <c r="X42" s="6">
        <f t="shared" si="18"/>
        <v>-1575.2700000000041</v>
      </c>
      <c r="Y42" s="2"/>
      <c r="Z42" s="7">
        <f t="shared" si="19"/>
        <v>-8.3419474552683684E-2</v>
      </c>
    </row>
    <row r="43" spans="1:26" s="29" customFormat="1" outlineLevel="1" collapsed="1" x14ac:dyDescent="0.25">
      <c r="A43" s="27"/>
      <c r="B43" s="14" t="str">
        <f>CONCATENATE("     ","*Payroll                                          ")</f>
        <v xml:space="preserve">     *Payroll                                          </v>
      </c>
      <c r="C43" s="14"/>
      <c r="D43" s="1">
        <f>SUM(OSRRefD22_1x_0)</f>
        <v>532741.05000000005</v>
      </c>
      <c r="E43" s="1"/>
      <c r="F43" s="5">
        <f t="shared" ref="F43:F50" si="20">IF(D$12=0,0,D43/D$12)</f>
        <v>0.24525255581855498</v>
      </c>
      <c r="G43" s="1"/>
      <c r="H43" s="1">
        <f>SUM(OSRRefH22_1x_0)</f>
        <v>454371.04000000004</v>
      </c>
      <c r="I43" s="1"/>
      <c r="J43" s="5">
        <f t="shared" ref="J43:J50" si="21">IF(H$12=0,0,H43/H$12)</f>
        <v>0.20361481454925959</v>
      </c>
      <c r="K43" s="1"/>
      <c r="L43" s="1">
        <f t="shared" ref="L43:L50" si="22">+D43-H43</f>
        <v>78370.010000000009</v>
      </c>
      <c r="M43" s="1"/>
      <c r="N43" s="5">
        <f t="shared" ref="N43:N50" si="23">IF(H43=0,0,L43/H43)</f>
        <v>0.17248020472431519</v>
      </c>
      <c r="O43" s="14"/>
      <c r="P43" s="1">
        <f>SUM(OSRRefP22_1x_0)</f>
        <v>1275260.6800000002</v>
      </c>
      <c r="Q43" s="1"/>
      <c r="R43" s="5">
        <f t="shared" ref="R43:R50" si="24">IF(P$12=0,0,P43/P$12)</f>
        <v>0.34325536842930049</v>
      </c>
      <c r="S43" s="1"/>
      <c r="T43" s="1">
        <f>SUM(OSRRefT22_1x_0)</f>
        <v>1131327.3499999999</v>
      </c>
      <c r="U43" s="1"/>
      <c r="V43" s="5">
        <f t="shared" ref="V43:V50" si="25">IF(T$12=0,0,T43/T$12)</f>
        <v>0.29934402431970503</v>
      </c>
      <c r="W43" s="1"/>
      <c r="X43" s="1">
        <f t="shared" ref="X43:X50" si="26">+P43-T43</f>
        <v>143933.33000000031</v>
      </c>
      <c r="Y43" s="1"/>
      <c r="Z43" s="5">
        <f t="shared" ref="Z43:Z50" si="27">IF(T43=0,0,X43/T43)</f>
        <v>0.12722518376312597</v>
      </c>
    </row>
    <row r="44" spans="1:26" s="24" customFormat="1" hidden="1" outlineLevel="2" x14ac:dyDescent="0.25">
      <c r="A44" s="28"/>
      <c r="B44" s="11" t="str">
        <f>CONCATENATE("          ", "6001", " - ", "ADMINISTRATIVE SALARIES")</f>
        <v xml:space="preserve">          6001 - ADMINISTRATIVE SALARIES</v>
      </c>
      <c r="C44" s="11"/>
      <c r="D44" s="6">
        <v>24356.91</v>
      </c>
      <c r="E44" s="2"/>
      <c r="F44" s="7">
        <f t="shared" si="20"/>
        <v>1.1212941877376485E-2</v>
      </c>
      <c r="G44" s="2"/>
      <c r="H44" s="6">
        <v>24046.870000000003</v>
      </c>
      <c r="I44" s="2"/>
      <c r="J44" s="7">
        <f t="shared" si="21"/>
        <v>1.077599262387003E-2</v>
      </c>
      <c r="K44" s="2"/>
      <c r="L44" s="6">
        <f t="shared" si="22"/>
        <v>310.03999999999724</v>
      </c>
      <c r="M44" s="2"/>
      <c r="N44" s="7">
        <f t="shared" si="23"/>
        <v>1.2893154077848685E-2</v>
      </c>
      <c r="O44" s="11"/>
      <c r="P44" s="6">
        <v>72871.62</v>
      </c>
      <c r="Q44" s="2"/>
      <c r="R44" s="7">
        <f t="shared" si="24"/>
        <v>1.961447974004811E-2</v>
      </c>
      <c r="S44" s="2"/>
      <c r="T44" s="6">
        <v>73358.61</v>
      </c>
      <c r="U44" s="2"/>
      <c r="V44" s="7">
        <f t="shared" si="25"/>
        <v>1.9410351509578334E-2</v>
      </c>
      <c r="W44" s="2"/>
      <c r="X44" s="6">
        <f t="shared" si="26"/>
        <v>-486.99000000000524</v>
      </c>
      <c r="Y44" s="2"/>
      <c r="Z44" s="7">
        <f t="shared" si="27"/>
        <v>-6.6384845623438781E-3</v>
      </c>
    </row>
    <row r="45" spans="1:26" s="24" customFormat="1" hidden="1" outlineLevel="2" x14ac:dyDescent="0.25">
      <c r="A45" s="28"/>
      <c r="B45" s="11" t="str">
        <f>CONCATENATE("          ", "6002", " - ", "STAFF SALARIES")</f>
        <v xml:space="preserve">          6002 - STAFF SALARIES</v>
      </c>
      <c r="C45" s="11"/>
      <c r="D45" s="6">
        <v>93254.150000000009</v>
      </c>
      <c r="E45" s="2"/>
      <c r="F45" s="7">
        <f t="shared" si="20"/>
        <v>4.2930460545863511E-2</v>
      </c>
      <c r="G45" s="2"/>
      <c r="H45" s="6">
        <v>83824.42</v>
      </c>
      <c r="I45" s="2"/>
      <c r="J45" s="7">
        <f t="shared" si="21"/>
        <v>3.7563779885705841E-2</v>
      </c>
      <c r="K45" s="2"/>
      <c r="L45" s="6">
        <f t="shared" si="22"/>
        <v>9429.7300000000105</v>
      </c>
      <c r="M45" s="2"/>
      <c r="N45" s="7">
        <f t="shared" si="23"/>
        <v>0.11249382936380604</v>
      </c>
      <c r="O45" s="11"/>
      <c r="P45" s="6">
        <v>284103.63</v>
      </c>
      <c r="Q45" s="2"/>
      <c r="R45" s="7">
        <f t="shared" si="24"/>
        <v>7.6470715138611228E-2</v>
      </c>
      <c r="S45" s="2"/>
      <c r="T45" s="6">
        <v>269282.82</v>
      </c>
      <c r="U45" s="2"/>
      <c r="V45" s="7">
        <f t="shared" si="25"/>
        <v>7.1250998235796878E-2</v>
      </c>
      <c r="W45" s="2"/>
      <c r="X45" s="6">
        <f t="shared" si="26"/>
        <v>14820.809999999998</v>
      </c>
      <c r="Y45" s="2"/>
      <c r="Z45" s="7">
        <f t="shared" si="27"/>
        <v>5.5038082266072513E-2</v>
      </c>
    </row>
    <row r="46" spans="1:26" s="24" customFormat="1" hidden="1" outlineLevel="2" x14ac:dyDescent="0.25">
      <c r="A46" s="28"/>
      <c r="B46" s="11" t="str">
        <f>CONCATENATE("          ", "6004", " - ", "STAFF HOURLY")</f>
        <v xml:space="preserve">          6004 - STAFF HOURLY</v>
      </c>
      <c r="C46" s="11"/>
      <c r="D46" s="6">
        <v>83021.78</v>
      </c>
      <c r="E46" s="2"/>
      <c r="F46" s="7">
        <f t="shared" si="20"/>
        <v>3.8219888881485274E-2</v>
      </c>
      <c r="G46" s="2"/>
      <c r="H46" s="6">
        <v>73728.84</v>
      </c>
      <c r="I46" s="2"/>
      <c r="J46" s="7">
        <f t="shared" si="21"/>
        <v>3.3039702714178332E-2</v>
      </c>
      <c r="K46" s="2"/>
      <c r="L46" s="6">
        <f t="shared" si="22"/>
        <v>9292.9400000000023</v>
      </c>
      <c r="M46" s="2"/>
      <c r="N46" s="7">
        <f t="shared" si="23"/>
        <v>0.12604212951132832</v>
      </c>
      <c r="O46" s="11"/>
      <c r="P46" s="6">
        <v>199450.05</v>
      </c>
      <c r="Q46" s="2"/>
      <c r="R46" s="7">
        <f t="shared" si="24"/>
        <v>5.3684945728893943E-2</v>
      </c>
      <c r="S46" s="2"/>
      <c r="T46" s="6">
        <v>194580.24</v>
      </c>
      <c r="U46" s="2"/>
      <c r="V46" s="7">
        <f t="shared" si="25"/>
        <v>5.148503843268179E-2</v>
      </c>
      <c r="W46" s="2"/>
      <c r="X46" s="6">
        <f t="shared" si="26"/>
        <v>4869.8099999999977</v>
      </c>
      <c r="Y46" s="2"/>
      <c r="Z46" s="7">
        <f t="shared" si="27"/>
        <v>2.5027258677448427E-2</v>
      </c>
    </row>
    <row r="47" spans="1:26" s="24" customFormat="1" hidden="1" outlineLevel="2" x14ac:dyDescent="0.25">
      <c r="A47" s="28"/>
      <c r="B47" s="11" t="str">
        <f>CONCATENATE("          ", "6005", " - ", "TEMPORARY WAGES-HOURLY")</f>
        <v xml:space="preserve">          6005 - TEMPORARY WAGES-HOURLY</v>
      </c>
      <c r="C47" s="11"/>
      <c r="D47" s="6">
        <v>104576.93000000001</v>
      </c>
      <c r="E47" s="2"/>
      <c r="F47" s="7">
        <f t="shared" si="20"/>
        <v>4.8143013124590482E-2</v>
      </c>
      <c r="G47" s="2"/>
      <c r="H47" s="6">
        <v>83669.100000000006</v>
      </c>
      <c r="I47" s="2"/>
      <c r="J47" s="7">
        <f t="shared" si="21"/>
        <v>3.7494177181722356E-2</v>
      </c>
      <c r="K47" s="2"/>
      <c r="L47" s="6">
        <f t="shared" si="22"/>
        <v>20907.830000000002</v>
      </c>
      <c r="M47" s="2"/>
      <c r="N47" s="7">
        <f t="shared" si="23"/>
        <v>0.24988711483689918</v>
      </c>
      <c r="O47" s="11"/>
      <c r="P47" s="6">
        <v>232465.56</v>
      </c>
      <c r="Q47" s="2"/>
      <c r="R47" s="7">
        <f t="shared" si="24"/>
        <v>6.2571561012077656E-2</v>
      </c>
      <c r="S47" s="2"/>
      <c r="T47" s="6">
        <v>184238.54</v>
      </c>
      <c r="U47" s="2"/>
      <c r="V47" s="7">
        <f t="shared" si="25"/>
        <v>4.8748672078321939E-2</v>
      </c>
      <c r="W47" s="2"/>
      <c r="X47" s="6">
        <f t="shared" si="26"/>
        <v>48227.01999999999</v>
      </c>
      <c r="Y47" s="2"/>
      <c r="Z47" s="7">
        <f t="shared" si="27"/>
        <v>0.26176401528149318</v>
      </c>
    </row>
    <row r="48" spans="1:26" s="24" customFormat="1" hidden="1" outlineLevel="2" x14ac:dyDescent="0.25">
      <c r="A48" s="28"/>
      <c r="B48" s="11" t="str">
        <f>CONCATENATE("          ", "6006", " - ", "TEMPORARY PART TIME")</f>
        <v xml:space="preserve">          6006 - TEMPORARY PART TIME</v>
      </c>
      <c r="C48" s="11"/>
      <c r="D48" s="6">
        <v>8153.85</v>
      </c>
      <c r="E48" s="2"/>
      <c r="F48" s="7">
        <f t="shared" si="20"/>
        <v>3.7537046417975943E-3</v>
      </c>
      <c r="G48" s="2"/>
      <c r="H48" s="6">
        <v>1693.56</v>
      </c>
      <c r="I48" s="2"/>
      <c r="J48" s="7">
        <f t="shared" si="21"/>
        <v>7.5892580065851911E-4</v>
      </c>
      <c r="K48" s="2"/>
      <c r="L48" s="6">
        <f t="shared" si="22"/>
        <v>6460.2900000000009</v>
      </c>
      <c r="M48" s="2"/>
      <c r="N48" s="7">
        <f t="shared" si="23"/>
        <v>3.8146212711684271</v>
      </c>
      <c r="O48" s="11"/>
      <c r="P48" s="6">
        <v>23832.75</v>
      </c>
      <c r="Q48" s="2"/>
      <c r="R48" s="7">
        <f t="shared" si="24"/>
        <v>6.4149389299240443E-3</v>
      </c>
      <c r="S48" s="2"/>
      <c r="T48" s="6">
        <v>6333.06</v>
      </c>
      <c r="U48" s="2"/>
      <c r="V48" s="7">
        <f t="shared" si="25"/>
        <v>1.6756986089465186E-3</v>
      </c>
      <c r="W48" s="2"/>
      <c r="X48" s="6">
        <f t="shared" si="26"/>
        <v>17499.689999999999</v>
      </c>
      <c r="Y48" s="2"/>
      <c r="Z48" s="7">
        <f t="shared" si="27"/>
        <v>2.7632282024803172</v>
      </c>
    </row>
    <row r="49" spans="1:26" s="24" customFormat="1" hidden="1" outlineLevel="2" x14ac:dyDescent="0.25">
      <c r="A49" s="28"/>
      <c r="B49" s="11" t="str">
        <f>CONCATENATE("          ", "6007", " - ", "STUDENT HOURLY")</f>
        <v xml:space="preserve">          6007 - STUDENT HOURLY</v>
      </c>
      <c r="C49" s="11"/>
      <c r="D49" s="6">
        <v>190979.62</v>
      </c>
      <c r="E49" s="2"/>
      <c r="F49" s="7">
        <f t="shared" si="20"/>
        <v>8.7919337010460175E-2</v>
      </c>
      <c r="G49" s="2"/>
      <c r="H49" s="6">
        <v>159393.97</v>
      </c>
      <c r="I49" s="2"/>
      <c r="J49" s="7">
        <f t="shared" si="21"/>
        <v>7.1428349927011733E-2</v>
      </c>
      <c r="K49" s="2"/>
      <c r="L49" s="6">
        <f t="shared" si="22"/>
        <v>31585.649999999994</v>
      </c>
      <c r="M49" s="2"/>
      <c r="N49" s="7">
        <f t="shared" si="23"/>
        <v>0.19816088400332832</v>
      </c>
      <c r="O49" s="11"/>
      <c r="P49" s="6">
        <v>411256.60000000003</v>
      </c>
      <c r="Q49" s="2"/>
      <c r="R49" s="7">
        <f t="shared" si="24"/>
        <v>0.11069582710883977</v>
      </c>
      <c r="S49" s="2"/>
      <c r="T49" s="6">
        <v>356814.36</v>
      </c>
      <c r="U49" s="2"/>
      <c r="V49" s="7">
        <f t="shared" si="25"/>
        <v>9.4411441973412905E-2</v>
      </c>
      <c r="W49" s="2"/>
      <c r="X49" s="6">
        <f t="shared" si="26"/>
        <v>54442.240000000049</v>
      </c>
      <c r="Y49" s="2"/>
      <c r="Z49" s="7">
        <f t="shared" si="27"/>
        <v>0.15257861258722896</v>
      </c>
    </row>
    <row r="50" spans="1:26" s="24" customFormat="1" hidden="1" outlineLevel="2" x14ac:dyDescent="0.25">
      <c r="A50" s="28"/>
      <c r="B50" s="11" t="str">
        <f>CONCATENATE("          ", "6008", " - ", "STUDENT HOURLY-FICA EXEMPT")</f>
        <v xml:space="preserve">          6008 - STUDENT HOURLY-FICA EXEMPT</v>
      </c>
      <c r="C50" s="11"/>
      <c r="D50" s="6">
        <v>28397.809999999998</v>
      </c>
      <c r="E50" s="2"/>
      <c r="F50" s="7">
        <f t="shared" si="20"/>
        <v>1.3073209736981442E-2</v>
      </c>
      <c r="G50" s="2"/>
      <c r="H50" s="6">
        <v>28014.28</v>
      </c>
      <c r="I50" s="2"/>
      <c r="J50" s="7">
        <f t="shared" si="21"/>
        <v>1.2553886416112768E-2</v>
      </c>
      <c r="K50" s="2"/>
      <c r="L50" s="6">
        <f t="shared" si="22"/>
        <v>383.52999999999884</v>
      </c>
      <c r="M50" s="2"/>
      <c r="N50" s="7">
        <f t="shared" si="23"/>
        <v>1.3690517835903648E-2</v>
      </c>
      <c r="O50" s="11"/>
      <c r="P50" s="6">
        <v>51280.47</v>
      </c>
      <c r="Q50" s="2"/>
      <c r="R50" s="7">
        <f t="shared" si="24"/>
        <v>1.3802900770905669E-2</v>
      </c>
      <c r="S50" s="2"/>
      <c r="T50" s="6">
        <v>46719.72</v>
      </c>
      <c r="U50" s="2"/>
      <c r="V50" s="7">
        <f t="shared" si="25"/>
        <v>1.2361823480966681E-2</v>
      </c>
      <c r="W50" s="2"/>
      <c r="X50" s="6">
        <f t="shared" si="26"/>
        <v>4560.75</v>
      </c>
      <c r="Y50" s="2"/>
      <c r="Z50" s="7">
        <f t="shared" si="27"/>
        <v>9.7619377855860431E-2</v>
      </c>
    </row>
    <row r="51" spans="1:26" s="29" customFormat="1" outlineLevel="1" collapsed="1" x14ac:dyDescent="0.25">
      <c r="A51" s="27"/>
      <c r="B51" s="14" t="str">
        <f>CONCATENATE("     ","Advertising/Promo                                 ")</f>
        <v xml:space="preserve">     Advertising/Promo                                 </v>
      </c>
      <c r="C51" s="14"/>
      <c r="D51" s="1">
        <f>SUM(OSRRefD22_2x_0)</f>
        <v>1550.75</v>
      </c>
      <c r="E51" s="1"/>
      <c r="F51" s="5">
        <f t="shared" ref="F51:F60" si="28">IF(D$12=0,0,D51/D$12)</f>
        <v>7.1390293827671824E-4</v>
      </c>
      <c r="G51" s="1"/>
      <c r="H51" s="1">
        <f>SUM(OSRRefH22_2x_0)</f>
        <v>6361.82</v>
      </c>
      <c r="I51" s="1"/>
      <c r="J51" s="5">
        <f t="shared" ref="J51:J60" si="29">IF(H$12=0,0,H51/H$12)</f>
        <v>2.8508876787036656E-3</v>
      </c>
      <c r="K51" s="1"/>
      <c r="L51" s="1">
        <f t="shared" ref="L51:L60" si="30">+D51-H51</f>
        <v>-4811.07</v>
      </c>
      <c r="M51" s="1"/>
      <c r="N51" s="5">
        <f t="shared" ref="N51:N60" si="31">IF(H51=0,0,L51/H51)</f>
        <v>-0.75624113854211528</v>
      </c>
      <c r="O51" s="14"/>
      <c r="P51" s="1">
        <f>SUM(OSRRefP22_2x_0)</f>
        <v>13519.49</v>
      </c>
      <c r="Q51" s="1"/>
      <c r="R51" s="5">
        <f t="shared" ref="R51:R60" si="32">IF(P$12=0,0,P51/P$12)</f>
        <v>3.6389716970856834E-3</v>
      </c>
      <c r="S51" s="1"/>
      <c r="T51" s="1">
        <f>SUM(OSRRefT22_2x_0)</f>
        <v>15582.430000000002</v>
      </c>
      <c r="U51" s="1"/>
      <c r="V51" s="5">
        <f t="shared" ref="V51:V60" si="33">IF(T$12=0,0,T51/T$12)</f>
        <v>4.1230394588092495E-3</v>
      </c>
      <c r="W51" s="1"/>
      <c r="X51" s="1">
        <f t="shared" ref="X51:X60" si="34">+P51-T51</f>
        <v>-2062.9400000000023</v>
      </c>
      <c r="Y51" s="1"/>
      <c r="Z51" s="5">
        <f t="shared" ref="Z51:Z60" si="35">IF(T51=0,0,X51/T51)</f>
        <v>-0.13238885077616278</v>
      </c>
    </row>
    <row r="52" spans="1:26" s="24" customFormat="1" hidden="1" outlineLevel="2" x14ac:dyDescent="0.25">
      <c r="A52" s="28"/>
      <c r="B52" s="11" t="str">
        <f>CONCATENATE("          ", "6362", " - ", "ADVERTISING EXPENSE")</f>
        <v xml:space="preserve">          6362 - ADVERTISING EXPENSE</v>
      </c>
      <c r="C52" s="11"/>
      <c r="D52" s="6">
        <v>1550.75</v>
      </c>
      <c r="E52" s="2"/>
      <c r="F52" s="7">
        <f t="shared" si="28"/>
        <v>7.1390293827671824E-4</v>
      </c>
      <c r="G52" s="2"/>
      <c r="H52" s="6">
        <v>6361.82</v>
      </c>
      <c r="I52" s="2"/>
      <c r="J52" s="7">
        <f t="shared" si="29"/>
        <v>2.8508876787036656E-3</v>
      </c>
      <c r="K52" s="2"/>
      <c r="L52" s="6">
        <f t="shared" si="30"/>
        <v>-4811.07</v>
      </c>
      <c r="M52" s="2"/>
      <c r="N52" s="7">
        <f t="shared" si="31"/>
        <v>-0.75624113854211528</v>
      </c>
      <c r="O52" s="11"/>
      <c r="P52" s="6">
        <v>13519.49</v>
      </c>
      <c r="Q52" s="2"/>
      <c r="R52" s="7">
        <f t="shared" si="32"/>
        <v>3.6389716970856834E-3</v>
      </c>
      <c r="S52" s="2"/>
      <c r="T52" s="6">
        <v>15582.430000000002</v>
      </c>
      <c r="U52" s="2"/>
      <c r="V52" s="7">
        <f t="shared" si="33"/>
        <v>4.1230394588092495E-3</v>
      </c>
      <c r="W52" s="2"/>
      <c r="X52" s="6">
        <f t="shared" si="34"/>
        <v>-2062.9400000000023</v>
      </c>
      <c r="Y52" s="2"/>
      <c r="Z52" s="7">
        <f t="shared" si="35"/>
        <v>-0.13238885077616278</v>
      </c>
    </row>
    <row r="53" spans="1:26" s="29" customFormat="1" outlineLevel="1" collapsed="1" x14ac:dyDescent="0.25">
      <c r="A53" s="27"/>
      <c r="B53" s="14" t="str">
        <f>CONCATENATE("     ","Bad Debts/Over/Short                              ")</f>
        <v xml:space="preserve">     Bad Debts/Over/Short                              </v>
      </c>
      <c r="C53" s="14"/>
      <c r="D53" s="1">
        <f>SUM(OSRRefD22_3x_0)</f>
        <v>-19.16</v>
      </c>
      <c r="E53" s="1"/>
      <c r="F53" s="5">
        <f t="shared" si="28"/>
        <v>-8.8204935014553739E-6</v>
      </c>
      <c r="G53" s="1"/>
      <c r="H53" s="1">
        <f>SUM(OSRRefH22_3x_0)</f>
        <v>280.27</v>
      </c>
      <c r="I53" s="1"/>
      <c r="J53" s="5">
        <f t="shared" si="29"/>
        <v>1.2559586560296839E-4</v>
      </c>
      <c r="K53" s="1"/>
      <c r="L53" s="1">
        <f t="shared" si="30"/>
        <v>-299.43</v>
      </c>
      <c r="M53" s="1"/>
      <c r="N53" s="5">
        <f t="shared" si="31"/>
        <v>-1.0683626503014951</v>
      </c>
      <c r="O53" s="14"/>
      <c r="P53" s="1">
        <f>SUM(OSRRefP22_3x_0)</f>
        <v>-34.29</v>
      </c>
      <c r="Q53" s="1"/>
      <c r="R53" s="5">
        <f t="shared" si="32"/>
        <v>-9.2296632116350608E-6</v>
      </c>
      <c r="S53" s="1"/>
      <c r="T53" s="1">
        <f>SUM(OSRRefT22_3x_0)</f>
        <v>529.13</v>
      </c>
      <c r="U53" s="1"/>
      <c r="V53" s="5">
        <f t="shared" si="33"/>
        <v>1.4000536943466056E-4</v>
      </c>
      <c r="W53" s="1"/>
      <c r="X53" s="1">
        <f t="shared" si="34"/>
        <v>-563.41999999999996</v>
      </c>
      <c r="Y53" s="1"/>
      <c r="Z53" s="5">
        <f t="shared" si="35"/>
        <v>-1.0648044903898852</v>
      </c>
    </row>
    <row r="54" spans="1:26" s="24" customFormat="1" hidden="1" outlineLevel="2" x14ac:dyDescent="0.25">
      <c r="A54" s="28"/>
      <c r="B54" s="11" t="str">
        <f>CONCATENATE("          ", "6272", " - ", "CASH (OVER/SHORT)")</f>
        <v xml:space="preserve">          6272 - CASH (OVER/SHORT)</v>
      </c>
      <c r="C54" s="11"/>
      <c r="D54" s="6">
        <v>-19.16</v>
      </c>
      <c r="E54" s="2"/>
      <c r="F54" s="7">
        <f t="shared" si="28"/>
        <v>-8.8204935014553739E-6</v>
      </c>
      <c r="G54" s="2"/>
      <c r="H54" s="6">
        <v>280.27</v>
      </c>
      <c r="I54" s="2"/>
      <c r="J54" s="7">
        <f t="shared" si="29"/>
        <v>1.2559586560296839E-4</v>
      </c>
      <c r="K54" s="2"/>
      <c r="L54" s="6">
        <f t="shared" si="30"/>
        <v>-299.43</v>
      </c>
      <c r="M54" s="2"/>
      <c r="N54" s="7">
        <f t="shared" si="31"/>
        <v>-1.0683626503014951</v>
      </c>
      <c r="O54" s="11"/>
      <c r="P54" s="6">
        <v>-34.29</v>
      </c>
      <c r="Q54" s="2"/>
      <c r="R54" s="7">
        <f t="shared" si="32"/>
        <v>-9.2296632116350608E-6</v>
      </c>
      <c r="S54" s="2"/>
      <c r="T54" s="6">
        <v>529.13</v>
      </c>
      <c r="U54" s="2"/>
      <c r="V54" s="7">
        <f t="shared" si="33"/>
        <v>1.4000536943466056E-4</v>
      </c>
      <c r="W54" s="2"/>
      <c r="X54" s="6">
        <f t="shared" si="34"/>
        <v>-563.41999999999996</v>
      </c>
      <c r="Y54" s="2"/>
      <c r="Z54" s="7">
        <f t="shared" si="35"/>
        <v>-1.0648044903898852</v>
      </c>
    </row>
    <row r="55" spans="1:26" s="29" customFormat="1" outlineLevel="1" collapsed="1" x14ac:dyDescent="0.25">
      <c r="A55" s="27"/>
      <c r="B55" s="14" t="str">
        <f>CONCATENATE("     ","Bank/card Fees                                    ")</f>
        <v xml:space="preserve">     Bank/card Fees                                    </v>
      </c>
      <c r="C55" s="14"/>
      <c r="D55" s="1">
        <f>SUM(OSRRefD22_4x_0)</f>
        <v>21564.449999999997</v>
      </c>
      <c r="E55" s="1"/>
      <c r="F55" s="5">
        <f t="shared" si="28"/>
        <v>9.927405589115831E-3</v>
      </c>
      <c r="G55" s="1"/>
      <c r="H55" s="1">
        <f>SUM(OSRRefH22_4x_0)</f>
        <v>21232.66</v>
      </c>
      <c r="I55" s="1"/>
      <c r="J55" s="5">
        <f t="shared" si="29"/>
        <v>9.5148760543530275E-3</v>
      </c>
      <c r="K55" s="1"/>
      <c r="L55" s="1">
        <f t="shared" si="30"/>
        <v>331.78999999999724</v>
      </c>
      <c r="M55" s="1"/>
      <c r="N55" s="5">
        <f t="shared" si="31"/>
        <v>1.56263981997544E-2</v>
      </c>
      <c r="O55" s="14"/>
      <c r="P55" s="1">
        <f>SUM(OSRRefP22_4x_0)</f>
        <v>35131.17</v>
      </c>
      <c r="Q55" s="1"/>
      <c r="R55" s="5">
        <f t="shared" si="32"/>
        <v>9.4560766209010588E-3</v>
      </c>
      <c r="S55" s="1"/>
      <c r="T55" s="1">
        <f>SUM(OSRRefT22_4x_0)</f>
        <v>34033.630000000005</v>
      </c>
      <c r="U55" s="1"/>
      <c r="V55" s="5">
        <f t="shared" si="33"/>
        <v>9.0051422927306096E-3</v>
      </c>
      <c r="W55" s="1"/>
      <c r="X55" s="1">
        <f t="shared" si="34"/>
        <v>1097.5399999999936</v>
      </c>
      <c r="Y55" s="1"/>
      <c r="Z55" s="5">
        <f t="shared" si="35"/>
        <v>3.2248690486439247E-2</v>
      </c>
    </row>
    <row r="56" spans="1:26" s="24" customFormat="1" hidden="1" outlineLevel="2" x14ac:dyDescent="0.25">
      <c r="A56" s="28"/>
      <c r="B56" s="11" t="str">
        <f>CONCATENATE("          ", "6381", " - ", "BANK/CREDIT CARD FEES")</f>
        <v xml:space="preserve">          6381 - BANK/CREDIT CARD FEES</v>
      </c>
      <c r="C56" s="11"/>
      <c r="D56" s="6">
        <v>21564.449999999997</v>
      </c>
      <c r="E56" s="2"/>
      <c r="F56" s="7">
        <f t="shared" si="28"/>
        <v>9.927405589115831E-3</v>
      </c>
      <c r="G56" s="2"/>
      <c r="H56" s="6">
        <v>21232.66</v>
      </c>
      <c r="I56" s="2"/>
      <c r="J56" s="7">
        <f t="shared" si="29"/>
        <v>9.5148760543530275E-3</v>
      </c>
      <c r="K56" s="2"/>
      <c r="L56" s="6">
        <f t="shared" si="30"/>
        <v>331.78999999999724</v>
      </c>
      <c r="M56" s="2"/>
      <c r="N56" s="7">
        <f t="shared" si="31"/>
        <v>1.56263981997544E-2</v>
      </c>
      <c r="O56" s="11"/>
      <c r="P56" s="6">
        <v>35131.17</v>
      </c>
      <c r="Q56" s="2"/>
      <c r="R56" s="7">
        <f t="shared" si="32"/>
        <v>9.4560766209010588E-3</v>
      </c>
      <c r="S56" s="2"/>
      <c r="T56" s="6">
        <v>34033.630000000005</v>
      </c>
      <c r="U56" s="2"/>
      <c r="V56" s="7">
        <f t="shared" si="33"/>
        <v>9.0051422927306096E-3</v>
      </c>
      <c r="W56" s="2"/>
      <c r="X56" s="6">
        <f t="shared" si="34"/>
        <v>1097.5399999999936</v>
      </c>
      <c r="Y56" s="2"/>
      <c r="Z56" s="7">
        <f t="shared" si="35"/>
        <v>3.2248690486439247E-2</v>
      </c>
    </row>
    <row r="57" spans="1:26" s="29" customFormat="1" outlineLevel="1" collapsed="1" x14ac:dyDescent="0.25">
      <c r="A57" s="27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SUM(OSRRefD22_5x_0)</f>
        <v>39571.050000000003</v>
      </c>
      <c r="E57" s="1"/>
      <c r="F57" s="5">
        <f t="shared" si="28"/>
        <v>1.8216920113296751E-2</v>
      </c>
      <c r="G57" s="1"/>
      <c r="H57" s="1">
        <f>SUM(OSRRefH22_5x_0)</f>
        <v>41769.21</v>
      </c>
      <c r="I57" s="1"/>
      <c r="J57" s="5">
        <f t="shared" si="29"/>
        <v>1.8717808133236393E-2</v>
      </c>
      <c r="K57" s="1"/>
      <c r="L57" s="1">
        <f t="shared" si="30"/>
        <v>-2198.1599999999962</v>
      </c>
      <c r="M57" s="1"/>
      <c r="N57" s="5">
        <f t="shared" si="31"/>
        <v>-5.2626324510327012E-2</v>
      </c>
      <c r="O57" s="14"/>
      <c r="P57" s="1">
        <f>SUM(OSRRefP22_5x_0)</f>
        <v>118713.15</v>
      </c>
      <c r="Q57" s="1"/>
      <c r="R57" s="5">
        <f t="shared" si="32"/>
        <v>3.1953408961572317E-2</v>
      </c>
      <c r="S57" s="1"/>
      <c r="T57" s="1">
        <f>SUM(OSRRefT22_5x_0)</f>
        <v>125307.63</v>
      </c>
      <c r="U57" s="1"/>
      <c r="V57" s="5">
        <f t="shared" si="33"/>
        <v>3.3155823769455056E-2</v>
      </c>
      <c r="W57" s="1"/>
      <c r="X57" s="1">
        <f t="shared" si="34"/>
        <v>-6594.4800000000105</v>
      </c>
      <c r="Y57" s="1"/>
      <c r="Z57" s="5">
        <f t="shared" si="35"/>
        <v>-5.2626324510327185E-2</v>
      </c>
    </row>
    <row r="58" spans="1:26" s="24" customFormat="1" hidden="1" outlineLevel="2" x14ac:dyDescent="0.25">
      <c r="A58" s="28"/>
      <c r="B58" s="11" t="str">
        <f>CONCATENATE("          ", "6321", " - ", "BUILDING DEPRECIATION")</f>
        <v xml:space="preserve">          6321 - BUILDING DEPRECIATION</v>
      </c>
      <c r="C58" s="11"/>
      <c r="D58" s="6">
        <v>24042.959999999999</v>
      </c>
      <c r="E58" s="2"/>
      <c r="F58" s="7">
        <f t="shared" si="28"/>
        <v>1.1068411922534004E-2</v>
      </c>
      <c r="G58" s="2"/>
      <c r="H58" s="6">
        <v>27841.129999999997</v>
      </c>
      <c r="I58" s="2"/>
      <c r="J58" s="7">
        <f t="shared" si="29"/>
        <v>1.2476293651531635E-2</v>
      </c>
      <c r="K58" s="2"/>
      <c r="L58" s="6">
        <f t="shared" si="30"/>
        <v>-3798.1699999999983</v>
      </c>
      <c r="M58" s="2"/>
      <c r="N58" s="7">
        <f t="shared" si="31"/>
        <v>-0.13642298283151577</v>
      </c>
      <c r="O58" s="11"/>
      <c r="P58" s="6">
        <v>72128.88</v>
      </c>
      <c r="Q58" s="2"/>
      <c r="R58" s="7">
        <f t="shared" si="32"/>
        <v>1.9414560228417612E-2</v>
      </c>
      <c r="S58" s="2"/>
      <c r="T58" s="6">
        <v>83523.39</v>
      </c>
      <c r="U58" s="2"/>
      <c r="V58" s="7">
        <f t="shared" si="33"/>
        <v>2.2099905643953723E-2</v>
      </c>
      <c r="W58" s="2"/>
      <c r="X58" s="6">
        <f t="shared" si="34"/>
        <v>-11394.509999999995</v>
      </c>
      <c r="Y58" s="2"/>
      <c r="Z58" s="7">
        <f t="shared" si="35"/>
        <v>-0.13642298283151574</v>
      </c>
    </row>
    <row r="59" spans="1:26" s="24" customFormat="1" hidden="1" outlineLevel="2" x14ac:dyDescent="0.25">
      <c r="A59" s="28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15103.84</v>
      </c>
      <c r="E59" s="2"/>
      <c r="F59" s="7">
        <f t="shared" si="28"/>
        <v>6.9532005515147051E-3</v>
      </c>
      <c r="G59" s="2"/>
      <c r="H59" s="6">
        <v>13503.83</v>
      </c>
      <c r="I59" s="2"/>
      <c r="J59" s="7">
        <f t="shared" si="29"/>
        <v>6.0513976444333418E-3</v>
      </c>
      <c r="K59" s="2"/>
      <c r="L59" s="6">
        <f t="shared" si="30"/>
        <v>1600.0100000000002</v>
      </c>
      <c r="M59" s="2"/>
      <c r="N59" s="7">
        <f t="shared" si="31"/>
        <v>0.11848564444309505</v>
      </c>
      <c r="O59" s="11"/>
      <c r="P59" s="6">
        <v>45311.519999999997</v>
      </c>
      <c r="Q59" s="2"/>
      <c r="R59" s="7">
        <f t="shared" si="32"/>
        <v>1.2196269151567986E-2</v>
      </c>
      <c r="S59" s="2"/>
      <c r="T59" s="6">
        <v>40511.49</v>
      </c>
      <c r="U59" s="2"/>
      <c r="V59" s="7">
        <f t="shared" si="33"/>
        <v>1.071915431708381E-2</v>
      </c>
      <c r="W59" s="2"/>
      <c r="X59" s="6">
        <f t="shared" si="34"/>
        <v>4800.0299999999988</v>
      </c>
      <c r="Y59" s="2"/>
      <c r="Z59" s="7">
        <f t="shared" si="35"/>
        <v>0.11848564444309501</v>
      </c>
    </row>
    <row r="60" spans="1:26" s="24" customFormat="1" hidden="1" outlineLevel="2" x14ac:dyDescent="0.25">
      <c r="A60" s="28"/>
      <c r="B60" s="11" t="str">
        <f>CONCATENATE("          ", "6326", " - ", "VEHICLES DEPRECIATION EXPENSE")</f>
        <v xml:space="preserve">          6326 - VEHICLES DEPRECIATION EXPENSE</v>
      </c>
      <c r="C60" s="11"/>
      <c r="D60" s="6">
        <v>424.25</v>
      </c>
      <c r="E60" s="2"/>
      <c r="F60" s="7">
        <f t="shared" si="28"/>
        <v>1.9530763924803982E-4</v>
      </c>
      <c r="G60" s="2"/>
      <c r="H60" s="6">
        <v>424.25</v>
      </c>
      <c r="I60" s="2"/>
      <c r="J60" s="7">
        <f t="shared" si="29"/>
        <v>1.9011683727141452E-4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1272.75</v>
      </c>
      <c r="Q60" s="2"/>
      <c r="R60" s="7">
        <f t="shared" si="32"/>
        <v>3.4257958158671691E-4</v>
      </c>
      <c r="S60" s="2"/>
      <c r="T60" s="6">
        <v>1272.75</v>
      </c>
      <c r="U60" s="2"/>
      <c r="V60" s="7">
        <f t="shared" si="33"/>
        <v>3.3676380841752353E-4</v>
      </c>
      <c r="W60" s="2"/>
      <c r="X60" s="6">
        <f t="shared" si="34"/>
        <v>0</v>
      </c>
      <c r="Y60" s="2"/>
      <c r="Z60" s="7">
        <f t="shared" si="35"/>
        <v>0</v>
      </c>
    </row>
    <row r="61" spans="1:26" s="29" customFormat="1" outlineLevel="1" collapsed="1" x14ac:dyDescent="0.25">
      <c r="A61" s="27"/>
      <c r="B61" s="14" t="str">
        <f>CONCATENATE("     ","Donations                                         ")</f>
        <v xml:space="preserve">     Donations                                         </v>
      </c>
      <c r="C61" s="14"/>
      <c r="D61" s="1">
        <f>SUM(OSRRefD22_6x_0)</f>
        <v>18816</v>
      </c>
      <c r="E61" s="1"/>
      <c r="F61" s="5">
        <f t="shared" ref="F61:F71" si="36">IF(D$12=0,0,D61/D$12)</f>
        <v>8.6621297350409354E-3</v>
      </c>
      <c r="G61" s="1"/>
      <c r="H61" s="1">
        <f>SUM(OSRRefH22_6x_0)</f>
        <v>16678.689999999999</v>
      </c>
      <c r="I61" s="1"/>
      <c r="J61" s="5">
        <f t="shared" ref="J61:J71" si="37">IF(H$12=0,0,H61/H$12)</f>
        <v>7.474130330301398E-3</v>
      </c>
      <c r="K61" s="1"/>
      <c r="L61" s="1">
        <f t="shared" ref="L61:L71" si="38">+D61-H61</f>
        <v>2137.3100000000013</v>
      </c>
      <c r="M61" s="1"/>
      <c r="N61" s="5">
        <f t="shared" ref="N61:N71" si="39">IF(H61=0,0,L61/H61)</f>
        <v>0.12814615536352084</v>
      </c>
      <c r="O61" s="14"/>
      <c r="P61" s="1">
        <f>SUM(OSRRefP22_6x_0)</f>
        <v>26596.75</v>
      </c>
      <c r="Q61" s="1"/>
      <c r="R61" s="5">
        <f t="shared" ref="R61:R71" si="40">IF(P$12=0,0,P61/P$12)</f>
        <v>7.1589106160412598E-3</v>
      </c>
      <c r="S61" s="1"/>
      <c r="T61" s="1">
        <f>SUM(OSRRefT22_6x_0)</f>
        <v>23233.289999999997</v>
      </c>
      <c r="U61" s="1"/>
      <c r="V61" s="5">
        <f t="shared" ref="V61:V71" si="41">IF(T$12=0,0,T61/T$12)</f>
        <v>6.1474218994058251E-3</v>
      </c>
      <c r="W61" s="1"/>
      <c r="X61" s="1">
        <f t="shared" ref="X61:X71" si="42">+P61-T61</f>
        <v>3363.4600000000028</v>
      </c>
      <c r="Y61" s="1"/>
      <c r="Z61" s="5">
        <f t="shared" ref="Z61:Z71" si="43">IF(T61=0,0,X61/T61)</f>
        <v>0.14476899311289979</v>
      </c>
    </row>
    <row r="62" spans="1:26" s="24" customFormat="1" hidden="1" outlineLevel="2" x14ac:dyDescent="0.25">
      <c r="A62" s="28"/>
      <c r="B62" s="11" t="str">
        <f>CONCATENATE("          ", "6399", " - ", "DONATION-ON CAMPUS")</f>
        <v xml:space="preserve">          6399 - DONATION-ON CAMPUS</v>
      </c>
      <c r="C62" s="11"/>
      <c r="D62" s="6">
        <v>18816</v>
      </c>
      <c r="E62" s="2"/>
      <c r="F62" s="7">
        <f t="shared" si="36"/>
        <v>8.6621297350409354E-3</v>
      </c>
      <c r="G62" s="2"/>
      <c r="H62" s="6">
        <v>16678.689999999999</v>
      </c>
      <c r="I62" s="2"/>
      <c r="J62" s="7">
        <f t="shared" si="37"/>
        <v>7.474130330301398E-3</v>
      </c>
      <c r="K62" s="2"/>
      <c r="L62" s="6">
        <f t="shared" si="38"/>
        <v>2137.3100000000013</v>
      </c>
      <c r="M62" s="2"/>
      <c r="N62" s="7">
        <f t="shared" si="39"/>
        <v>0.12814615536352084</v>
      </c>
      <c r="O62" s="11"/>
      <c r="P62" s="6">
        <v>26596.75</v>
      </c>
      <c r="Q62" s="2"/>
      <c r="R62" s="7">
        <f t="shared" si="40"/>
        <v>7.1589106160412598E-3</v>
      </c>
      <c r="S62" s="2"/>
      <c r="T62" s="6">
        <v>23233.289999999997</v>
      </c>
      <c r="U62" s="2"/>
      <c r="V62" s="7">
        <f t="shared" si="41"/>
        <v>6.1474218994058251E-3</v>
      </c>
      <c r="W62" s="2"/>
      <c r="X62" s="6">
        <f t="shared" si="42"/>
        <v>3363.4600000000028</v>
      </c>
      <c r="Y62" s="2"/>
      <c r="Z62" s="7">
        <f t="shared" si="43"/>
        <v>0.14476899311289979</v>
      </c>
    </row>
    <row r="63" spans="1:26" s="29" customFormat="1" outlineLevel="1" collapsed="1" x14ac:dyDescent="0.25">
      <c r="A63" s="27"/>
      <c r="B63" s="14" t="str">
        <f>CONCATENATE("     ","Employees' Appreciation                           ")</f>
        <v xml:space="preserve">     Employees' Appreciation                           </v>
      </c>
      <c r="C63" s="14"/>
      <c r="D63" s="1">
        <f>SUM(OSRRefD22_7x_0)</f>
        <v>755.08</v>
      </c>
      <c r="E63" s="1"/>
      <c r="F63" s="5">
        <f t="shared" si="36"/>
        <v>3.4760846727969336E-4</v>
      </c>
      <c r="G63" s="1"/>
      <c r="H63" s="1">
        <f>SUM(OSRRefH22_7x_0)</f>
        <v>446.37</v>
      </c>
      <c r="I63" s="1"/>
      <c r="J63" s="5">
        <f t="shared" si="37"/>
        <v>2.0002935215755166E-4</v>
      </c>
      <c r="K63" s="1"/>
      <c r="L63" s="1">
        <f t="shared" si="38"/>
        <v>308.71000000000004</v>
      </c>
      <c r="M63" s="1"/>
      <c r="N63" s="5">
        <f t="shared" si="39"/>
        <v>0.69160113806931478</v>
      </c>
      <c r="O63" s="14"/>
      <c r="P63" s="1">
        <f>SUM(OSRRefP22_7x_0)</f>
        <v>1267.8599999999999</v>
      </c>
      <c r="Q63" s="1"/>
      <c r="R63" s="5">
        <f t="shared" si="40"/>
        <v>3.4126336539818102E-4</v>
      </c>
      <c r="S63" s="1"/>
      <c r="T63" s="1">
        <f>SUM(OSRRefT22_7x_0)</f>
        <v>835.32</v>
      </c>
      <c r="U63" s="1"/>
      <c r="V63" s="5">
        <f t="shared" si="41"/>
        <v>2.2102183810436123E-4</v>
      </c>
      <c r="W63" s="1"/>
      <c r="X63" s="1">
        <f t="shared" si="42"/>
        <v>432.53999999999985</v>
      </c>
      <c r="Y63" s="1"/>
      <c r="Z63" s="5">
        <f t="shared" si="43"/>
        <v>0.51781353253842821</v>
      </c>
    </row>
    <row r="64" spans="1:26" s="24" customFormat="1" hidden="1" outlineLevel="2" x14ac:dyDescent="0.25">
      <c r="A64" s="28"/>
      <c r="B64" s="11" t="str">
        <f>CONCATENATE("          ", "6277", " - ", "EMPLOYEE APPRECIATION")</f>
        <v xml:space="preserve">          6277 - EMPLOYEE APPRECIATION</v>
      </c>
      <c r="C64" s="11"/>
      <c r="D64" s="6">
        <v>755.08</v>
      </c>
      <c r="E64" s="2"/>
      <c r="F64" s="7">
        <f t="shared" si="36"/>
        <v>3.4760846727969336E-4</v>
      </c>
      <c r="G64" s="2"/>
      <c r="H64" s="6">
        <v>446.37</v>
      </c>
      <c r="I64" s="2"/>
      <c r="J64" s="7">
        <f t="shared" si="37"/>
        <v>2.0002935215755166E-4</v>
      </c>
      <c r="K64" s="2"/>
      <c r="L64" s="6">
        <f t="shared" si="38"/>
        <v>308.71000000000004</v>
      </c>
      <c r="M64" s="2"/>
      <c r="N64" s="7">
        <f t="shared" si="39"/>
        <v>0.69160113806931478</v>
      </c>
      <c r="O64" s="11"/>
      <c r="P64" s="6">
        <v>1267.8599999999999</v>
      </c>
      <c r="Q64" s="2"/>
      <c r="R64" s="7">
        <f t="shared" si="40"/>
        <v>3.4126336539818102E-4</v>
      </c>
      <c r="S64" s="2"/>
      <c r="T64" s="6">
        <v>835.32</v>
      </c>
      <c r="U64" s="2"/>
      <c r="V64" s="7">
        <f t="shared" si="41"/>
        <v>2.2102183810436123E-4</v>
      </c>
      <c r="W64" s="2"/>
      <c r="X64" s="6">
        <f t="shared" si="42"/>
        <v>432.53999999999985</v>
      </c>
      <c r="Y64" s="2"/>
      <c r="Z64" s="7">
        <f t="shared" si="43"/>
        <v>0.51781353253842821</v>
      </c>
    </row>
    <row r="65" spans="1:26" s="29" customFormat="1" outlineLevel="1" collapsed="1" x14ac:dyDescent="0.25">
      <c r="A65" s="27"/>
      <c r="B65" s="14" t="str">
        <f>CONCATENATE("     ","Equipment Rental                                  ")</f>
        <v xml:space="preserve">     Equipment Rental                                  </v>
      </c>
      <c r="C65" s="14"/>
      <c r="D65" s="1">
        <f>SUM(OSRRefD22_8x_0)</f>
        <v>747.36</v>
      </c>
      <c r="E65" s="1"/>
      <c r="F65" s="5">
        <f t="shared" si="36"/>
        <v>3.4405448973109026E-4</v>
      </c>
      <c r="G65" s="1"/>
      <c r="H65" s="1">
        <f>SUM(OSRRefH22_8x_0)</f>
        <v>2027.79</v>
      </c>
      <c r="I65" s="1"/>
      <c r="J65" s="5">
        <f t="shared" si="37"/>
        <v>9.0870246658951469E-4</v>
      </c>
      <c r="K65" s="1"/>
      <c r="L65" s="1">
        <f t="shared" si="38"/>
        <v>-1280.4299999999998</v>
      </c>
      <c r="M65" s="1"/>
      <c r="N65" s="5">
        <f t="shared" si="39"/>
        <v>-0.63144112556033904</v>
      </c>
      <c r="O65" s="14"/>
      <c r="P65" s="1">
        <f>SUM(OSRRefP22_8x_0)</f>
        <v>7614.03</v>
      </c>
      <c r="Q65" s="1"/>
      <c r="R65" s="5">
        <f t="shared" si="40"/>
        <v>2.04942935500979E-3</v>
      </c>
      <c r="S65" s="1"/>
      <c r="T65" s="1">
        <f>SUM(OSRRefT22_8x_0)</f>
        <v>5805.55</v>
      </c>
      <c r="U65" s="1"/>
      <c r="V65" s="5">
        <f t="shared" si="41"/>
        <v>1.5361218840764909E-3</v>
      </c>
      <c r="W65" s="1"/>
      <c r="X65" s="1">
        <f t="shared" si="42"/>
        <v>1808.4799999999996</v>
      </c>
      <c r="Y65" s="1"/>
      <c r="Z65" s="5">
        <f t="shared" si="43"/>
        <v>0.31150881484097104</v>
      </c>
    </row>
    <row r="66" spans="1:26" s="24" customFormat="1" hidden="1" outlineLevel="2" x14ac:dyDescent="0.25">
      <c r="A66" s="28"/>
      <c r="B66" s="11" t="str">
        <f>CONCATENATE("          ", "6351", " - ", "EQUIPMENT RENTAL")</f>
        <v xml:space="preserve">          6351 - EQUIPMENT RENTAL</v>
      </c>
      <c r="C66" s="11"/>
      <c r="D66" s="6">
        <v>747.36</v>
      </c>
      <c r="E66" s="2"/>
      <c r="F66" s="7">
        <f t="shared" si="36"/>
        <v>3.4405448973109026E-4</v>
      </c>
      <c r="G66" s="2"/>
      <c r="H66" s="6">
        <v>2027.79</v>
      </c>
      <c r="I66" s="2"/>
      <c r="J66" s="7">
        <f t="shared" si="37"/>
        <v>9.0870246658951469E-4</v>
      </c>
      <c r="K66" s="2"/>
      <c r="L66" s="6">
        <f t="shared" si="38"/>
        <v>-1280.4299999999998</v>
      </c>
      <c r="M66" s="2"/>
      <c r="N66" s="7">
        <f t="shared" si="39"/>
        <v>-0.63144112556033904</v>
      </c>
      <c r="O66" s="11"/>
      <c r="P66" s="6">
        <v>7614.03</v>
      </c>
      <c r="Q66" s="2"/>
      <c r="R66" s="7">
        <f t="shared" si="40"/>
        <v>2.04942935500979E-3</v>
      </c>
      <c r="S66" s="2"/>
      <c r="T66" s="6">
        <v>5805.55</v>
      </c>
      <c r="U66" s="2"/>
      <c r="V66" s="7">
        <f t="shared" si="41"/>
        <v>1.5361218840764909E-3</v>
      </c>
      <c r="W66" s="2"/>
      <c r="X66" s="6">
        <f t="shared" si="42"/>
        <v>1808.4799999999996</v>
      </c>
      <c r="Y66" s="2"/>
      <c r="Z66" s="7">
        <f t="shared" si="43"/>
        <v>0.31150881484097104</v>
      </c>
    </row>
    <row r="67" spans="1:26" s="29" customFormat="1" outlineLevel="1" collapsed="1" x14ac:dyDescent="0.25">
      <c r="A67" s="27"/>
      <c r="B67" s="14" t="str">
        <f>CONCATENATE("     ","Freight out/Postage                               ")</f>
        <v xml:space="preserve">     Freight out/Postage                               </v>
      </c>
      <c r="C67" s="14"/>
      <c r="D67" s="1">
        <f>SUM(OSRRefD22_9x_0)</f>
        <v>0</v>
      </c>
      <c r="E67" s="1"/>
      <c r="F67" s="5">
        <f t="shared" si="36"/>
        <v>0</v>
      </c>
      <c r="G67" s="1"/>
      <c r="H67" s="1">
        <f>SUM(OSRRefH22_9x_0)</f>
        <v>3.7</v>
      </c>
      <c r="I67" s="1"/>
      <c r="J67" s="5">
        <f t="shared" si="37"/>
        <v>1.658060808259832E-6</v>
      </c>
      <c r="K67" s="1"/>
      <c r="L67" s="1">
        <f t="shared" si="38"/>
        <v>-3.7</v>
      </c>
      <c r="M67" s="1"/>
      <c r="N67" s="5">
        <f t="shared" si="39"/>
        <v>-1</v>
      </c>
      <c r="O67" s="14"/>
      <c r="P67" s="1">
        <f>SUM(OSRRefP22_9x_0)</f>
        <v>0</v>
      </c>
      <c r="Q67" s="1"/>
      <c r="R67" s="5">
        <f t="shared" si="40"/>
        <v>0</v>
      </c>
      <c r="S67" s="1"/>
      <c r="T67" s="1">
        <f>SUM(OSRRefT22_9x_0)</f>
        <v>3.7</v>
      </c>
      <c r="U67" s="1"/>
      <c r="V67" s="5">
        <f t="shared" si="41"/>
        <v>9.790030179884793E-7</v>
      </c>
      <c r="W67" s="1"/>
      <c r="X67" s="1">
        <f t="shared" si="42"/>
        <v>-3.7</v>
      </c>
      <c r="Y67" s="1"/>
      <c r="Z67" s="5">
        <f t="shared" si="43"/>
        <v>-1</v>
      </c>
    </row>
    <row r="68" spans="1:26" s="24" customFormat="1" hidden="1" outlineLevel="2" x14ac:dyDescent="0.25">
      <c r="A68" s="28"/>
      <c r="B68" s="11" t="str">
        <f>CONCATENATE("          ", "6307", " - ", "POSTAGE")</f>
        <v xml:space="preserve">          6307 - POSTAGE</v>
      </c>
      <c r="C68" s="11"/>
      <c r="D68" s="6"/>
      <c r="E68" s="2"/>
      <c r="F68" s="7">
        <f t="shared" si="36"/>
        <v>0</v>
      </c>
      <c r="G68" s="2"/>
      <c r="H68" s="6">
        <v>3.7</v>
      </c>
      <c r="I68" s="2"/>
      <c r="J68" s="7">
        <f t="shared" si="37"/>
        <v>1.658060808259832E-6</v>
      </c>
      <c r="K68" s="2"/>
      <c r="L68" s="6">
        <f t="shared" si="38"/>
        <v>-3.7</v>
      </c>
      <c r="M68" s="2"/>
      <c r="N68" s="7">
        <f t="shared" si="39"/>
        <v>-1</v>
      </c>
      <c r="O68" s="11"/>
      <c r="P68" s="6"/>
      <c r="Q68" s="2"/>
      <c r="R68" s="7">
        <f t="shared" si="40"/>
        <v>0</v>
      </c>
      <c r="S68" s="2"/>
      <c r="T68" s="6">
        <v>3.7</v>
      </c>
      <c r="U68" s="2"/>
      <c r="V68" s="7">
        <f t="shared" si="41"/>
        <v>9.790030179884793E-7</v>
      </c>
      <c r="W68" s="2"/>
      <c r="X68" s="6">
        <f t="shared" si="42"/>
        <v>-3.7</v>
      </c>
      <c r="Y68" s="2"/>
      <c r="Z68" s="7">
        <f t="shared" si="43"/>
        <v>-1</v>
      </c>
    </row>
    <row r="69" spans="1:26" s="29" customFormat="1" outlineLevel="1" collapsed="1" x14ac:dyDescent="0.25">
      <c r="A69" s="27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SUM(OSRRefD22_10x_0)</f>
        <v>7536.15</v>
      </c>
      <c r="E69" s="1"/>
      <c r="F69" s="5">
        <f t="shared" si="36"/>
        <v>3.469340401930737E-3</v>
      </c>
      <c r="G69" s="1"/>
      <c r="H69" s="1">
        <f>SUM(OSRRefH22_10x_0)</f>
        <v>3626.21</v>
      </c>
      <c r="I69" s="1"/>
      <c r="J69" s="5">
        <f t="shared" si="37"/>
        <v>1.6249936982486177E-3</v>
      </c>
      <c r="K69" s="1"/>
      <c r="L69" s="1">
        <f t="shared" si="38"/>
        <v>3909.9399999999996</v>
      </c>
      <c r="M69" s="1"/>
      <c r="N69" s="5">
        <f t="shared" si="39"/>
        <v>1.0782442274440807</v>
      </c>
      <c r="O69" s="14"/>
      <c r="P69" s="1">
        <f>SUM(OSRRefP22_10x_0)</f>
        <v>35712.990000000005</v>
      </c>
      <c r="Q69" s="1"/>
      <c r="R69" s="5">
        <f t="shared" si="40"/>
        <v>9.6126821224990049E-3</v>
      </c>
      <c r="S69" s="1"/>
      <c r="T69" s="1">
        <f>SUM(OSRRefT22_10x_0)</f>
        <v>28804.21</v>
      </c>
      <c r="U69" s="1"/>
      <c r="V69" s="5">
        <f t="shared" si="41"/>
        <v>7.621461762371334E-3</v>
      </c>
      <c r="W69" s="1"/>
      <c r="X69" s="1">
        <f t="shared" si="42"/>
        <v>6908.7800000000061</v>
      </c>
      <c r="Y69" s="1"/>
      <c r="Z69" s="5">
        <f t="shared" si="43"/>
        <v>0.23985313258027233</v>
      </c>
    </row>
    <row r="70" spans="1:26" s="24" customFormat="1" hidden="1" outlineLevel="2" x14ac:dyDescent="0.25">
      <c r="A70" s="28"/>
      <c r="B70" s="11" t="str">
        <f>CONCATENATE("          ", "6269", " - ", "ENTERTAINMENT")</f>
        <v xml:space="preserve">          6269 - ENTERTAINMENT</v>
      </c>
      <c r="C70" s="11"/>
      <c r="D70" s="6">
        <v>1050</v>
      </c>
      <c r="E70" s="2"/>
      <c r="F70" s="7">
        <f t="shared" si="36"/>
        <v>4.8337777539290939E-4</v>
      </c>
      <c r="G70" s="2"/>
      <c r="H70" s="6">
        <v>1550</v>
      </c>
      <c r="I70" s="2"/>
      <c r="J70" s="7">
        <f t="shared" si="37"/>
        <v>6.9459304129803766E-4</v>
      </c>
      <c r="K70" s="2"/>
      <c r="L70" s="6">
        <f t="shared" si="38"/>
        <v>-500</v>
      </c>
      <c r="M70" s="2"/>
      <c r="N70" s="7">
        <f t="shared" si="39"/>
        <v>-0.32258064516129031</v>
      </c>
      <c r="O70" s="11"/>
      <c r="P70" s="6">
        <v>3650</v>
      </c>
      <c r="Q70" s="2"/>
      <c r="R70" s="7">
        <f t="shared" si="40"/>
        <v>9.8245175626911554E-4</v>
      </c>
      <c r="S70" s="2"/>
      <c r="T70" s="6">
        <v>3100</v>
      </c>
      <c r="U70" s="2"/>
      <c r="V70" s="7">
        <f t="shared" si="41"/>
        <v>8.2024577182818539E-4</v>
      </c>
      <c r="W70" s="2"/>
      <c r="X70" s="6">
        <f t="shared" si="42"/>
        <v>550</v>
      </c>
      <c r="Y70" s="2"/>
      <c r="Z70" s="7">
        <f t="shared" si="43"/>
        <v>0.17741935483870969</v>
      </c>
    </row>
    <row r="71" spans="1:26" s="24" customFormat="1" hidden="1" outlineLevel="2" x14ac:dyDescent="0.25">
      <c r="A71" s="28"/>
      <c r="B71" s="11" t="str">
        <f>CONCATENATE("          ", "6279", " - ", "GENERAL EXPENSE")</f>
        <v xml:space="preserve">          6279 - GENERAL EXPENSE</v>
      </c>
      <c r="C71" s="11"/>
      <c r="D71" s="6">
        <v>6486.15</v>
      </c>
      <c r="E71" s="2"/>
      <c r="F71" s="7">
        <f t="shared" si="36"/>
        <v>2.9859626265378277E-3</v>
      </c>
      <c r="G71" s="2"/>
      <c r="H71" s="6">
        <v>2076.21</v>
      </c>
      <c r="I71" s="2"/>
      <c r="J71" s="7">
        <f t="shared" si="37"/>
        <v>9.3040065695057994E-4</v>
      </c>
      <c r="K71" s="2"/>
      <c r="L71" s="6">
        <f t="shared" si="38"/>
        <v>4409.9399999999996</v>
      </c>
      <c r="M71" s="2"/>
      <c r="N71" s="7">
        <f t="shared" si="39"/>
        <v>2.124033696013409</v>
      </c>
      <c r="O71" s="11"/>
      <c r="P71" s="6">
        <v>32062.99</v>
      </c>
      <c r="Q71" s="2"/>
      <c r="R71" s="7">
        <f t="shared" si="40"/>
        <v>8.6302303662298876E-3</v>
      </c>
      <c r="S71" s="2"/>
      <c r="T71" s="6">
        <v>25704.21</v>
      </c>
      <c r="U71" s="2"/>
      <c r="V71" s="7">
        <f t="shared" si="41"/>
        <v>6.8012159905431486E-3</v>
      </c>
      <c r="W71" s="2"/>
      <c r="X71" s="6">
        <f t="shared" si="42"/>
        <v>6358.7800000000025</v>
      </c>
      <c r="Y71" s="2"/>
      <c r="Z71" s="7">
        <f t="shared" si="43"/>
        <v>0.24738282172453471</v>
      </c>
    </row>
    <row r="72" spans="1:26" s="29" customFormat="1" outlineLevel="1" collapsed="1" x14ac:dyDescent="0.25">
      <c r="A72" s="27"/>
      <c r="B72" s="14" t="str">
        <f>CONCATENATE("     ","Insurance                                         ")</f>
        <v xml:space="preserve">     Insurance                                         </v>
      </c>
      <c r="C72" s="14"/>
      <c r="D72" s="1">
        <f>SUM(OSRRefD22_11x_0)</f>
        <v>4246.03</v>
      </c>
      <c r="E72" s="1"/>
      <c r="F72" s="5">
        <f t="shared" ref="F72:F85" si="44">IF(D$12=0,0,D72/D$12)</f>
        <v>1.9547014625252903E-3</v>
      </c>
      <c r="G72" s="1"/>
      <c r="H72" s="1">
        <f>SUM(OSRRefH22_11x_0)</f>
        <v>8586.11</v>
      </c>
      <c r="I72" s="1"/>
      <c r="J72" s="5">
        <f t="shared" ref="J72:J85" si="45">IF(H$12=0,0,H72/H$12)</f>
        <v>3.8476466179480613E-3</v>
      </c>
      <c r="K72" s="1"/>
      <c r="L72" s="1">
        <f t="shared" ref="L72:L85" si="46">+D72-H72</f>
        <v>-4340.0800000000008</v>
      </c>
      <c r="M72" s="1"/>
      <c r="N72" s="5">
        <f t="shared" ref="N72:N85" si="47">IF(H72=0,0,L72/H72)</f>
        <v>-0.50547686903615263</v>
      </c>
      <c r="O72" s="14"/>
      <c r="P72" s="1">
        <f>SUM(OSRRefP22_11x_0)</f>
        <v>12738.09</v>
      </c>
      <c r="Q72" s="1"/>
      <c r="R72" s="5">
        <f t="shared" ref="R72:R85" si="48">IF(P$12=0,0,P72/P$12)</f>
        <v>3.4286462717846734E-3</v>
      </c>
      <c r="S72" s="1"/>
      <c r="T72" s="1">
        <f>SUM(OSRRefT22_11x_0)</f>
        <v>16582.329999999998</v>
      </c>
      <c r="U72" s="1"/>
      <c r="V72" s="5">
        <f t="shared" ref="V72:V85" si="49">IF(T$12=0,0,T72/T$12)</f>
        <v>4.3876084095353781E-3</v>
      </c>
      <c r="W72" s="1"/>
      <c r="X72" s="1">
        <f t="shared" ref="X72:X85" si="50">+P72-T72</f>
        <v>-3844.239999999998</v>
      </c>
      <c r="Y72" s="1"/>
      <c r="Z72" s="5">
        <f t="shared" ref="Z72:Z85" si="51">IF(T72=0,0,X72/T72)</f>
        <v>-0.23182749348252016</v>
      </c>
    </row>
    <row r="73" spans="1:26" s="24" customFormat="1" hidden="1" outlineLevel="2" x14ac:dyDescent="0.25">
      <c r="A73" s="28"/>
      <c r="B73" s="11" t="str">
        <f>CONCATENATE("          ", "6314", " - ", "LIABILITY INSURANCE")</f>
        <v xml:space="preserve">          6314 - LIABILITY INSURANCE</v>
      </c>
      <c r="C73" s="11"/>
      <c r="D73" s="6">
        <v>4246.03</v>
      </c>
      <c r="E73" s="2"/>
      <c r="F73" s="7">
        <f t="shared" si="44"/>
        <v>1.9547014625252903E-3</v>
      </c>
      <c r="G73" s="2"/>
      <c r="H73" s="6">
        <v>8586.11</v>
      </c>
      <c r="I73" s="2"/>
      <c r="J73" s="7">
        <f t="shared" si="45"/>
        <v>3.8476466179480613E-3</v>
      </c>
      <c r="K73" s="2"/>
      <c r="L73" s="6">
        <f t="shared" si="46"/>
        <v>-4340.0800000000008</v>
      </c>
      <c r="M73" s="2"/>
      <c r="N73" s="7">
        <f t="shared" si="47"/>
        <v>-0.50547686903615263</v>
      </c>
      <c r="O73" s="11"/>
      <c r="P73" s="6">
        <v>12738.09</v>
      </c>
      <c r="Q73" s="2"/>
      <c r="R73" s="7">
        <f t="shared" si="48"/>
        <v>3.4286462717846734E-3</v>
      </c>
      <c r="S73" s="2"/>
      <c r="T73" s="6">
        <v>16582.329999999998</v>
      </c>
      <c r="U73" s="2"/>
      <c r="V73" s="7">
        <f t="shared" si="49"/>
        <v>4.3876084095353781E-3</v>
      </c>
      <c r="W73" s="2"/>
      <c r="X73" s="6">
        <f t="shared" si="50"/>
        <v>-3844.239999999998</v>
      </c>
      <c r="Y73" s="2"/>
      <c r="Z73" s="7">
        <f t="shared" si="51"/>
        <v>-0.23182749348252016</v>
      </c>
    </row>
    <row r="74" spans="1:26" s="29" customFormat="1" outlineLevel="1" collapsed="1" x14ac:dyDescent="0.25">
      <c r="A74" s="27"/>
      <c r="B74" s="14" t="str">
        <f>CONCATENATE("     ","Interest                                          ")</f>
        <v xml:space="preserve">     Interest                                          </v>
      </c>
      <c r="C74" s="14"/>
      <c r="D74" s="1">
        <f>SUM(OSRRefD22_12x_0)</f>
        <v>7630</v>
      </c>
      <c r="E74" s="1"/>
      <c r="F74" s="5">
        <f t="shared" si="44"/>
        <v>3.5125451678551414E-3</v>
      </c>
      <c r="G74" s="1"/>
      <c r="H74" s="1">
        <f>SUM(OSRRefH22_12x_0)</f>
        <v>7949</v>
      </c>
      <c r="I74" s="1"/>
      <c r="J74" s="5">
        <f t="shared" si="45"/>
        <v>3.5621419905020012E-3</v>
      </c>
      <c r="K74" s="1"/>
      <c r="L74" s="1">
        <f t="shared" si="46"/>
        <v>-319</v>
      </c>
      <c r="M74" s="1"/>
      <c r="N74" s="5">
        <f t="shared" si="47"/>
        <v>-4.013083406717826E-2</v>
      </c>
      <c r="O74" s="14"/>
      <c r="P74" s="1">
        <f>SUM(OSRRefP22_12x_0)</f>
        <v>22890</v>
      </c>
      <c r="Q74" s="1"/>
      <c r="R74" s="5">
        <f t="shared" si="48"/>
        <v>6.1611837536986449E-3</v>
      </c>
      <c r="S74" s="1"/>
      <c r="T74" s="1">
        <f>SUM(OSRRefT22_12x_0)</f>
        <v>23847</v>
      </c>
      <c r="U74" s="1"/>
      <c r="V74" s="5">
        <f t="shared" si="49"/>
        <v>6.3098067486408831E-3</v>
      </c>
      <c r="W74" s="1"/>
      <c r="X74" s="1">
        <f t="shared" si="50"/>
        <v>-957</v>
      </c>
      <c r="Y74" s="1"/>
      <c r="Z74" s="5">
        <f t="shared" si="51"/>
        <v>-4.013083406717826E-2</v>
      </c>
    </row>
    <row r="75" spans="1:26" s="24" customFormat="1" hidden="1" outlineLevel="2" x14ac:dyDescent="0.25">
      <c r="A75" s="28"/>
      <c r="B75" s="11" t="str">
        <f>CONCATENATE("          ", "6401", " - ", "INTEREST EXPENSE")</f>
        <v xml:space="preserve">          6401 - INTEREST EXPENSE</v>
      </c>
      <c r="C75" s="11"/>
      <c r="D75" s="6">
        <v>7630</v>
      </c>
      <c r="E75" s="2"/>
      <c r="F75" s="7">
        <f t="shared" si="44"/>
        <v>3.5125451678551414E-3</v>
      </c>
      <c r="G75" s="2"/>
      <c r="H75" s="6">
        <v>7949</v>
      </c>
      <c r="I75" s="2"/>
      <c r="J75" s="7">
        <f t="shared" si="45"/>
        <v>3.5621419905020012E-3</v>
      </c>
      <c r="K75" s="2"/>
      <c r="L75" s="6">
        <f t="shared" si="46"/>
        <v>-319</v>
      </c>
      <c r="M75" s="2"/>
      <c r="N75" s="7">
        <f t="shared" si="47"/>
        <v>-4.013083406717826E-2</v>
      </c>
      <c r="O75" s="11"/>
      <c r="P75" s="6">
        <v>22890</v>
      </c>
      <c r="Q75" s="2"/>
      <c r="R75" s="7">
        <f t="shared" si="48"/>
        <v>6.1611837536986449E-3</v>
      </c>
      <c r="S75" s="2"/>
      <c r="T75" s="6">
        <v>23847</v>
      </c>
      <c r="U75" s="2"/>
      <c r="V75" s="7">
        <f t="shared" si="49"/>
        <v>6.3098067486408831E-3</v>
      </c>
      <c r="W75" s="2"/>
      <c r="X75" s="6">
        <f t="shared" si="50"/>
        <v>-957</v>
      </c>
      <c r="Y75" s="2"/>
      <c r="Z75" s="7">
        <f t="shared" si="51"/>
        <v>-4.013083406717826E-2</v>
      </c>
    </row>
    <row r="76" spans="1:26" s="29" customFormat="1" outlineLevel="1" collapsed="1" x14ac:dyDescent="0.25">
      <c r="A76" s="27"/>
      <c r="B76" s="14" t="str">
        <f>CONCATENATE("     ","Professional Services                             ")</f>
        <v xml:space="preserve">     Professional Services                             </v>
      </c>
      <c r="C76" s="14"/>
      <c r="D76" s="1">
        <f>SUM(OSRRefD22_13x_0)</f>
        <v>0</v>
      </c>
      <c r="E76" s="1"/>
      <c r="F76" s="5">
        <f t="shared" si="44"/>
        <v>0</v>
      </c>
      <c r="G76" s="1"/>
      <c r="H76" s="1">
        <f>SUM(OSRRefH22_13x_0)</f>
        <v>0</v>
      </c>
      <c r="I76" s="1"/>
      <c r="J76" s="5">
        <f t="shared" si="45"/>
        <v>0</v>
      </c>
      <c r="K76" s="1"/>
      <c r="L76" s="1">
        <f t="shared" si="46"/>
        <v>0</v>
      </c>
      <c r="M76" s="1"/>
      <c r="N76" s="5">
        <f t="shared" si="47"/>
        <v>0</v>
      </c>
      <c r="O76" s="14"/>
      <c r="P76" s="1">
        <f>SUM(OSRRefP22_13x_0)</f>
        <v>125</v>
      </c>
      <c r="Q76" s="1"/>
      <c r="R76" s="5">
        <f t="shared" si="48"/>
        <v>3.3645608091408066E-5</v>
      </c>
      <c r="S76" s="1"/>
      <c r="T76" s="1">
        <f>SUM(OSRRefT22_13x_0)</f>
        <v>0</v>
      </c>
      <c r="U76" s="1"/>
      <c r="V76" s="5">
        <f t="shared" si="49"/>
        <v>0</v>
      </c>
      <c r="W76" s="1"/>
      <c r="X76" s="1">
        <f t="shared" si="50"/>
        <v>125</v>
      </c>
      <c r="Y76" s="1"/>
      <c r="Z76" s="5">
        <f t="shared" si="51"/>
        <v>0</v>
      </c>
    </row>
    <row r="77" spans="1:26" s="24" customFormat="1" hidden="1" outlineLevel="2" x14ac:dyDescent="0.25">
      <c r="A77" s="28"/>
      <c r="B77" s="11" t="str">
        <f>CONCATENATE("          ", "6336", " - ", "PROFESSIONAL SERVICES")</f>
        <v xml:space="preserve">          6336 - PROFESSIONAL SERVICES</v>
      </c>
      <c r="C77" s="11"/>
      <c r="D77" s="6"/>
      <c r="E77" s="2"/>
      <c r="F77" s="7">
        <f t="shared" si="44"/>
        <v>0</v>
      </c>
      <c r="G77" s="2"/>
      <c r="H77" s="6"/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1"/>
      <c r="P77" s="6">
        <v>125</v>
      </c>
      <c r="Q77" s="2"/>
      <c r="R77" s="7">
        <f t="shared" si="48"/>
        <v>3.3645608091408066E-5</v>
      </c>
      <c r="S77" s="2"/>
      <c r="T77" s="6"/>
      <c r="U77" s="2"/>
      <c r="V77" s="7">
        <f t="shared" si="49"/>
        <v>0</v>
      </c>
      <c r="W77" s="2"/>
      <c r="X77" s="6">
        <f t="shared" si="50"/>
        <v>125</v>
      </c>
      <c r="Y77" s="2"/>
      <c r="Z77" s="7">
        <f t="shared" si="51"/>
        <v>0</v>
      </c>
    </row>
    <row r="78" spans="1:26" s="29" customFormat="1" outlineLevel="1" collapsed="1" x14ac:dyDescent="0.25">
      <c r="A78" s="27"/>
      <c r="B78" s="14" t="str">
        <f>CONCATENATE("     ","R/H Commissions                                   ")</f>
        <v xml:space="preserve">     R/H Commissions                                   </v>
      </c>
      <c r="C78" s="14"/>
      <c r="D78" s="1">
        <f>SUM(OSRRefD22_14x_0)</f>
        <v>115888.45000000001</v>
      </c>
      <c r="E78" s="1"/>
      <c r="F78" s="5">
        <f t="shared" si="44"/>
        <v>5.3350382052126111E-2</v>
      </c>
      <c r="G78" s="1"/>
      <c r="H78" s="1">
        <f>SUM(OSRRefH22_14x_0)</f>
        <v>105703.8</v>
      </c>
      <c r="I78" s="1"/>
      <c r="J78" s="5">
        <f t="shared" si="45"/>
        <v>4.7368467044360978E-2</v>
      </c>
      <c r="K78" s="1"/>
      <c r="L78" s="1">
        <f t="shared" si="46"/>
        <v>10184.650000000009</v>
      </c>
      <c r="M78" s="1"/>
      <c r="N78" s="5">
        <f t="shared" si="47"/>
        <v>9.6350840745555111E-2</v>
      </c>
      <c r="O78" s="14"/>
      <c r="P78" s="1">
        <f>SUM(OSRRefP22_14x_0)</f>
        <v>187921.28</v>
      </c>
      <c r="Q78" s="1"/>
      <c r="R78" s="5">
        <f t="shared" si="48"/>
        <v>5.0581805911326085E-2</v>
      </c>
      <c r="S78" s="1"/>
      <c r="T78" s="1">
        <f>SUM(OSRRefT22_14x_0)</f>
        <v>182904.8</v>
      </c>
      <c r="U78" s="1"/>
      <c r="V78" s="5">
        <f t="shared" si="49"/>
        <v>4.8395770595832215E-2</v>
      </c>
      <c r="W78" s="1"/>
      <c r="X78" s="1">
        <f t="shared" si="50"/>
        <v>5016.4800000000105</v>
      </c>
      <c r="Y78" s="1"/>
      <c r="Z78" s="5">
        <f t="shared" si="51"/>
        <v>2.7426726909299322E-2</v>
      </c>
    </row>
    <row r="79" spans="1:26" s="24" customFormat="1" hidden="1" outlineLevel="2" x14ac:dyDescent="0.25">
      <c r="A79" s="28"/>
      <c r="B79" s="11" t="str">
        <f>CONCATENATE("          ", "6387", " - ", "COMMISSION DUE HOUSING")</f>
        <v xml:space="preserve">          6387 - COMMISSION DUE HOUSING</v>
      </c>
      <c r="C79" s="11"/>
      <c r="D79" s="6">
        <v>115888.45000000001</v>
      </c>
      <c r="E79" s="2"/>
      <c r="F79" s="7">
        <f t="shared" si="44"/>
        <v>5.3350382052126111E-2</v>
      </c>
      <c r="G79" s="2"/>
      <c r="H79" s="6">
        <v>105703.8</v>
      </c>
      <c r="I79" s="2"/>
      <c r="J79" s="7">
        <f t="shared" si="45"/>
        <v>4.7368467044360978E-2</v>
      </c>
      <c r="K79" s="2"/>
      <c r="L79" s="6">
        <f t="shared" si="46"/>
        <v>10184.650000000009</v>
      </c>
      <c r="M79" s="2"/>
      <c r="N79" s="7">
        <f t="shared" si="47"/>
        <v>9.6350840745555111E-2</v>
      </c>
      <c r="O79" s="11"/>
      <c r="P79" s="6">
        <v>187921.28</v>
      </c>
      <c r="Q79" s="2"/>
      <c r="R79" s="7">
        <f t="shared" si="48"/>
        <v>5.0581805911326085E-2</v>
      </c>
      <c r="S79" s="2"/>
      <c r="T79" s="6">
        <v>182904.8</v>
      </c>
      <c r="U79" s="2"/>
      <c r="V79" s="7">
        <f t="shared" si="49"/>
        <v>4.8395770595832215E-2</v>
      </c>
      <c r="W79" s="2"/>
      <c r="X79" s="6">
        <f t="shared" si="50"/>
        <v>5016.4800000000105</v>
      </c>
      <c r="Y79" s="2"/>
      <c r="Z79" s="7">
        <f t="shared" si="51"/>
        <v>2.7426726909299322E-2</v>
      </c>
    </row>
    <row r="80" spans="1:26" s="29" customFormat="1" outlineLevel="1" collapsed="1" x14ac:dyDescent="0.25">
      <c r="A80" s="27"/>
      <c r="B80" s="14" t="str">
        <f>CONCATENATE("     ","Rent                                              ")</f>
        <v xml:space="preserve">     Rent                                              </v>
      </c>
      <c r="C80" s="14"/>
      <c r="D80" s="1">
        <f>SUM(OSRRefD22_15x_0)</f>
        <v>1850</v>
      </c>
      <c r="E80" s="1"/>
      <c r="F80" s="5">
        <f t="shared" si="44"/>
        <v>8.5166560426369749E-4</v>
      </c>
      <c r="G80" s="1"/>
      <c r="H80" s="1">
        <f>SUM(OSRRefH22_15x_0)</f>
        <v>1850</v>
      </c>
      <c r="I80" s="1"/>
      <c r="J80" s="5">
        <f t="shared" si="45"/>
        <v>8.2903040412991597E-4</v>
      </c>
      <c r="K80" s="1"/>
      <c r="L80" s="1">
        <f t="shared" si="46"/>
        <v>0</v>
      </c>
      <c r="M80" s="1"/>
      <c r="N80" s="5">
        <f t="shared" si="47"/>
        <v>0</v>
      </c>
      <c r="O80" s="14"/>
      <c r="P80" s="1">
        <f>SUM(OSRRefP22_15x_0)</f>
        <v>5550</v>
      </c>
      <c r="Q80" s="1"/>
      <c r="R80" s="5">
        <f t="shared" si="48"/>
        <v>1.4938649992585181E-3</v>
      </c>
      <c r="S80" s="1"/>
      <c r="T80" s="1">
        <f>SUM(OSRRefT22_15x_0)</f>
        <v>5550</v>
      </c>
      <c r="U80" s="1"/>
      <c r="V80" s="5">
        <f t="shared" si="49"/>
        <v>1.468504526982719E-3</v>
      </c>
      <c r="W80" s="1"/>
      <c r="X80" s="1">
        <f t="shared" si="50"/>
        <v>0</v>
      </c>
      <c r="Y80" s="1"/>
      <c r="Z80" s="5">
        <f t="shared" si="51"/>
        <v>0</v>
      </c>
    </row>
    <row r="81" spans="1:26" s="24" customFormat="1" hidden="1" outlineLevel="2" x14ac:dyDescent="0.25">
      <c r="A81" s="28"/>
      <c r="B81" s="11" t="str">
        <f>CONCATENATE("          ", "6273", " - ", "RENT")</f>
        <v xml:space="preserve">          6273 - RENT</v>
      </c>
      <c r="C81" s="11"/>
      <c r="D81" s="6">
        <v>1850</v>
      </c>
      <c r="E81" s="2"/>
      <c r="F81" s="7">
        <f t="shared" si="44"/>
        <v>8.5166560426369749E-4</v>
      </c>
      <c r="G81" s="2"/>
      <c r="H81" s="6">
        <v>1850</v>
      </c>
      <c r="I81" s="2"/>
      <c r="J81" s="7">
        <f t="shared" si="45"/>
        <v>8.2903040412991597E-4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5550</v>
      </c>
      <c r="Q81" s="2"/>
      <c r="R81" s="7">
        <f t="shared" si="48"/>
        <v>1.4938649992585181E-3</v>
      </c>
      <c r="S81" s="2"/>
      <c r="T81" s="6">
        <v>5550</v>
      </c>
      <c r="U81" s="2"/>
      <c r="V81" s="7">
        <f t="shared" si="49"/>
        <v>1.468504526982719E-3</v>
      </c>
      <c r="W81" s="2"/>
      <c r="X81" s="6">
        <f t="shared" si="50"/>
        <v>0</v>
      </c>
      <c r="Y81" s="2"/>
      <c r="Z81" s="7">
        <f t="shared" si="51"/>
        <v>0</v>
      </c>
    </row>
    <row r="82" spans="1:26" s="29" customFormat="1" outlineLevel="1" collapsed="1" x14ac:dyDescent="0.25">
      <c r="A82" s="27"/>
      <c r="B82" s="14" t="str">
        <f>CONCATENATE("     ","Repair and Maintenance                            ")</f>
        <v xml:space="preserve">     Repair and Maintenance                            </v>
      </c>
      <c r="C82" s="14"/>
      <c r="D82" s="1">
        <f>SUM(OSRRefD22_16x_0)</f>
        <v>38752.29</v>
      </c>
      <c r="E82" s="1"/>
      <c r="F82" s="5">
        <f t="shared" si="44"/>
        <v>1.783999593483894E-2</v>
      </c>
      <c r="G82" s="1"/>
      <c r="H82" s="1">
        <f>SUM(OSRRefH22_16x_0)</f>
        <v>7222.8</v>
      </c>
      <c r="I82" s="1"/>
      <c r="J82" s="5">
        <f t="shared" si="45"/>
        <v>3.236713947540301E-3</v>
      </c>
      <c r="K82" s="1"/>
      <c r="L82" s="1">
        <f t="shared" si="46"/>
        <v>31529.49</v>
      </c>
      <c r="M82" s="1"/>
      <c r="N82" s="5">
        <f t="shared" si="47"/>
        <v>4.3652724705100514</v>
      </c>
      <c r="O82" s="14"/>
      <c r="P82" s="1">
        <f>SUM(OSRRefP22_16x_0)</f>
        <v>86591.31</v>
      </c>
      <c r="Q82" s="1"/>
      <c r="R82" s="5">
        <f t="shared" si="48"/>
        <v>2.3307338243052991E-2</v>
      </c>
      <c r="S82" s="1"/>
      <c r="T82" s="1">
        <f>SUM(OSRRefT22_16x_0)</f>
        <v>59889.760000000002</v>
      </c>
      <c r="U82" s="1"/>
      <c r="V82" s="5">
        <f t="shared" si="49"/>
        <v>1.5846555618001544E-2</v>
      </c>
      <c r="W82" s="1"/>
      <c r="X82" s="1">
        <f t="shared" si="50"/>
        <v>26701.549999999996</v>
      </c>
      <c r="Y82" s="1"/>
      <c r="Z82" s="5">
        <f t="shared" si="51"/>
        <v>0.4458449992118852</v>
      </c>
    </row>
    <row r="83" spans="1:26" s="24" customFormat="1" hidden="1" outlineLevel="2" x14ac:dyDescent="0.25">
      <c r="A83" s="28"/>
      <c r="B83" s="11" t="str">
        <f>CONCATENATE("          ", "6371", " - ", "COMPUTER SOFTWARE MAINTENANCE")</f>
        <v xml:space="preserve">          6371 - COMPUTER SOFTWARE MAINTENANCE</v>
      </c>
      <c r="C83" s="11"/>
      <c r="D83" s="6">
        <v>17273.12</v>
      </c>
      <c r="E83" s="2"/>
      <c r="F83" s="7">
        <f t="shared" si="44"/>
        <v>7.9518498282807326E-3</v>
      </c>
      <c r="G83" s="2"/>
      <c r="H83" s="6">
        <v>-7911.5</v>
      </c>
      <c r="I83" s="2"/>
      <c r="J83" s="7">
        <f t="shared" si="45"/>
        <v>-3.5453373201480161E-3</v>
      </c>
      <c r="K83" s="2"/>
      <c r="L83" s="6">
        <f t="shared" si="46"/>
        <v>25184.62</v>
      </c>
      <c r="M83" s="2"/>
      <c r="N83" s="7">
        <f t="shared" si="47"/>
        <v>-3.1832926752196169</v>
      </c>
      <c r="O83" s="11"/>
      <c r="P83" s="6">
        <v>17273.12</v>
      </c>
      <c r="Q83" s="2"/>
      <c r="R83" s="7">
        <f t="shared" si="48"/>
        <v>4.6493170082868998E-3</v>
      </c>
      <c r="S83" s="2"/>
      <c r="T83" s="6">
        <v>-7662.5</v>
      </c>
      <c r="U83" s="2"/>
      <c r="V83" s="7">
        <f t="shared" si="49"/>
        <v>-2.0274623311720874E-3</v>
      </c>
      <c r="W83" s="2"/>
      <c r="X83" s="6">
        <f t="shared" si="50"/>
        <v>24935.62</v>
      </c>
      <c r="Y83" s="2"/>
      <c r="Z83" s="7">
        <f t="shared" si="51"/>
        <v>-3.2542407830342577</v>
      </c>
    </row>
    <row r="84" spans="1:26" s="24" customFormat="1" hidden="1" outlineLevel="2" x14ac:dyDescent="0.25">
      <c r="A84" s="28"/>
      <c r="B84" s="11" t="str">
        <f>CONCATENATE("          ", "6373", " - ", "MAINTENANCE CONTRACTS")</f>
        <v xml:space="preserve">          6373 - MAINTENANCE CONTRACTS</v>
      </c>
      <c r="C84" s="11"/>
      <c r="D84" s="6">
        <v>8726.11</v>
      </c>
      <c r="E84" s="2"/>
      <c r="F84" s="7">
        <f t="shared" si="44"/>
        <v>4.0171501329845909E-3</v>
      </c>
      <c r="G84" s="2"/>
      <c r="H84" s="6">
        <v>7847.84</v>
      </c>
      <c r="I84" s="2"/>
      <c r="J84" s="7">
        <f t="shared" si="45"/>
        <v>3.5168097117550916E-3</v>
      </c>
      <c r="K84" s="2"/>
      <c r="L84" s="6">
        <f t="shared" si="46"/>
        <v>878.27000000000044</v>
      </c>
      <c r="M84" s="2"/>
      <c r="N84" s="7">
        <f t="shared" si="47"/>
        <v>0.1119123223715061</v>
      </c>
      <c r="O84" s="11"/>
      <c r="P84" s="6">
        <v>24846.52</v>
      </c>
      <c r="Q84" s="2"/>
      <c r="R84" s="7">
        <f t="shared" si="48"/>
        <v>6.6878101948426591E-3</v>
      </c>
      <c r="S84" s="2"/>
      <c r="T84" s="6">
        <v>30196.620000000003</v>
      </c>
      <c r="U84" s="2"/>
      <c r="V84" s="7">
        <f t="shared" si="49"/>
        <v>7.9898870575814268E-3</v>
      </c>
      <c r="W84" s="2"/>
      <c r="X84" s="6">
        <f t="shared" si="50"/>
        <v>-5350.1000000000022</v>
      </c>
      <c r="Y84" s="2"/>
      <c r="Z84" s="7">
        <f t="shared" si="51"/>
        <v>-0.17717545871027957</v>
      </c>
    </row>
    <row r="85" spans="1:26" s="24" customFormat="1" hidden="1" outlineLevel="2" x14ac:dyDescent="0.25">
      <c r="A85" s="28"/>
      <c r="B85" s="11" t="str">
        <f>CONCATENATE("          ", "6375", " - ", "OUTSIDE REPAIRS &amp; MAINTENANCE")</f>
        <v xml:space="preserve">          6375 - OUTSIDE REPAIRS &amp; MAINTENANCE</v>
      </c>
      <c r="C85" s="11"/>
      <c r="D85" s="6">
        <v>12753.06</v>
      </c>
      <c r="E85" s="2"/>
      <c r="F85" s="7">
        <f t="shared" si="44"/>
        <v>5.8709959735736153E-3</v>
      </c>
      <c r="G85" s="2"/>
      <c r="H85" s="6">
        <v>7286.46</v>
      </c>
      <c r="I85" s="2"/>
      <c r="J85" s="7">
        <f t="shared" si="45"/>
        <v>3.2652415559332256E-3</v>
      </c>
      <c r="K85" s="2"/>
      <c r="L85" s="6">
        <f t="shared" si="46"/>
        <v>5466.5999999999995</v>
      </c>
      <c r="M85" s="2"/>
      <c r="N85" s="7">
        <f t="shared" si="47"/>
        <v>0.75024085770044702</v>
      </c>
      <c r="O85" s="11"/>
      <c r="P85" s="6">
        <v>44471.67</v>
      </c>
      <c r="Q85" s="2"/>
      <c r="R85" s="7">
        <f t="shared" si="48"/>
        <v>1.1970211039923434E-2</v>
      </c>
      <c r="S85" s="2"/>
      <c r="T85" s="6">
        <v>37355.64</v>
      </c>
      <c r="U85" s="2"/>
      <c r="V85" s="7">
        <f t="shared" si="49"/>
        <v>9.8841308915922042E-3</v>
      </c>
      <c r="W85" s="2"/>
      <c r="X85" s="6">
        <f t="shared" si="50"/>
        <v>7116.0299999999988</v>
      </c>
      <c r="Y85" s="2"/>
      <c r="Z85" s="7">
        <f t="shared" si="51"/>
        <v>0.19049412618817396</v>
      </c>
    </row>
    <row r="86" spans="1:26" s="29" customFormat="1" outlineLevel="1" collapsed="1" x14ac:dyDescent="0.25">
      <c r="A86" s="27"/>
      <c r="B86" s="14" t="str">
        <f>CONCATENATE("     ","Royalty &amp; Commissions                             ")</f>
        <v xml:space="preserve">     Royalty &amp; Commissions                             </v>
      </c>
      <c r="C86" s="14"/>
      <c r="D86" s="1">
        <f>SUM(OSRRefD22_17x_0)</f>
        <v>26561.729999999996</v>
      </c>
      <c r="E86" s="1"/>
      <c r="F86" s="5">
        <f t="shared" ref="F86:F88" si="52">IF(D$12=0,0,D86/D$12)</f>
        <v>1.2227952340940096E-2</v>
      </c>
      <c r="G86" s="1"/>
      <c r="H86" s="1">
        <f>SUM(OSRRefH22_17x_0)</f>
        <v>30324.32</v>
      </c>
      <c r="I86" s="1"/>
      <c r="J86" s="5">
        <f t="shared" ref="J86:J88" si="53">IF(H$12=0,0,H86/H$12)</f>
        <v>1.3589072034899943E-2</v>
      </c>
      <c r="K86" s="1"/>
      <c r="L86" s="1">
        <f t="shared" ref="L86:L88" si="54">+D86-H86</f>
        <v>-3762.5900000000038</v>
      </c>
      <c r="M86" s="1"/>
      <c r="N86" s="5">
        <f t="shared" ref="N86:N88" si="55">IF(H86=0,0,L86/H86)</f>
        <v>-0.1240782975512725</v>
      </c>
      <c r="O86" s="14"/>
      <c r="P86" s="1">
        <f>SUM(OSRRefP22_17x_0)</f>
        <v>60263.770000000004</v>
      </c>
      <c r="Q86" s="1"/>
      <c r="R86" s="5">
        <f t="shared" ref="R86:R88" si="56">IF(P$12=0,0,P86/P$12)</f>
        <v>1.6220889500246038E-2</v>
      </c>
      <c r="S86" s="1"/>
      <c r="T86" s="1">
        <f>SUM(OSRRefT22_17x_0)</f>
        <v>65967.76999999999</v>
      </c>
      <c r="U86" s="1"/>
      <c r="V86" s="5">
        <f t="shared" ref="V86:V88" si="57">IF(T$12=0,0,T86/T$12)</f>
        <v>1.745476916755942E-2</v>
      </c>
      <c r="W86" s="1"/>
      <c r="X86" s="1">
        <f t="shared" ref="X86:X88" si="58">+P86-T86</f>
        <v>-5703.9999999999854</v>
      </c>
      <c r="Y86" s="1"/>
      <c r="Z86" s="5">
        <f t="shared" ref="Z86:Z88" si="59">IF(T86=0,0,X86/T86)</f>
        <v>-8.6466466882236373E-2</v>
      </c>
    </row>
    <row r="87" spans="1:26" s="24" customFormat="1" hidden="1" outlineLevel="2" x14ac:dyDescent="0.25">
      <c r="A87" s="28"/>
      <c r="B87" s="11" t="str">
        <f>CONCATENATE("          ", "6254", " - ", "ROYALTY &amp; COMMISSIONS")</f>
        <v xml:space="preserve">          6254 - ROYALTY &amp; COMMISSIONS</v>
      </c>
      <c r="C87" s="11"/>
      <c r="D87" s="6">
        <v>9813.9699999999993</v>
      </c>
      <c r="E87" s="2"/>
      <c r="F87" s="7">
        <f t="shared" si="52"/>
        <v>4.5179571298788095E-3</v>
      </c>
      <c r="G87" s="2"/>
      <c r="H87" s="6">
        <v>12992.08</v>
      </c>
      <c r="I87" s="2"/>
      <c r="J87" s="7">
        <f t="shared" si="53"/>
        <v>5.8220699096692965E-3</v>
      </c>
      <c r="K87" s="2"/>
      <c r="L87" s="6">
        <f t="shared" si="54"/>
        <v>-3178.1100000000006</v>
      </c>
      <c r="M87" s="2"/>
      <c r="N87" s="7">
        <f t="shared" si="55"/>
        <v>-0.24461902943947395</v>
      </c>
      <c r="O87" s="11"/>
      <c r="P87" s="6">
        <v>34657.61</v>
      </c>
      <c r="Q87" s="2"/>
      <c r="R87" s="7">
        <f t="shared" si="56"/>
        <v>9.3286109075589214E-3</v>
      </c>
      <c r="S87" s="2"/>
      <c r="T87" s="6">
        <v>40145.449999999997</v>
      </c>
      <c r="U87" s="2"/>
      <c r="V87" s="7">
        <f t="shared" si="57"/>
        <v>1.062230181310962E-2</v>
      </c>
      <c r="W87" s="2"/>
      <c r="X87" s="6">
        <f t="shared" si="58"/>
        <v>-5487.8399999999965</v>
      </c>
      <c r="Y87" s="2"/>
      <c r="Z87" s="7">
        <f t="shared" si="59"/>
        <v>-0.13669892852116483</v>
      </c>
    </row>
    <row r="88" spans="1:26" s="24" customFormat="1" hidden="1" outlineLevel="2" x14ac:dyDescent="0.25">
      <c r="A88" s="28"/>
      <c r="B88" s="11" t="str">
        <f>CONCATENATE("          ", "6259", " - ", "ROYALTY &amp; COMMISSIONS")</f>
        <v xml:space="preserve">          6259 - ROYALTY &amp; COMMISSIONS</v>
      </c>
      <c r="C88" s="11"/>
      <c r="D88" s="6">
        <v>16747.759999999998</v>
      </c>
      <c r="E88" s="2"/>
      <c r="F88" s="7">
        <f t="shared" si="52"/>
        <v>7.7099952110612864E-3</v>
      </c>
      <c r="G88" s="2"/>
      <c r="H88" s="6">
        <v>17332.240000000002</v>
      </c>
      <c r="I88" s="2"/>
      <c r="J88" s="7">
        <f t="shared" si="53"/>
        <v>7.7670021252306464E-3</v>
      </c>
      <c r="K88" s="2"/>
      <c r="L88" s="6">
        <f t="shared" si="54"/>
        <v>-584.4800000000032</v>
      </c>
      <c r="M88" s="2"/>
      <c r="N88" s="7">
        <f t="shared" si="55"/>
        <v>-3.3722127088016501E-2</v>
      </c>
      <c r="O88" s="11"/>
      <c r="P88" s="6">
        <v>25606.16</v>
      </c>
      <c r="Q88" s="2"/>
      <c r="R88" s="7">
        <f t="shared" si="56"/>
        <v>6.8922785926871163E-3</v>
      </c>
      <c r="S88" s="2"/>
      <c r="T88" s="6">
        <v>25822.32</v>
      </c>
      <c r="U88" s="2"/>
      <c r="V88" s="7">
        <f t="shared" si="57"/>
        <v>6.8324673544498029E-3</v>
      </c>
      <c r="W88" s="2"/>
      <c r="X88" s="6">
        <f t="shared" si="58"/>
        <v>-216.15999999999985</v>
      </c>
      <c r="Y88" s="2"/>
      <c r="Z88" s="7">
        <f t="shared" si="59"/>
        <v>-8.3710526397318234E-3</v>
      </c>
    </row>
    <row r="89" spans="1:26" s="29" customFormat="1" outlineLevel="1" collapsed="1" x14ac:dyDescent="0.25">
      <c r="A89" s="27"/>
      <c r="B89" s="14" t="str">
        <f>CONCATENATE("     ","Services                                          ")</f>
        <v xml:space="preserve">     Services                                          </v>
      </c>
      <c r="C89" s="14"/>
      <c r="D89" s="1">
        <f>SUM(OSRRefD22_18x_0)</f>
        <v>40984.65</v>
      </c>
      <c r="E89" s="1"/>
      <c r="F89" s="5">
        <f t="shared" ref="F89:F94" si="60">IF(D$12=0,0,D89/D$12)</f>
        <v>1.8867684706911431E-2</v>
      </c>
      <c r="G89" s="1"/>
      <c r="H89" s="1">
        <f>SUM(OSRRefH22_18x_0)</f>
        <v>40108.370000000003</v>
      </c>
      <c r="I89" s="1"/>
      <c r="J89" s="5">
        <f t="shared" ref="J89:J94" si="61">IF(H$12=0,0,H89/H$12)</f>
        <v>1.7973544967617404E-2</v>
      </c>
      <c r="K89" s="1"/>
      <c r="L89" s="1">
        <f t="shared" ref="L89:L94" si="62">+D89-H89</f>
        <v>876.27999999999884</v>
      </c>
      <c r="M89" s="1"/>
      <c r="N89" s="5">
        <f t="shared" ref="N89:N94" si="63">IF(H89=0,0,L89/H89)</f>
        <v>2.1847808823943701E-2</v>
      </c>
      <c r="O89" s="14"/>
      <c r="P89" s="1">
        <f>SUM(OSRRefP22_18x_0)</f>
        <v>117733.61</v>
      </c>
      <c r="Q89" s="1"/>
      <c r="R89" s="5">
        <f t="shared" ref="R89:R94" si="64">IF(P$12=0,0,P89/P$12)</f>
        <v>3.168975120997345E-2</v>
      </c>
      <c r="S89" s="1"/>
      <c r="T89" s="1">
        <f>SUM(OSRRefT22_18x_0)</f>
        <v>102069.02</v>
      </c>
      <c r="U89" s="1"/>
      <c r="V89" s="5">
        <f t="shared" ref="V89:V94" si="65">IF(T$12=0,0,T89/T$12)</f>
        <v>2.7006994222466611E-2</v>
      </c>
      <c r="W89" s="1"/>
      <c r="X89" s="1">
        <f t="shared" ref="X89:X94" si="66">+P89-T89</f>
        <v>15664.589999999997</v>
      </c>
      <c r="Y89" s="1"/>
      <c r="Z89" s="5">
        <f t="shared" ref="Z89:Z94" si="67">IF(T89=0,0,X89/T89)</f>
        <v>0.15347056335017223</v>
      </c>
    </row>
    <row r="90" spans="1:26" s="24" customFormat="1" hidden="1" outlineLevel="2" x14ac:dyDescent="0.25">
      <c r="A90" s="28"/>
      <c r="B90" s="11" t="str">
        <f>CONCATENATE("          ", "6282", " - ", "JANITORIAL/EXTERMINATOR EXPENS")</f>
        <v xml:space="preserve">          6282 - JANITORIAL/EXTERMINATOR EXPENS</v>
      </c>
      <c r="C90" s="11"/>
      <c r="D90" s="6">
        <v>2905.87</v>
      </c>
      <c r="E90" s="2"/>
      <c r="F90" s="7">
        <f t="shared" si="60"/>
        <v>1.3377456916009462E-3</v>
      </c>
      <c r="G90" s="2"/>
      <c r="H90" s="6">
        <v>2785.87</v>
      </c>
      <c r="I90" s="2"/>
      <c r="J90" s="7">
        <f t="shared" si="61"/>
        <v>1.2484167199748157E-3</v>
      </c>
      <c r="K90" s="2"/>
      <c r="L90" s="6">
        <f t="shared" si="62"/>
        <v>120</v>
      </c>
      <c r="M90" s="2"/>
      <c r="N90" s="7">
        <f t="shared" si="63"/>
        <v>4.3074515321964053E-2</v>
      </c>
      <c r="O90" s="11"/>
      <c r="P90" s="6">
        <v>8627.61</v>
      </c>
      <c r="Q90" s="2"/>
      <c r="R90" s="7">
        <f t="shared" si="64"/>
        <v>2.3222494786041053E-3</v>
      </c>
      <c r="S90" s="2"/>
      <c r="T90" s="6">
        <v>8163.69</v>
      </c>
      <c r="U90" s="2"/>
      <c r="V90" s="7">
        <f t="shared" si="65"/>
        <v>2.1600749048438835E-3</v>
      </c>
      <c r="W90" s="2"/>
      <c r="X90" s="6">
        <f t="shared" si="66"/>
        <v>463.92000000000098</v>
      </c>
      <c r="Y90" s="2"/>
      <c r="Z90" s="7">
        <f t="shared" si="67"/>
        <v>5.6827243562653777E-2</v>
      </c>
    </row>
    <row r="91" spans="1:26" s="24" customFormat="1" hidden="1" outlineLevel="2" x14ac:dyDescent="0.25">
      <c r="A91" s="28"/>
      <c r="B91" s="11" t="str">
        <f>CONCATENATE("          ", "6283", " - ", "PLANT SERVICE")</f>
        <v xml:space="preserve">          6283 - PLANT SERVICE</v>
      </c>
      <c r="C91" s="11"/>
      <c r="D91" s="6">
        <v>199.78</v>
      </c>
      <c r="E91" s="2"/>
      <c r="F91" s="7">
        <f t="shared" si="60"/>
        <v>9.1970678064757556E-5</v>
      </c>
      <c r="G91" s="2"/>
      <c r="H91" s="6">
        <v>176</v>
      </c>
      <c r="I91" s="2"/>
      <c r="J91" s="7">
        <f t="shared" si="61"/>
        <v>7.8869919528035251E-5</v>
      </c>
      <c r="K91" s="2"/>
      <c r="L91" s="6">
        <f t="shared" si="62"/>
        <v>23.78</v>
      </c>
      <c r="M91" s="2"/>
      <c r="N91" s="7">
        <f t="shared" si="63"/>
        <v>0.13511363636363638</v>
      </c>
      <c r="O91" s="11"/>
      <c r="P91" s="6">
        <v>599.34</v>
      </c>
      <c r="Q91" s="2"/>
      <c r="R91" s="7">
        <f t="shared" si="64"/>
        <v>1.6132127002803609E-4</v>
      </c>
      <c r="S91" s="2"/>
      <c r="T91" s="6">
        <v>528</v>
      </c>
      <c r="U91" s="2"/>
      <c r="V91" s="7">
        <f t="shared" si="65"/>
        <v>1.3970637662105866E-4</v>
      </c>
      <c r="W91" s="2"/>
      <c r="X91" s="6">
        <f t="shared" si="66"/>
        <v>71.340000000000032</v>
      </c>
      <c r="Y91" s="2"/>
      <c r="Z91" s="7">
        <f t="shared" si="67"/>
        <v>0.13511363636363644</v>
      </c>
    </row>
    <row r="92" spans="1:26" s="24" customFormat="1" hidden="1" outlineLevel="2" x14ac:dyDescent="0.25">
      <c r="A92" s="28"/>
      <c r="B92" s="11" t="str">
        <f>CONCATENATE("          ", "6284", " - ", "TRASH REMOVAL EXPENSE")</f>
        <v xml:space="preserve">          6284 - TRASH REMOVAL EXPENSE</v>
      </c>
      <c r="C92" s="11"/>
      <c r="D92" s="6">
        <v>623</v>
      </c>
      <c r="E92" s="2"/>
      <c r="F92" s="7">
        <f t="shared" si="60"/>
        <v>2.8680414673312623E-4</v>
      </c>
      <c r="G92" s="2"/>
      <c r="H92" s="6">
        <v>5588</v>
      </c>
      <c r="I92" s="2"/>
      <c r="J92" s="7">
        <f t="shared" si="61"/>
        <v>2.5041199450151191E-3</v>
      </c>
      <c r="K92" s="2"/>
      <c r="L92" s="6">
        <f t="shared" si="62"/>
        <v>-4965</v>
      </c>
      <c r="M92" s="2"/>
      <c r="N92" s="7">
        <f t="shared" si="63"/>
        <v>-0.88851109520400862</v>
      </c>
      <c r="O92" s="11"/>
      <c r="P92" s="6">
        <v>4822</v>
      </c>
      <c r="Q92" s="2"/>
      <c r="R92" s="7">
        <f t="shared" si="64"/>
        <v>1.2979129777341575E-3</v>
      </c>
      <c r="S92" s="2"/>
      <c r="T92" s="6">
        <v>11974</v>
      </c>
      <c r="U92" s="2"/>
      <c r="V92" s="7">
        <f t="shared" si="65"/>
        <v>3.168265442538933E-3</v>
      </c>
      <c r="W92" s="2"/>
      <c r="X92" s="6">
        <f t="shared" si="66"/>
        <v>-7152</v>
      </c>
      <c r="Y92" s="2"/>
      <c r="Z92" s="7">
        <f t="shared" si="67"/>
        <v>-0.59729413729747782</v>
      </c>
    </row>
    <row r="93" spans="1:26" s="24" customFormat="1" hidden="1" outlineLevel="2" x14ac:dyDescent="0.25">
      <c r="A93" s="28"/>
      <c r="B93" s="11" t="str">
        <f>CONCATENATE("          ", "6285", " - ", "JANITORIAL SERVICES")</f>
        <v xml:space="preserve">          6285 - JANITORIAL SERVICES</v>
      </c>
      <c r="C93" s="11"/>
      <c r="D93" s="6">
        <v>28773.47</v>
      </c>
      <c r="E93" s="2"/>
      <c r="F93" s="7">
        <f t="shared" si="60"/>
        <v>1.3246148494223444E-2</v>
      </c>
      <c r="G93" s="2"/>
      <c r="H93" s="6">
        <v>23603.230000000003</v>
      </c>
      <c r="I93" s="2"/>
      <c r="J93" s="7">
        <f t="shared" si="61"/>
        <v>1.0577186651714247E-2</v>
      </c>
      <c r="K93" s="2"/>
      <c r="L93" s="6">
        <f t="shared" si="62"/>
        <v>5170.239999999998</v>
      </c>
      <c r="M93" s="2"/>
      <c r="N93" s="7">
        <f t="shared" si="63"/>
        <v>0.21904798622900329</v>
      </c>
      <c r="O93" s="11"/>
      <c r="P93" s="6">
        <v>79584.37000000001</v>
      </c>
      <c r="Q93" s="2"/>
      <c r="R93" s="7">
        <f t="shared" si="64"/>
        <v>2.142131618577291E-2</v>
      </c>
      <c r="S93" s="2"/>
      <c r="T93" s="6">
        <v>60823.58</v>
      </c>
      <c r="U93" s="2"/>
      <c r="V93" s="7">
        <f t="shared" si="65"/>
        <v>1.6093640104017221E-2</v>
      </c>
      <c r="W93" s="2"/>
      <c r="X93" s="6">
        <f t="shared" si="66"/>
        <v>18760.790000000008</v>
      </c>
      <c r="Y93" s="2"/>
      <c r="Z93" s="7">
        <f t="shared" si="67"/>
        <v>0.30844600071222389</v>
      </c>
    </row>
    <row r="94" spans="1:26" s="24" customFormat="1" hidden="1" outlineLevel="2" x14ac:dyDescent="0.25">
      <c r="A94" s="28"/>
      <c r="B94" s="11" t="str">
        <f>CONCATENATE("          ", "6286", " - ", "LAUNDRY EXPENSE")</f>
        <v xml:space="preserve">          6286 - LAUNDRY EXPENSE</v>
      </c>
      <c r="C94" s="11"/>
      <c r="D94" s="6">
        <v>8482.5300000000007</v>
      </c>
      <c r="E94" s="2"/>
      <c r="F94" s="7">
        <f t="shared" si="60"/>
        <v>3.9050156962891578E-3</v>
      </c>
      <c r="G94" s="2"/>
      <c r="H94" s="6">
        <v>7955.27</v>
      </c>
      <c r="I94" s="2"/>
      <c r="J94" s="7">
        <f t="shared" si="61"/>
        <v>3.5649517313851875E-3</v>
      </c>
      <c r="K94" s="2"/>
      <c r="L94" s="6">
        <f t="shared" si="62"/>
        <v>527.26000000000022</v>
      </c>
      <c r="M94" s="2"/>
      <c r="N94" s="7">
        <f t="shared" si="63"/>
        <v>6.6278077299701976E-2</v>
      </c>
      <c r="O94" s="11"/>
      <c r="P94" s="6">
        <v>24100.289999999997</v>
      </c>
      <c r="Q94" s="2"/>
      <c r="R94" s="7">
        <f t="shared" si="64"/>
        <v>6.4869512978342463E-3</v>
      </c>
      <c r="S94" s="2"/>
      <c r="T94" s="6">
        <v>20579.75</v>
      </c>
      <c r="U94" s="2"/>
      <c r="V94" s="7">
        <f t="shared" si="65"/>
        <v>5.4453073944455152E-3</v>
      </c>
      <c r="W94" s="2"/>
      <c r="X94" s="6">
        <f t="shared" si="66"/>
        <v>3520.5399999999972</v>
      </c>
      <c r="Y94" s="2"/>
      <c r="Z94" s="7">
        <f t="shared" si="67"/>
        <v>0.17106816166377128</v>
      </c>
    </row>
    <row r="95" spans="1:26" s="29" customFormat="1" outlineLevel="1" collapsed="1" x14ac:dyDescent="0.25">
      <c r="A95" s="27"/>
      <c r="B95" s="14" t="str">
        <f>CONCATENATE("     ","Subscriptions &amp; Dues                              ")</f>
        <v xml:space="preserve">     Subscriptions &amp; Dues                              </v>
      </c>
      <c r="C95" s="14"/>
      <c r="D95" s="1">
        <f>SUM(OSRRefD22_19x_0)</f>
        <v>454.78</v>
      </c>
      <c r="E95" s="1"/>
      <c r="F95" s="5">
        <f t="shared" ref="F95:F105" si="68">IF(D$12=0,0,D95/D$12)</f>
        <v>2.0936242351732125E-4</v>
      </c>
      <c r="G95" s="1"/>
      <c r="H95" s="1">
        <f>SUM(OSRRefH22_19x_0)</f>
        <v>448.78</v>
      </c>
      <c r="I95" s="1"/>
      <c r="J95" s="5">
        <f t="shared" ref="J95:J105" si="69">IF(H$12=0,0,H95/H$12)</f>
        <v>2.0110933230563441E-4</v>
      </c>
      <c r="K95" s="1"/>
      <c r="L95" s="1">
        <f t="shared" ref="L95:L105" si="70">+D95-H95</f>
        <v>6</v>
      </c>
      <c r="M95" s="1"/>
      <c r="N95" s="5">
        <f t="shared" ref="N95:N105" si="71">IF(H95=0,0,L95/H95)</f>
        <v>1.3369579749543207E-2</v>
      </c>
      <c r="O95" s="14"/>
      <c r="P95" s="1">
        <f>SUM(OSRRefP22_19x_0)</f>
        <v>1302.98</v>
      </c>
      <c r="Q95" s="1"/>
      <c r="R95" s="5">
        <f t="shared" ref="R95:R105" si="72">IF(P$12=0,0,P95/P$12)</f>
        <v>3.5071643544754304E-4</v>
      </c>
      <c r="S95" s="1"/>
      <c r="T95" s="1">
        <f>SUM(OSRRefT22_19x_0)</f>
        <v>733.17</v>
      </c>
      <c r="U95" s="1"/>
      <c r="V95" s="5">
        <f t="shared" ref="V95:V105" si="73">IF(T$12=0,0,T95/T$12)</f>
        <v>1.9399341694557117E-4</v>
      </c>
      <c r="W95" s="1"/>
      <c r="X95" s="1">
        <f t="shared" ref="X95:X105" si="74">+P95-T95</f>
        <v>569.81000000000006</v>
      </c>
      <c r="Y95" s="1"/>
      <c r="Z95" s="5">
        <f t="shared" ref="Z95:Z105" si="75">IF(T95=0,0,X95/T95)</f>
        <v>0.77718673704597852</v>
      </c>
    </row>
    <row r="96" spans="1:26" s="24" customFormat="1" hidden="1" outlineLevel="2" x14ac:dyDescent="0.25">
      <c r="A96" s="28"/>
      <c r="B96" s="11" t="str">
        <f>CONCATENATE("          ", "6275", " - ", "SUBSCRIPTIONS")</f>
        <v xml:space="preserve">          6275 - SUBSCRIPTIONS</v>
      </c>
      <c r="C96" s="11"/>
      <c r="D96" s="6">
        <v>454.78</v>
      </c>
      <c r="E96" s="2"/>
      <c r="F96" s="7">
        <f t="shared" si="68"/>
        <v>2.0936242351732125E-4</v>
      </c>
      <c r="G96" s="2"/>
      <c r="H96" s="6">
        <v>448.78</v>
      </c>
      <c r="I96" s="2"/>
      <c r="J96" s="7">
        <f t="shared" si="69"/>
        <v>2.0110933230563441E-4</v>
      </c>
      <c r="K96" s="2"/>
      <c r="L96" s="6">
        <f t="shared" si="70"/>
        <v>6</v>
      </c>
      <c r="M96" s="2"/>
      <c r="N96" s="7">
        <f t="shared" si="71"/>
        <v>1.3369579749543207E-2</v>
      </c>
      <c r="O96" s="11"/>
      <c r="P96" s="6">
        <v>1302.98</v>
      </c>
      <c r="Q96" s="2"/>
      <c r="R96" s="7">
        <f t="shared" si="72"/>
        <v>3.5071643544754304E-4</v>
      </c>
      <c r="S96" s="2"/>
      <c r="T96" s="6">
        <v>733.17</v>
      </c>
      <c r="U96" s="2"/>
      <c r="V96" s="7">
        <f t="shared" si="73"/>
        <v>1.9399341694557117E-4</v>
      </c>
      <c r="W96" s="2"/>
      <c r="X96" s="6">
        <f t="shared" si="74"/>
        <v>569.81000000000006</v>
      </c>
      <c r="Y96" s="2"/>
      <c r="Z96" s="7">
        <f t="shared" si="75"/>
        <v>0.77718673704597852</v>
      </c>
    </row>
    <row r="97" spans="1:26" s="29" customFormat="1" outlineLevel="1" collapsed="1" x14ac:dyDescent="0.25">
      <c r="A97" s="27"/>
      <c r="B97" s="14" t="str">
        <f>CONCATENATE("     ","Supplies                                          ")</f>
        <v xml:space="preserve">     Supplies                                          </v>
      </c>
      <c r="C97" s="14"/>
      <c r="D97" s="1">
        <f>SUM(OSRRefD22_20x_0)</f>
        <v>50963.089999999989</v>
      </c>
      <c r="E97" s="1"/>
      <c r="F97" s="5">
        <f t="shared" si="68"/>
        <v>2.346135721080821E-2</v>
      </c>
      <c r="G97" s="1"/>
      <c r="H97" s="1">
        <f>SUM(OSRRefH22_20x_0)</f>
        <v>38614.629999999997</v>
      </c>
      <c r="I97" s="1"/>
      <c r="J97" s="5">
        <f t="shared" si="69"/>
        <v>1.730416341309577E-2</v>
      </c>
      <c r="K97" s="1"/>
      <c r="L97" s="1">
        <f t="shared" si="70"/>
        <v>12348.459999999992</v>
      </c>
      <c r="M97" s="1"/>
      <c r="N97" s="5">
        <f t="shared" si="71"/>
        <v>0.31978708587910831</v>
      </c>
      <c r="O97" s="14"/>
      <c r="P97" s="1">
        <f>SUM(OSRRefP22_20x_0)</f>
        <v>136938.69999999998</v>
      </c>
      <c r="Q97" s="1"/>
      <c r="R97" s="5">
        <f t="shared" si="72"/>
        <v>3.685908666197521E-2</v>
      </c>
      <c r="S97" s="1"/>
      <c r="T97" s="1">
        <f>SUM(OSRRefT22_20x_0)</f>
        <v>127179.42</v>
      </c>
      <c r="U97" s="1"/>
      <c r="V97" s="5">
        <f t="shared" si="73"/>
        <v>3.365109081243902E-2</v>
      </c>
      <c r="W97" s="1"/>
      <c r="X97" s="1">
        <f t="shared" si="74"/>
        <v>9759.2799999999843</v>
      </c>
      <c r="Y97" s="1"/>
      <c r="Z97" s="5">
        <f t="shared" si="75"/>
        <v>7.6736314727649996E-2</v>
      </c>
    </row>
    <row r="98" spans="1:26" s="24" customFormat="1" hidden="1" outlineLevel="2" x14ac:dyDescent="0.25">
      <c r="A98" s="28"/>
      <c r="B98" s="11" t="str">
        <f>CONCATENATE("          ", "6234", " - ", "EXPENDABLE SUPPLIES &amp; EQUIPMEN")</f>
        <v xml:space="preserve">          6234 - EXPENDABLE SUPPLIES &amp; EQUIPMEN</v>
      </c>
      <c r="C98" s="11"/>
      <c r="D98" s="6">
        <v>7670.09</v>
      </c>
      <c r="E98" s="2"/>
      <c r="F98" s="7">
        <f t="shared" si="68"/>
        <v>3.531000991679429E-3</v>
      </c>
      <c r="G98" s="2"/>
      <c r="H98" s="6">
        <v>1082.9100000000001</v>
      </c>
      <c r="I98" s="2"/>
      <c r="J98" s="7">
        <f t="shared" si="69"/>
        <v>4.8527854861423099E-4</v>
      </c>
      <c r="K98" s="2"/>
      <c r="L98" s="6">
        <f t="shared" si="70"/>
        <v>6587.18</v>
      </c>
      <c r="M98" s="2"/>
      <c r="N98" s="7">
        <f t="shared" si="71"/>
        <v>6.0828508370963421</v>
      </c>
      <c r="O98" s="11"/>
      <c r="P98" s="6">
        <v>7670.09</v>
      </c>
      <c r="Q98" s="2"/>
      <c r="R98" s="7">
        <f t="shared" si="72"/>
        <v>2.0645187373266247E-3</v>
      </c>
      <c r="S98" s="2"/>
      <c r="T98" s="6">
        <v>5466.37</v>
      </c>
      <c r="U98" s="2"/>
      <c r="V98" s="7">
        <f t="shared" si="73"/>
        <v>1.4463764128220767E-3</v>
      </c>
      <c r="W98" s="2"/>
      <c r="X98" s="6">
        <f t="shared" si="74"/>
        <v>2203.7200000000003</v>
      </c>
      <c r="Y98" s="2"/>
      <c r="Z98" s="7">
        <f t="shared" si="75"/>
        <v>0.4031413899900666</v>
      </c>
    </row>
    <row r="99" spans="1:26" s="24" customFormat="1" hidden="1" outlineLevel="2" x14ac:dyDescent="0.25">
      <c r="A99" s="28"/>
      <c r="B99" s="11" t="str">
        <f>CONCATENATE("          ", "6237", " - ", "JANITORIAL SUPPLIES")</f>
        <v xml:space="preserve">          6237 - JANITORIAL SUPPLIES</v>
      </c>
      <c r="C99" s="11"/>
      <c r="D99" s="6">
        <v>11178</v>
      </c>
      <c r="E99" s="2"/>
      <c r="F99" s="7">
        <f t="shared" si="68"/>
        <v>5.1459016888970865E-3</v>
      </c>
      <c r="G99" s="2"/>
      <c r="H99" s="6">
        <v>15923.12</v>
      </c>
      <c r="I99" s="2"/>
      <c r="J99" s="7">
        <f t="shared" si="69"/>
        <v>7.1355408695184582E-3</v>
      </c>
      <c r="K99" s="2"/>
      <c r="L99" s="6">
        <f t="shared" si="70"/>
        <v>-4745.1200000000008</v>
      </c>
      <c r="M99" s="2"/>
      <c r="N99" s="7">
        <f t="shared" si="71"/>
        <v>-0.29800189912529707</v>
      </c>
      <c r="O99" s="11"/>
      <c r="P99" s="6">
        <v>34451.910000000003</v>
      </c>
      <c r="Q99" s="2"/>
      <c r="R99" s="7">
        <f t="shared" si="72"/>
        <v>9.2732436948837014E-3</v>
      </c>
      <c r="S99" s="2"/>
      <c r="T99" s="6">
        <v>40866.089999999997</v>
      </c>
      <c r="U99" s="2"/>
      <c r="V99" s="7">
        <f t="shared" si="73"/>
        <v>1.0812979849564544E-2</v>
      </c>
      <c r="W99" s="2"/>
      <c r="X99" s="6">
        <f t="shared" si="74"/>
        <v>-6414.179999999993</v>
      </c>
      <c r="Y99" s="2"/>
      <c r="Z99" s="7">
        <f t="shared" si="75"/>
        <v>-0.1569560484010091</v>
      </c>
    </row>
    <row r="100" spans="1:26" s="24" customFormat="1" hidden="1" outlineLevel="2" x14ac:dyDescent="0.25">
      <c r="A100" s="28"/>
      <c r="B100" s="11" t="str">
        <f>CONCATENATE("          ", "6239", " - ", "KITCHEN SUPPLIES")</f>
        <v xml:space="preserve">          6239 - KITCHEN SUPPLIES</v>
      </c>
      <c r="C100" s="11"/>
      <c r="D100" s="6">
        <v>16957.86</v>
      </c>
      <c r="E100" s="2"/>
      <c r="F100" s="7">
        <f t="shared" si="68"/>
        <v>7.8067168021184784E-3</v>
      </c>
      <c r="G100" s="2"/>
      <c r="H100" s="6">
        <v>6224.33</v>
      </c>
      <c r="I100" s="2"/>
      <c r="J100" s="7">
        <f t="shared" si="69"/>
        <v>2.7892750353178159E-3</v>
      </c>
      <c r="K100" s="2"/>
      <c r="L100" s="6">
        <f t="shared" si="70"/>
        <v>10733.53</v>
      </c>
      <c r="M100" s="2"/>
      <c r="N100" s="7">
        <f t="shared" si="71"/>
        <v>1.7244474505689771</v>
      </c>
      <c r="O100" s="11"/>
      <c r="P100" s="6">
        <v>33175.129999999997</v>
      </c>
      <c r="Q100" s="2"/>
      <c r="R100" s="7">
        <f t="shared" si="72"/>
        <v>8.9295793788921156E-3</v>
      </c>
      <c r="S100" s="2"/>
      <c r="T100" s="6">
        <v>16054.249999999998</v>
      </c>
      <c r="U100" s="2"/>
      <c r="V100" s="7">
        <f t="shared" si="73"/>
        <v>4.2478808652814982E-3</v>
      </c>
      <c r="W100" s="2"/>
      <c r="X100" s="6">
        <f t="shared" si="74"/>
        <v>17120.879999999997</v>
      </c>
      <c r="Y100" s="2"/>
      <c r="Z100" s="7">
        <f t="shared" si="75"/>
        <v>1.0664391049099147</v>
      </c>
    </row>
    <row r="101" spans="1:26" s="24" customFormat="1" hidden="1" outlineLevel="2" x14ac:dyDescent="0.25">
      <c r="A101" s="28"/>
      <c r="B101" s="11" t="str">
        <f>CONCATENATE("          ", "6241", " - ", "OFFICE EXPENSE")</f>
        <v xml:space="preserve">          6241 - OFFICE EXPENSE</v>
      </c>
      <c r="C101" s="11"/>
      <c r="D101" s="6">
        <v>3621.21</v>
      </c>
      <c r="E101" s="2"/>
      <c r="F101" s="7">
        <f t="shared" si="68"/>
        <v>1.6670594609814833E-3</v>
      </c>
      <c r="G101" s="2"/>
      <c r="H101" s="6">
        <v>-1925.9</v>
      </c>
      <c r="I101" s="2"/>
      <c r="J101" s="7">
        <f t="shared" si="69"/>
        <v>-8.6304305692638122E-4</v>
      </c>
      <c r="K101" s="2"/>
      <c r="L101" s="6">
        <f t="shared" si="70"/>
        <v>5547.1100000000006</v>
      </c>
      <c r="M101" s="2"/>
      <c r="N101" s="7">
        <f t="shared" si="71"/>
        <v>-2.8802689651591464</v>
      </c>
      <c r="O101" s="11"/>
      <c r="P101" s="6">
        <v>32432.11</v>
      </c>
      <c r="Q101" s="2"/>
      <c r="R101" s="7">
        <f t="shared" si="72"/>
        <v>8.7295845010994921E-3</v>
      </c>
      <c r="S101" s="2"/>
      <c r="T101" s="6">
        <v>10497.93</v>
      </c>
      <c r="U101" s="2"/>
      <c r="V101" s="7">
        <f t="shared" si="73"/>
        <v>2.777704095305891E-3</v>
      </c>
      <c r="W101" s="2"/>
      <c r="X101" s="6">
        <f t="shared" si="74"/>
        <v>21934.18</v>
      </c>
      <c r="Y101" s="2"/>
      <c r="Z101" s="7">
        <f t="shared" si="75"/>
        <v>2.089381430434381</v>
      </c>
    </row>
    <row r="102" spans="1:26" s="24" customFormat="1" hidden="1" outlineLevel="2" x14ac:dyDescent="0.25">
      <c r="A102" s="28"/>
      <c r="B102" s="11" t="str">
        <f>CONCATENATE("          ", "6243", " - ", "PAPER SUPPLIES")</f>
        <v xml:space="preserve">          6243 - PAPER SUPPLIES</v>
      </c>
      <c r="C102" s="11"/>
      <c r="D102" s="6">
        <v>10226.030000000001</v>
      </c>
      <c r="E102" s="2"/>
      <c r="F102" s="7">
        <f t="shared" si="68"/>
        <v>4.7076529833344318E-3</v>
      </c>
      <c r="G102" s="2"/>
      <c r="H102" s="6">
        <v>14400.01</v>
      </c>
      <c r="I102" s="2"/>
      <c r="J102" s="7">
        <f t="shared" si="69"/>
        <v>6.4529978971755841E-3</v>
      </c>
      <c r="K102" s="2"/>
      <c r="L102" s="6">
        <f t="shared" si="70"/>
        <v>-4173.9799999999996</v>
      </c>
      <c r="M102" s="2"/>
      <c r="N102" s="7">
        <f t="shared" si="71"/>
        <v>-0.28985952093088818</v>
      </c>
      <c r="O102" s="11"/>
      <c r="P102" s="6">
        <v>26699.69</v>
      </c>
      <c r="Q102" s="2"/>
      <c r="R102" s="7">
        <f t="shared" si="72"/>
        <v>7.1866184472166956E-3</v>
      </c>
      <c r="S102" s="2"/>
      <c r="T102" s="6">
        <v>31583.200000000001</v>
      </c>
      <c r="U102" s="2"/>
      <c r="V102" s="7">
        <f t="shared" si="73"/>
        <v>8.3567697615496601E-3</v>
      </c>
      <c r="W102" s="2"/>
      <c r="X102" s="6">
        <f t="shared" si="74"/>
        <v>-4883.510000000002</v>
      </c>
      <c r="Y102" s="2"/>
      <c r="Z102" s="7">
        <f t="shared" si="75"/>
        <v>-0.15462366068036176</v>
      </c>
    </row>
    <row r="103" spans="1:26" s="24" customFormat="1" hidden="1" outlineLevel="2" x14ac:dyDescent="0.25">
      <c r="A103" s="28"/>
      <c r="B103" s="11" t="str">
        <f>CONCATENATE("          ", "6245", " - ", "PRINTING")</f>
        <v xml:space="preserve">          6245 - PRINTING</v>
      </c>
      <c r="C103" s="11"/>
      <c r="D103" s="6">
        <v>28.27</v>
      </c>
      <c r="E103" s="2"/>
      <c r="F103" s="7">
        <f t="shared" si="68"/>
        <v>1.3014371152721475E-5</v>
      </c>
      <c r="G103" s="2"/>
      <c r="H103" s="6">
        <v>1376.99</v>
      </c>
      <c r="I103" s="2"/>
      <c r="J103" s="7">
        <f t="shared" si="69"/>
        <v>6.1706301415289354E-4</v>
      </c>
      <c r="K103" s="2"/>
      <c r="L103" s="6">
        <f t="shared" si="70"/>
        <v>-1348.72</v>
      </c>
      <c r="M103" s="2"/>
      <c r="N103" s="7">
        <f t="shared" si="71"/>
        <v>-0.97946971292456741</v>
      </c>
      <c r="O103" s="11"/>
      <c r="P103" s="6">
        <v>1522.19</v>
      </c>
      <c r="Q103" s="2"/>
      <c r="R103" s="7">
        <f t="shared" si="72"/>
        <v>4.0972006544528355E-4</v>
      </c>
      <c r="S103" s="2"/>
      <c r="T103" s="6">
        <v>1683.78</v>
      </c>
      <c r="U103" s="2"/>
      <c r="V103" s="7">
        <f t="shared" si="73"/>
        <v>4.4552045989963289E-4</v>
      </c>
      <c r="W103" s="2"/>
      <c r="X103" s="6">
        <f t="shared" si="74"/>
        <v>-161.58999999999992</v>
      </c>
      <c r="Y103" s="2"/>
      <c r="Z103" s="7">
        <f t="shared" si="75"/>
        <v>-9.5968594471961849E-2</v>
      </c>
    </row>
    <row r="104" spans="1:26" s="24" customFormat="1" hidden="1" outlineLevel="2" x14ac:dyDescent="0.25">
      <c r="A104" s="28"/>
      <c r="B104" s="11" t="str">
        <f>CONCATENATE("          ", "6247", " - ", "STORE SUPPLIES")</f>
        <v xml:space="preserve">          6247 - STORE SUPPLIES</v>
      </c>
      <c r="C104" s="11"/>
      <c r="D104" s="6">
        <v>612.28</v>
      </c>
      <c r="E104" s="2"/>
      <c r="F104" s="7">
        <f t="shared" si="68"/>
        <v>2.8186908982625767E-4</v>
      </c>
      <c r="G104" s="2"/>
      <c r="H104" s="6">
        <v>605.74</v>
      </c>
      <c r="I104" s="2"/>
      <c r="J104" s="7">
        <f t="shared" si="69"/>
        <v>2.7144696053927312E-4</v>
      </c>
      <c r="K104" s="2"/>
      <c r="L104" s="6">
        <f t="shared" si="70"/>
        <v>6.5399999999999636</v>
      </c>
      <c r="M104" s="2"/>
      <c r="N104" s="7">
        <f t="shared" si="71"/>
        <v>1.0796711460362471E-2</v>
      </c>
      <c r="O104" s="11"/>
      <c r="P104" s="6">
        <v>2099.5</v>
      </c>
      <c r="Q104" s="2"/>
      <c r="R104" s="7">
        <f t="shared" si="72"/>
        <v>5.6511163350328984E-4</v>
      </c>
      <c r="S104" s="2"/>
      <c r="T104" s="6">
        <v>4749.6899999999996</v>
      </c>
      <c r="U104" s="2"/>
      <c r="V104" s="7">
        <f t="shared" si="73"/>
        <v>1.2567461741918107E-3</v>
      </c>
      <c r="W104" s="2"/>
      <c r="X104" s="6">
        <f t="shared" si="74"/>
        <v>-2650.1899999999996</v>
      </c>
      <c r="Y104" s="2"/>
      <c r="Z104" s="7">
        <f t="shared" si="75"/>
        <v>-0.55797115180148593</v>
      </c>
    </row>
    <row r="105" spans="1:26" s="24" customFormat="1" hidden="1" outlineLevel="2" x14ac:dyDescent="0.25">
      <c r="A105" s="28"/>
      <c r="B105" s="11" t="str">
        <f>CONCATENATE("          ", "6248", " - ", "UNIFORMS")</f>
        <v xml:space="preserve">          6248 - UNIFORMS</v>
      </c>
      <c r="C105" s="11"/>
      <c r="D105" s="6">
        <v>669.35</v>
      </c>
      <c r="E105" s="2"/>
      <c r="F105" s="7">
        <f t="shared" si="68"/>
        <v>3.0814182281832753E-4</v>
      </c>
      <c r="G105" s="2"/>
      <c r="H105" s="6">
        <v>927.43</v>
      </c>
      <c r="I105" s="2"/>
      <c r="J105" s="7">
        <f t="shared" si="69"/>
        <v>4.1560414470389619E-4</v>
      </c>
      <c r="K105" s="2"/>
      <c r="L105" s="6">
        <f t="shared" si="70"/>
        <v>-258.07999999999993</v>
      </c>
      <c r="M105" s="2"/>
      <c r="N105" s="7">
        <f t="shared" si="71"/>
        <v>-0.27827437111156633</v>
      </c>
      <c r="O105" s="11"/>
      <c r="P105" s="6">
        <v>-1111.92</v>
      </c>
      <c r="Q105" s="2"/>
      <c r="R105" s="7">
        <f t="shared" si="72"/>
        <v>-2.9928979639198768E-4</v>
      </c>
      <c r="S105" s="2"/>
      <c r="T105" s="6">
        <v>16278.110000000002</v>
      </c>
      <c r="U105" s="2"/>
      <c r="V105" s="7">
        <f t="shared" si="73"/>
        <v>4.3071131938239044E-3</v>
      </c>
      <c r="W105" s="2"/>
      <c r="X105" s="6">
        <f t="shared" si="74"/>
        <v>-17390.030000000002</v>
      </c>
      <c r="Y105" s="2"/>
      <c r="Z105" s="7">
        <f t="shared" si="75"/>
        <v>-1.0683076843687627</v>
      </c>
    </row>
    <row r="106" spans="1:26" s="29" customFormat="1" outlineLevel="1" collapsed="1" x14ac:dyDescent="0.25">
      <c r="A106" s="27"/>
      <c r="B106" s="14" t="str">
        <f>CONCATENATE("     ","Telephone/Data Lines                              ")</f>
        <v xml:space="preserve">     Telephone/Data Lines                              </v>
      </c>
      <c r="C106" s="14"/>
      <c r="D106" s="1">
        <f>SUM(OSRRefD22_21x_0)</f>
        <v>3579.21</v>
      </c>
      <c r="E106" s="1"/>
      <c r="F106" s="5">
        <f t="shared" ref="F106:F113" si="76">IF(D$12=0,0,D106/D$12)</f>
        <v>1.6477243499657668E-3</v>
      </c>
      <c r="G106" s="1"/>
      <c r="H106" s="1">
        <f>SUM(OSRRefH22_21x_0)</f>
        <v>3439.6</v>
      </c>
      <c r="I106" s="1"/>
      <c r="J106" s="5">
        <f t="shared" ref="J106:J113" si="77">IF(H$12=0,0,H106/H$12)</f>
        <v>1.5413691773217616E-3</v>
      </c>
      <c r="K106" s="1"/>
      <c r="L106" s="1">
        <f t="shared" ref="L106:L113" si="78">+D106-H106</f>
        <v>139.61000000000013</v>
      </c>
      <c r="M106" s="1"/>
      <c r="N106" s="5">
        <f t="shared" ref="N106:N113" si="79">IF(H106=0,0,L106/H106)</f>
        <v>4.0589021979299957E-2</v>
      </c>
      <c r="O106" s="14"/>
      <c r="P106" s="1">
        <f>SUM(OSRRefP22_21x_0)</f>
        <v>6201.04</v>
      </c>
      <c r="Q106" s="1"/>
      <c r="R106" s="5">
        <f t="shared" ref="R106:R113" si="80">IF(P$12=0,0,P106/P$12)</f>
        <v>1.6691020927931605E-3</v>
      </c>
      <c r="S106" s="1"/>
      <c r="T106" s="1">
        <f>SUM(OSRRefT22_21x_0)</f>
        <v>7773.24</v>
      </c>
      <c r="U106" s="1"/>
      <c r="V106" s="5">
        <f t="shared" ref="V106:V113" si="81">IF(T$12=0,0,T106/T$12)</f>
        <v>2.0567636269050722E-3</v>
      </c>
      <c r="W106" s="1"/>
      <c r="X106" s="1">
        <f t="shared" ref="X106:X113" si="82">+P106-T106</f>
        <v>-1572.1999999999998</v>
      </c>
      <c r="Y106" s="1"/>
      <c r="Z106" s="5">
        <f t="shared" ref="Z106:Z113" si="83">IF(T106=0,0,X106/T106)</f>
        <v>-0.20225800309780734</v>
      </c>
    </row>
    <row r="107" spans="1:26" s="24" customFormat="1" hidden="1" outlineLevel="2" x14ac:dyDescent="0.25">
      <c r="A107" s="28"/>
      <c r="B107" s="11" t="str">
        <f>CONCATENATE("          ", "6309", " - ", "TELEPHONE")</f>
        <v xml:space="preserve">          6309 - TELEPHONE</v>
      </c>
      <c r="C107" s="11"/>
      <c r="D107" s="6">
        <v>3579.21</v>
      </c>
      <c r="E107" s="2"/>
      <c r="F107" s="7">
        <f t="shared" si="76"/>
        <v>1.6477243499657668E-3</v>
      </c>
      <c r="G107" s="2"/>
      <c r="H107" s="6">
        <v>3439.6</v>
      </c>
      <c r="I107" s="2"/>
      <c r="J107" s="7">
        <f t="shared" si="77"/>
        <v>1.5413691773217616E-3</v>
      </c>
      <c r="K107" s="2"/>
      <c r="L107" s="6">
        <f t="shared" si="78"/>
        <v>139.61000000000013</v>
      </c>
      <c r="M107" s="2"/>
      <c r="N107" s="7">
        <f t="shared" si="79"/>
        <v>4.0589021979299957E-2</v>
      </c>
      <c r="O107" s="11"/>
      <c r="P107" s="6">
        <v>6201.04</v>
      </c>
      <c r="Q107" s="2"/>
      <c r="R107" s="7">
        <f t="shared" si="80"/>
        <v>1.6691020927931605E-3</v>
      </c>
      <c r="S107" s="2"/>
      <c r="T107" s="6">
        <v>7773.24</v>
      </c>
      <c r="U107" s="2"/>
      <c r="V107" s="7">
        <f t="shared" si="81"/>
        <v>2.0567636269050722E-3</v>
      </c>
      <c r="W107" s="2"/>
      <c r="X107" s="6">
        <f t="shared" si="82"/>
        <v>-1572.1999999999998</v>
      </c>
      <c r="Y107" s="2"/>
      <c r="Z107" s="7">
        <f t="shared" si="83"/>
        <v>-0.20225800309780734</v>
      </c>
    </row>
    <row r="108" spans="1:26" s="29" customFormat="1" outlineLevel="1" collapsed="1" x14ac:dyDescent="0.25">
      <c r="A108" s="27"/>
      <c r="B108" s="14" t="str">
        <f>CONCATENATE("     ","Training                                          ")</f>
        <v xml:space="preserve">     Training                                          </v>
      </c>
      <c r="C108" s="14"/>
      <c r="D108" s="1">
        <f>SUM(OSRRefD22_22x_0)</f>
        <v>526.70000000000005</v>
      </c>
      <c r="E108" s="1"/>
      <c r="F108" s="5">
        <f t="shared" si="76"/>
        <v>2.4247149933280513E-4</v>
      </c>
      <c r="G108" s="1"/>
      <c r="H108" s="1">
        <f>SUM(OSRRefH22_22x_0)</f>
        <v>1003.02</v>
      </c>
      <c r="I108" s="1"/>
      <c r="J108" s="5">
        <f t="shared" si="77"/>
        <v>4.4947787889210178E-4</v>
      </c>
      <c r="K108" s="1"/>
      <c r="L108" s="1">
        <f t="shared" si="78"/>
        <v>-476.31999999999994</v>
      </c>
      <c r="M108" s="1"/>
      <c r="N108" s="5">
        <f t="shared" si="79"/>
        <v>-0.47488584474885837</v>
      </c>
      <c r="O108" s="14"/>
      <c r="P108" s="1">
        <f>SUM(OSRRefP22_22x_0)</f>
        <v>4966.82</v>
      </c>
      <c r="Q108" s="1"/>
      <c r="R108" s="5">
        <f t="shared" si="80"/>
        <v>1.3368934334445392E-3</v>
      </c>
      <c r="S108" s="1"/>
      <c r="T108" s="1">
        <f>SUM(OSRRefT22_22x_0)</f>
        <v>6325.87</v>
      </c>
      <c r="U108" s="1"/>
      <c r="V108" s="5">
        <f t="shared" si="81"/>
        <v>1.6737961679466977E-3</v>
      </c>
      <c r="W108" s="1"/>
      <c r="X108" s="1">
        <f t="shared" si="82"/>
        <v>-1359.0500000000002</v>
      </c>
      <c r="Y108" s="1"/>
      <c r="Z108" s="5">
        <f t="shared" si="83"/>
        <v>-0.21484001410082726</v>
      </c>
    </row>
    <row r="109" spans="1:26" s="24" customFormat="1" hidden="1" outlineLevel="2" x14ac:dyDescent="0.25">
      <c r="A109" s="28"/>
      <c r="B109" s="11" t="str">
        <f>CONCATENATE("          ", "6376", " - ", "TRAINING")</f>
        <v xml:space="preserve">          6376 - TRAINING</v>
      </c>
      <c r="C109" s="11"/>
      <c r="D109" s="6">
        <v>526.70000000000005</v>
      </c>
      <c r="E109" s="2"/>
      <c r="F109" s="7">
        <f t="shared" si="76"/>
        <v>2.4247149933280513E-4</v>
      </c>
      <c r="G109" s="2"/>
      <c r="H109" s="6">
        <v>1003.02</v>
      </c>
      <c r="I109" s="2"/>
      <c r="J109" s="7">
        <f t="shared" si="77"/>
        <v>4.4947787889210178E-4</v>
      </c>
      <c r="K109" s="2"/>
      <c r="L109" s="6">
        <f t="shared" si="78"/>
        <v>-476.31999999999994</v>
      </c>
      <c r="M109" s="2"/>
      <c r="N109" s="7">
        <f t="shared" si="79"/>
        <v>-0.47488584474885837</v>
      </c>
      <c r="O109" s="11"/>
      <c r="P109" s="6">
        <v>4966.82</v>
      </c>
      <c r="Q109" s="2"/>
      <c r="R109" s="7">
        <f t="shared" si="80"/>
        <v>1.3368934334445392E-3</v>
      </c>
      <c r="S109" s="2"/>
      <c r="T109" s="6">
        <v>6325.87</v>
      </c>
      <c r="U109" s="2"/>
      <c r="V109" s="7">
        <f t="shared" si="81"/>
        <v>1.6737961679466977E-3</v>
      </c>
      <c r="W109" s="2"/>
      <c r="X109" s="6">
        <f t="shared" si="82"/>
        <v>-1359.0500000000002</v>
      </c>
      <c r="Y109" s="2"/>
      <c r="Z109" s="7">
        <f t="shared" si="83"/>
        <v>-0.21484001410082726</v>
      </c>
    </row>
    <row r="110" spans="1:26" s="29" customFormat="1" outlineLevel="1" collapsed="1" x14ac:dyDescent="0.25">
      <c r="A110" s="27"/>
      <c r="B110" s="14" t="str">
        <f>CONCATENATE("     ","Travel                                            ")</f>
        <v xml:space="preserve">     Travel                                            </v>
      </c>
      <c r="C110" s="14"/>
      <c r="D110" s="1">
        <f>SUM(OSRRefD22_23x_0)</f>
        <v>249.82</v>
      </c>
      <c r="E110" s="1"/>
      <c r="F110" s="5">
        <f t="shared" si="76"/>
        <v>1.1500708176062535E-4</v>
      </c>
      <c r="G110" s="1"/>
      <c r="H110" s="1">
        <f>SUM(OSRRefH22_23x_0)</f>
        <v>128.72</v>
      </c>
      <c r="I110" s="1"/>
      <c r="J110" s="5">
        <f t="shared" si="77"/>
        <v>5.768259114573123E-5</v>
      </c>
      <c r="K110" s="1"/>
      <c r="L110" s="1">
        <f t="shared" si="78"/>
        <v>121.1</v>
      </c>
      <c r="M110" s="1"/>
      <c r="N110" s="5">
        <f t="shared" si="79"/>
        <v>0.94080174021131135</v>
      </c>
      <c r="O110" s="14"/>
      <c r="P110" s="1">
        <f>SUM(OSRRefP22_23x_0)</f>
        <v>2789.5899999999997</v>
      </c>
      <c r="Q110" s="1"/>
      <c r="R110" s="5">
        <f t="shared" si="80"/>
        <v>7.5085961500568818E-4</v>
      </c>
      <c r="S110" s="1"/>
      <c r="T110" s="1">
        <f>SUM(OSRRefT22_23x_0)</f>
        <v>2932.35</v>
      </c>
      <c r="U110" s="1"/>
      <c r="V110" s="5">
        <f t="shared" si="81"/>
        <v>7.7588635129689657E-4</v>
      </c>
      <c r="W110" s="1"/>
      <c r="X110" s="1">
        <f t="shared" si="82"/>
        <v>-142.76000000000022</v>
      </c>
      <c r="Y110" s="1"/>
      <c r="Z110" s="5">
        <f t="shared" si="83"/>
        <v>-4.8684502191075493E-2</v>
      </c>
    </row>
    <row r="111" spans="1:26" s="24" customFormat="1" hidden="1" outlineLevel="2" x14ac:dyDescent="0.25">
      <c r="A111" s="28"/>
      <c r="B111" s="11" t="str">
        <f>CONCATENATE("          ", "6292", " - ", "TRAVEL/CONFERENCE")</f>
        <v xml:space="preserve">          6292 - TRAVEL/CONFERENCE</v>
      </c>
      <c r="C111" s="11"/>
      <c r="D111" s="6"/>
      <c r="E111" s="2"/>
      <c r="F111" s="7">
        <f t="shared" si="76"/>
        <v>0</v>
      </c>
      <c r="G111" s="2"/>
      <c r="H111" s="6">
        <v>12.05</v>
      </c>
      <c r="I111" s="2"/>
      <c r="J111" s="7">
        <f t="shared" si="77"/>
        <v>5.3999007404137776E-6</v>
      </c>
      <c r="K111" s="2"/>
      <c r="L111" s="6">
        <f t="shared" si="78"/>
        <v>-12.05</v>
      </c>
      <c r="M111" s="2"/>
      <c r="N111" s="7">
        <f t="shared" si="79"/>
        <v>-1</v>
      </c>
      <c r="O111" s="11"/>
      <c r="P111" s="6">
        <v>2234.1</v>
      </c>
      <c r="Q111" s="2"/>
      <c r="R111" s="7">
        <f t="shared" si="80"/>
        <v>6.0134122429611806E-4</v>
      </c>
      <c r="S111" s="2"/>
      <c r="T111" s="6">
        <v>1177.58</v>
      </c>
      <c r="U111" s="2"/>
      <c r="V111" s="7">
        <f t="shared" si="81"/>
        <v>3.1158226322239822E-4</v>
      </c>
      <c r="W111" s="2"/>
      <c r="X111" s="6">
        <f t="shared" si="82"/>
        <v>1056.52</v>
      </c>
      <c r="Y111" s="2"/>
      <c r="Z111" s="7">
        <f t="shared" si="83"/>
        <v>0.89719594422459625</v>
      </c>
    </row>
    <row r="112" spans="1:26" s="24" customFormat="1" hidden="1" outlineLevel="2" x14ac:dyDescent="0.25">
      <c r="A112" s="28"/>
      <c r="B112" s="11" t="str">
        <f>CONCATENATE("          ", "6294", " - ", "TRAVEL OPERATIONAL")</f>
        <v xml:space="preserve">          6294 - TRAVEL OPERATIONAL</v>
      </c>
      <c r="C112" s="11"/>
      <c r="D112" s="6"/>
      <c r="E112" s="2"/>
      <c r="F112" s="7">
        <f t="shared" si="76"/>
        <v>0</v>
      </c>
      <c r="G112" s="2"/>
      <c r="H112" s="6">
        <v>50</v>
      </c>
      <c r="I112" s="2"/>
      <c r="J112" s="7">
        <f t="shared" si="77"/>
        <v>2.2406227138646377E-5</v>
      </c>
      <c r="K112" s="2"/>
      <c r="L112" s="6">
        <f t="shared" si="78"/>
        <v>-50</v>
      </c>
      <c r="M112" s="2"/>
      <c r="N112" s="7">
        <f t="shared" si="79"/>
        <v>-1</v>
      </c>
      <c r="O112" s="11"/>
      <c r="P112" s="6">
        <v>45.49</v>
      </c>
      <c r="Q112" s="2"/>
      <c r="R112" s="7">
        <f t="shared" si="80"/>
        <v>1.2244309696625224E-5</v>
      </c>
      <c r="S112" s="2"/>
      <c r="T112" s="6">
        <v>1535.73</v>
      </c>
      <c r="U112" s="2"/>
      <c r="V112" s="7">
        <f t="shared" si="81"/>
        <v>4.0634710940958034E-4</v>
      </c>
      <c r="W112" s="2"/>
      <c r="X112" s="6">
        <f t="shared" si="82"/>
        <v>-1490.24</v>
      </c>
      <c r="Y112" s="2"/>
      <c r="Z112" s="7">
        <f t="shared" si="83"/>
        <v>-0.97037890775071134</v>
      </c>
    </row>
    <row r="113" spans="1:26" s="24" customFormat="1" hidden="1" outlineLevel="2" x14ac:dyDescent="0.25">
      <c r="A113" s="28"/>
      <c r="B113" s="11" t="str">
        <f>CONCATENATE("          ", "6298", " - ", "VEHICLE MILEAGE")</f>
        <v xml:space="preserve">          6298 - VEHICLE MILEAGE</v>
      </c>
      <c r="C113" s="11"/>
      <c r="D113" s="6">
        <v>249.82</v>
      </c>
      <c r="E113" s="2"/>
      <c r="F113" s="7">
        <f t="shared" si="76"/>
        <v>1.1500708176062535E-4</v>
      </c>
      <c r="G113" s="2"/>
      <c r="H113" s="6">
        <v>66.67</v>
      </c>
      <c r="I113" s="2"/>
      <c r="J113" s="7">
        <f t="shared" si="77"/>
        <v>2.9876463266671081E-5</v>
      </c>
      <c r="K113" s="2"/>
      <c r="L113" s="6">
        <f t="shared" si="78"/>
        <v>183.14999999999998</v>
      </c>
      <c r="M113" s="2"/>
      <c r="N113" s="7">
        <f t="shared" si="79"/>
        <v>2.7471126443677814</v>
      </c>
      <c r="O113" s="11"/>
      <c r="P113" s="6">
        <v>510</v>
      </c>
      <c r="Q113" s="2"/>
      <c r="R113" s="7">
        <f t="shared" si="80"/>
        <v>1.3727408101294492E-4</v>
      </c>
      <c r="S113" s="2"/>
      <c r="T113" s="6">
        <v>219.04</v>
      </c>
      <c r="U113" s="2"/>
      <c r="V113" s="7">
        <f t="shared" si="81"/>
        <v>5.7956978664917971E-5</v>
      </c>
      <c r="W113" s="2"/>
      <c r="X113" s="6">
        <f t="shared" si="82"/>
        <v>290.96000000000004</v>
      </c>
      <c r="Y113" s="2"/>
      <c r="Z113" s="7">
        <f t="shared" si="83"/>
        <v>1.3283418553688826</v>
      </c>
    </row>
    <row r="114" spans="1:26" s="29" customFormat="1" outlineLevel="1" collapsed="1" x14ac:dyDescent="0.25">
      <c r="A114" s="27"/>
      <c r="B114" s="14" t="str">
        <f>CONCATENATE("     ","Utilities                                         ")</f>
        <v xml:space="preserve">     Utilities                                         </v>
      </c>
      <c r="C114" s="14"/>
      <c r="D114" s="1">
        <f>SUM(OSRRefD22_24x_0)</f>
        <v>17267</v>
      </c>
      <c r="E114" s="1"/>
      <c r="F114" s="5">
        <f t="shared" ref="F114:F115" si="84">IF(D$12=0,0,D114/D$12)</f>
        <v>7.949032426389873E-3</v>
      </c>
      <c r="G114" s="1"/>
      <c r="H114" s="1">
        <f>SUM(OSRRefH22_24x_0)</f>
        <v>10864</v>
      </c>
      <c r="I114" s="1"/>
      <c r="J114" s="5">
        <f t="shared" ref="J114:J115" si="85">IF(H$12=0,0,H114/H$12)</f>
        <v>4.8684250326850847E-3</v>
      </c>
      <c r="K114" s="1"/>
      <c r="L114" s="1">
        <f t="shared" ref="L114:L115" si="86">+D114-H114</f>
        <v>6403</v>
      </c>
      <c r="M114" s="1"/>
      <c r="N114" s="5">
        <f t="shared" ref="N114:N115" si="87">IF(H114=0,0,L114/H114)</f>
        <v>0.5893777614138439</v>
      </c>
      <c r="O114" s="14"/>
      <c r="P114" s="1">
        <f>SUM(OSRRefP22_24x_0)</f>
        <v>30958</v>
      </c>
      <c r="Q114" s="1"/>
      <c r="R114" s="5">
        <f t="shared" ref="R114:R115" si="88">IF(P$12=0,0,P114/P$12)</f>
        <v>8.3328058823504865E-3</v>
      </c>
      <c r="S114" s="1"/>
      <c r="T114" s="1">
        <f>SUM(OSRRefT22_24x_0)</f>
        <v>41696</v>
      </c>
      <c r="U114" s="1"/>
      <c r="V114" s="5">
        <f t="shared" ref="V114:V115" si="89">IF(T$12=0,0,T114/T$12)</f>
        <v>1.1032570226499361E-2</v>
      </c>
      <c r="W114" s="1"/>
      <c r="X114" s="1">
        <f t="shared" ref="X114:X115" si="90">+P114-T114</f>
        <v>-10738</v>
      </c>
      <c r="Y114" s="1"/>
      <c r="Z114" s="5">
        <f t="shared" ref="Z114:Z115" si="91">IF(T114=0,0,X114/T114)</f>
        <v>-0.25753069838833459</v>
      </c>
    </row>
    <row r="115" spans="1:26" s="24" customFormat="1" hidden="1" outlineLevel="2" x14ac:dyDescent="0.25">
      <c r="A115" s="28"/>
      <c r="B115" s="11" t="str">
        <f>CONCATENATE("          ", "6274", " - ", "UTILITIES")</f>
        <v xml:space="preserve">          6274 - UTILITIES</v>
      </c>
      <c r="C115" s="11"/>
      <c r="D115" s="6">
        <v>17267</v>
      </c>
      <c r="E115" s="2"/>
      <c r="F115" s="7">
        <f t="shared" si="84"/>
        <v>7.949032426389873E-3</v>
      </c>
      <c r="G115" s="2"/>
      <c r="H115" s="6">
        <v>10864</v>
      </c>
      <c r="I115" s="2"/>
      <c r="J115" s="7">
        <f t="shared" si="85"/>
        <v>4.8684250326850847E-3</v>
      </c>
      <c r="K115" s="2"/>
      <c r="L115" s="6">
        <f t="shared" si="86"/>
        <v>6403</v>
      </c>
      <c r="M115" s="2"/>
      <c r="N115" s="7">
        <f t="shared" si="87"/>
        <v>0.5893777614138439</v>
      </c>
      <c r="O115" s="11"/>
      <c r="P115" s="6">
        <v>30958</v>
      </c>
      <c r="Q115" s="2"/>
      <c r="R115" s="7">
        <f t="shared" si="88"/>
        <v>8.3328058823504865E-3</v>
      </c>
      <c r="S115" s="2"/>
      <c r="T115" s="6">
        <v>41696</v>
      </c>
      <c r="U115" s="2"/>
      <c r="V115" s="7">
        <f t="shared" si="89"/>
        <v>1.1032570226499361E-2</v>
      </c>
      <c r="W115" s="2"/>
      <c r="X115" s="6">
        <f t="shared" si="90"/>
        <v>-10738</v>
      </c>
      <c r="Y115" s="2"/>
      <c r="Z115" s="7">
        <f t="shared" si="91"/>
        <v>-0.25753069838833459</v>
      </c>
    </row>
    <row r="116" spans="1:26" s="53" customFormat="1" x14ac:dyDescent="0.25">
      <c r="A116" s="37"/>
      <c r="B116" s="37"/>
      <c r="C116" s="37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7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collapsed="1" x14ac:dyDescent="0.25">
      <c r="A117" s="10"/>
      <c r="B117" s="25" t="s">
        <v>0</v>
      </c>
      <c r="C117" s="10"/>
      <c r="D117" s="4">
        <f>SUM(OSRRefD25x_0)</f>
        <v>237266.33000000002</v>
      </c>
      <c r="E117" s="4"/>
      <c r="F117" s="12">
        <f t="shared" ref="F117:F120" si="92">IF(D$12=0,0,D117/D$12)</f>
        <v>0.10922787692479992</v>
      </c>
      <c r="G117" s="4"/>
      <c r="H117" s="4">
        <f>SUM(OSRRefH25x_0)</f>
        <v>235134.24</v>
      </c>
      <c r="I117" s="4"/>
      <c r="J117" s="12">
        <f t="shared" ref="J117:J120" si="93">IF(H$12=0,0,H117/H$12)</f>
        <v>0.10536942379025981</v>
      </c>
      <c r="K117" s="4"/>
      <c r="L117" s="4">
        <f t="shared" ref="L117:L120" si="94">+D117-H117</f>
        <v>2132.0900000000256</v>
      </c>
      <c r="M117" s="4"/>
      <c r="N117" s="12">
        <f t="shared" ref="N117:N120" si="95">IF(H117=0,0,L117/H117)</f>
        <v>9.0675437146033079E-3</v>
      </c>
      <c r="O117" s="10"/>
      <c r="P117" s="4">
        <f>SUM(OSRRefP25x_0)</f>
        <v>302660.99</v>
      </c>
      <c r="Q117" s="4"/>
      <c r="R117" s="12">
        <f t="shared" ref="R117:R120" si="96">IF(P$12=0,0,P117/P$12)</f>
        <v>8.1465704432780603E-2</v>
      </c>
      <c r="S117" s="4"/>
      <c r="T117" s="4">
        <f>SUM(OSRRefT25x_0)</f>
        <v>268993.36</v>
      </c>
      <c r="U117" s="4"/>
      <c r="V117" s="12">
        <f t="shared" ref="V117:V120" si="97">IF(T$12=0,0,T117/T$12)</f>
        <v>7.1174408448340942E-2</v>
      </c>
      <c r="W117" s="4"/>
      <c r="X117" s="4">
        <f t="shared" ref="X117:X120" si="98">+P117-T117</f>
        <v>33667.630000000005</v>
      </c>
      <c r="Y117" s="4"/>
      <c r="Z117" s="12">
        <f t="shared" ref="Z117:Z120" si="99">IF(T117=0,0,X117/T117)</f>
        <v>0.1251615653263709</v>
      </c>
    </row>
    <row r="118" spans="1:26" s="24" customFormat="1" hidden="1" outlineLevel="1" x14ac:dyDescent="0.25">
      <c r="A118" s="44"/>
      <c r="B118" s="11" t="str">
        <f>CONCATENATE("          ", "9150", " - ", "MISC. INCOME")</f>
        <v xml:space="preserve">          9150 - MISC. INCOME</v>
      </c>
      <c r="C118" s="11"/>
      <c r="D118" s="2">
        <f>--18738.99</f>
        <v>18738.990000000002</v>
      </c>
      <c r="E118" s="2"/>
      <c r="F118" s="19">
        <f t="shared" si="92"/>
        <v>8.6266774279142623E-3</v>
      </c>
      <c r="G118" s="2"/>
      <c r="H118" s="2">
        <f>--15780.25</f>
        <v>15780.25</v>
      </c>
      <c r="I118" s="2"/>
      <c r="J118" s="19">
        <f t="shared" si="93"/>
        <v>7.0715173160924901E-3</v>
      </c>
      <c r="K118" s="2"/>
      <c r="L118" s="2">
        <f t="shared" si="94"/>
        <v>2958.7400000000016</v>
      </c>
      <c r="M118" s="2"/>
      <c r="N118" s="19">
        <f t="shared" si="95"/>
        <v>0.18749639581121982</v>
      </c>
      <c r="O118" s="11"/>
      <c r="P118" s="2">
        <f>--66526.94</f>
        <v>66526.94</v>
      </c>
      <c r="Q118" s="2"/>
      <c r="R118" s="19">
        <f t="shared" si="96"/>
        <v>1.7906714806084953E-2</v>
      </c>
      <c r="S118" s="2"/>
      <c r="T118" s="2">
        <f>--30296.51</f>
        <v>30296.51</v>
      </c>
      <c r="U118" s="2"/>
      <c r="V118" s="19">
        <f t="shared" si="97"/>
        <v>8.0163174931130107E-3</v>
      </c>
      <c r="W118" s="2"/>
      <c r="X118" s="2">
        <f t="shared" si="98"/>
        <v>36230.430000000008</v>
      </c>
      <c r="Y118" s="2"/>
      <c r="Z118" s="19">
        <f t="shared" si="99"/>
        <v>1.1958615035197127</v>
      </c>
    </row>
    <row r="119" spans="1:26" s="24" customFormat="1" hidden="1" outlineLevel="1" x14ac:dyDescent="0.25">
      <c r="A119" s="44"/>
      <c r="B119" s="11" t="str">
        <f>CONCATENATE("          ", "9160", " - ", "MISC. INCOME")</f>
        <v xml:space="preserve">          9160 - MISC. INCOME</v>
      </c>
      <c r="C119" s="11"/>
      <c r="D119" s="2">
        <f>--20000</f>
        <v>20000</v>
      </c>
      <c r="E119" s="2"/>
      <c r="F119" s="19">
        <f t="shared" si="92"/>
        <v>9.2071957217697026E-3</v>
      </c>
      <c r="G119" s="2"/>
      <c r="H119" s="2">
        <f>--20000</f>
        <v>20000</v>
      </c>
      <c r="I119" s="2"/>
      <c r="J119" s="19">
        <f t="shared" si="93"/>
        <v>8.9624908554585513E-3</v>
      </c>
      <c r="K119" s="2"/>
      <c r="L119" s="2">
        <f t="shared" si="94"/>
        <v>0</v>
      </c>
      <c r="M119" s="2"/>
      <c r="N119" s="19">
        <f t="shared" si="95"/>
        <v>0</v>
      </c>
      <c r="O119" s="11"/>
      <c r="P119" s="2">
        <f>--30973.27</f>
        <v>30973.27</v>
      </c>
      <c r="Q119" s="2"/>
      <c r="R119" s="19">
        <f t="shared" si="96"/>
        <v>8.3369160298349329E-3</v>
      </c>
      <c r="S119" s="2"/>
      <c r="T119" s="2">
        <f>--35442.16</f>
        <v>35442.160000000003</v>
      </c>
      <c r="U119" s="2"/>
      <c r="V119" s="19">
        <f t="shared" si="97"/>
        <v>9.3778328659542068E-3</v>
      </c>
      <c r="W119" s="2"/>
      <c r="X119" s="2">
        <f t="shared" si="98"/>
        <v>-4468.8900000000031</v>
      </c>
      <c r="Y119" s="2"/>
      <c r="Z119" s="19">
        <f t="shared" si="99"/>
        <v>-0.1260896627067877</v>
      </c>
    </row>
    <row r="120" spans="1:26" s="24" customFormat="1" hidden="1" outlineLevel="1" x14ac:dyDescent="0.25">
      <c r="A120" s="44"/>
      <c r="B120" s="11" t="str">
        <f>CONCATENATE("          ", "9165", " - ", "OTHER INCOME")</f>
        <v xml:space="preserve">          9165 - OTHER INCOME</v>
      </c>
      <c r="C120" s="11"/>
      <c r="D120" s="2">
        <f>--198527.34</f>
        <v>198527.34</v>
      </c>
      <c r="E120" s="2"/>
      <c r="F120" s="19">
        <f t="shared" si="92"/>
        <v>9.1394003775115945E-2</v>
      </c>
      <c r="G120" s="2"/>
      <c r="H120" s="2">
        <f>--199353.99</f>
        <v>199353.99</v>
      </c>
      <c r="I120" s="2"/>
      <c r="J120" s="19">
        <f t="shared" si="93"/>
        <v>8.9335415618708766E-2</v>
      </c>
      <c r="K120" s="2"/>
      <c r="L120" s="2">
        <f t="shared" si="94"/>
        <v>-826.64999999999418</v>
      </c>
      <c r="M120" s="2"/>
      <c r="N120" s="19">
        <f t="shared" si="95"/>
        <v>-4.1466438670226475E-3</v>
      </c>
      <c r="O120" s="11"/>
      <c r="P120" s="2">
        <f>--205160.78</f>
        <v>205160.78</v>
      </c>
      <c r="Q120" s="2"/>
      <c r="R120" s="19">
        <f t="shared" si="96"/>
        <v>5.5222073596860717E-2</v>
      </c>
      <c r="S120" s="2"/>
      <c r="T120" s="2">
        <f>--203254.69</f>
        <v>203254.69</v>
      </c>
      <c r="U120" s="2"/>
      <c r="V120" s="19">
        <f t="shared" si="97"/>
        <v>5.3780258089273725E-2</v>
      </c>
      <c r="W120" s="2"/>
      <c r="X120" s="2">
        <f t="shared" si="98"/>
        <v>1906.0899999999965</v>
      </c>
      <c r="Y120" s="2"/>
      <c r="Z120" s="19">
        <f t="shared" si="99"/>
        <v>9.3778401866151107E-3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10"/>
      <c r="B122" s="26" t="s">
        <v>3</v>
      </c>
      <c r="C122" s="26"/>
      <c r="D122" s="21">
        <f>+D30-D32+D117</f>
        <v>737367.02000000048</v>
      </c>
      <c r="E122" s="13"/>
      <c r="F122" s="20">
        <f>IF(D$12=0,0,D122/D$12)</f>
        <v>0.33945412359590393</v>
      </c>
      <c r="G122" s="13"/>
      <c r="H122" s="21">
        <f>+H30-H32+H117</f>
        <v>1007651.6699999996</v>
      </c>
      <c r="I122" s="13"/>
      <c r="J122" s="20">
        <f>IF(H$12=0,0,H122/H$12)</f>
        <v>0.45155344389312668</v>
      </c>
      <c r="K122" s="15"/>
      <c r="L122" s="21">
        <f>+D122-H122</f>
        <v>-270284.64999999909</v>
      </c>
      <c r="M122" s="15"/>
      <c r="N122" s="20">
        <f>IF(H122=0,0,L122/H122)</f>
        <v>-0.26823222552690179</v>
      </c>
      <c r="O122" s="25"/>
      <c r="P122" s="21">
        <f>+P30-P32+P117</f>
        <v>296003.95999999973</v>
      </c>
      <c r="Q122" s="13"/>
      <c r="R122" s="20">
        <f>IF(P$12=0,0,P122/P$12)</f>
        <v>7.9673865853318565E-2</v>
      </c>
      <c r="S122" s="13"/>
      <c r="T122" s="21">
        <f>+T30-T32+T117</f>
        <v>610423.55999999971</v>
      </c>
      <c r="U122" s="13"/>
      <c r="V122" s="20">
        <f>IF(T$12=0,0,T122/T$12)</f>
        <v>0.1615152722949382</v>
      </c>
      <c r="W122" s="15"/>
      <c r="X122" s="21">
        <f>+P122-T122</f>
        <v>-314419.59999999998</v>
      </c>
      <c r="Y122" s="15"/>
      <c r="Z122" s="20">
        <f>IF(T122=0,0,X122/T122)</f>
        <v>-0.51508431293182744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51"/>
      <c r="B124" s="10" t="s">
        <v>13</v>
      </c>
      <c r="C124" s="10"/>
      <c r="D124" s="4">
        <v>206679.61</v>
      </c>
      <c r="E124" s="4"/>
      <c r="F124" s="12">
        <f>IF(D$12=0,0,D124/D$12)</f>
        <v>9.5146981048451526E-2</v>
      </c>
      <c r="G124" s="4"/>
      <c r="H124" s="4">
        <v>177758.36000000002</v>
      </c>
      <c r="I124" s="4"/>
      <c r="J124" s="12">
        <f>IF(H$12=0,0,H124/H$12)</f>
        <v>7.9657883799065465E-2</v>
      </c>
      <c r="K124" s="4"/>
      <c r="L124" s="4">
        <f>+D124-H124</f>
        <v>28921.249999999971</v>
      </c>
      <c r="M124" s="4"/>
      <c r="N124" s="12">
        <f>IF(H124=0,0,L124/H124)</f>
        <v>0.16269980213588811</v>
      </c>
      <c r="O124" s="10"/>
      <c r="P124" s="4">
        <v>399061.18</v>
      </c>
      <c r="Q124" s="4"/>
      <c r="R124" s="12">
        <f>IF(P$12=0,0,P124/P$12)</f>
        <v>0.1074132485341988</v>
      </c>
      <c r="S124" s="4"/>
      <c r="T124" s="4">
        <v>335784.77</v>
      </c>
      <c r="U124" s="4"/>
      <c r="V124" s="12">
        <f>IF(T$12=0,0,T124/T$12)</f>
        <v>8.8847108979612816E-2</v>
      </c>
      <c r="W124" s="4"/>
      <c r="X124" s="4">
        <f>+P124-T124</f>
        <v>63276.409999999974</v>
      </c>
      <c r="Y124" s="4"/>
      <c r="Z124" s="12">
        <f>IF(T124=0,0,X124/T124)</f>
        <v>0.18844335911959309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6" t="s">
        <v>4</v>
      </c>
      <c r="C126" s="26"/>
      <c r="D126" s="35">
        <f>+D122-D124</f>
        <v>530687.4100000005</v>
      </c>
      <c r="E126" s="13"/>
      <c r="F126" s="30">
        <f>IF(D$12=0,0,D126/D$12)</f>
        <v>0.24430714254745242</v>
      </c>
      <c r="G126" s="13"/>
      <c r="H126" s="35">
        <f>+H122-H124</f>
        <v>829893.30999999959</v>
      </c>
      <c r="I126" s="13"/>
      <c r="J126" s="30">
        <f>IF(H$12=0,0,H126/H$12)</f>
        <v>0.37189556009406122</v>
      </c>
      <c r="K126" s="15"/>
      <c r="L126" s="35">
        <f>D126-H126</f>
        <v>-299205.89999999909</v>
      </c>
      <c r="M126" s="15"/>
      <c r="N126" s="30">
        <f>IF(H126=0,0,L126/H126)</f>
        <v>-0.36053538014422509</v>
      </c>
      <c r="O126" s="25"/>
      <c r="P126" s="35">
        <f>+P122-P124</f>
        <v>-103057.22000000026</v>
      </c>
      <c r="Q126" s="13"/>
      <c r="R126" s="30">
        <f>IF(P$12=0,0,P126/P$12)</f>
        <v>-2.7739382680880241E-2</v>
      </c>
      <c r="S126" s="13"/>
      <c r="T126" s="35">
        <f>+T122-T124</f>
        <v>274638.78999999969</v>
      </c>
      <c r="U126" s="13"/>
      <c r="V126" s="30">
        <f>IF(T$12=0,0,T126/T$12)</f>
        <v>7.2668163315325371E-2</v>
      </c>
      <c r="W126" s="15"/>
      <c r="X126" s="35">
        <f>P126-T126</f>
        <v>-377696.00999999995</v>
      </c>
      <c r="Y126" s="15"/>
      <c r="Z126" s="30">
        <f>IF(T126=0,0,X126/T126)</f>
        <v>-1.3752464100209603</v>
      </c>
    </row>
    <row r="127" spans="1:26" ht="15.75" thickTop="1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6" t="s">
        <v>5</v>
      </c>
      <c r="C129" s="26"/>
      <c r="D129" s="36">
        <f>SUM(D126:D128)</f>
        <v>530687.4100000005</v>
      </c>
      <c r="E129" s="13"/>
      <c r="F129" s="31">
        <f>IF(D$12=0,0,D129/D$12)</f>
        <v>0.24430714254745242</v>
      </c>
      <c r="G129" s="13"/>
      <c r="H129" s="36">
        <f>SUM(H126:H128)</f>
        <v>829893.30999999959</v>
      </c>
      <c r="I129" s="13"/>
      <c r="J129" s="31">
        <f>IF(H$12=0,0,H129/H$12)</f>
        <v>0.37189556009406122</v>
      </c>
      <c r="K129" s="15"/>
      <c r="L129" s="36">
        <f>+D129-H129</f>
        <v>-299205.89999999909</v>
      </c>
      <c r="M129" s="15"/>
      <c r="N129" s="31">
        <f>IF(H129=0,0,L129/H129)</f>
        <v>-0.36053538014422509</v>
      </c>
      <c r="O129" s="25"/>
      <c r="P129" s="36">
        <f>SUM(P126:P128)</f>
        <v>-103057.22000000026</v>
      </c>
      <c r="Q129" s="13"/>
      <c r="R129" s="31">
        <f>IF(P$12=0,0,P129/P$12)</f>
        <v>-2.7739382680880241E-2</v>
      </c>
      <c r="S129" s="13"/>
      <c r="T129" s="36">
        <f>SUM(T126:T128)</f>
        <v>274638.78999999969</v>
      </c>
      <c r="U129" s="13"/>
      <c r="V129" s="31">
        <f>IF(T$12=0,0,T129/T$12)</f>
        <v>7.2668163315325371E-2</v>
      </c>
      <c r="W129" s="15"/>
      <c r="X129" s="36">
        <f>+P129-T129</f>
        <v>-377696.00999999995</v>
      </c>
      <c r="Y129" s="15"/>
      <c r="Z129" s="31">
        <f>IF(T129=0,0,X129/T129)</f>
        <v>-1.3752464100209603</v>
      </c>
    </row>
    <row r="130" spans="1:26" ht="15.75" thickTop="1" x14ac:dyDescent="0.25">
      <c r="A130" s="9"/>
      <c r="C130" s="9"/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6" x14ac:dyDescent="0.25">
      <c r="A131" s="9"/>
      <c r="B131" s="55">
        <v>43756.462588506947</v>
      </c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6" x14ac:dyDescent="0.25">
      <c r="A132" s="9"/>
      <c r="B132" s="56" t="s">
        <v>313</v>
      </c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6" x14ac:dyDescent="0.25">
      <c r="A133" s="9"/>
      <c r="B133" s="57"/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  <row r="134" spans="1:26" x14ac:dyDescent="0.25">
      <c r="D134" s="18"/>
      <c r="E134" s="18"/>
      <c r="G134" s="18"/>
      <c r="H134" s="18"/>
      <c r="I134" s="18"/>
      <c r="J134" s="42"/>
      <c r="K134" s="18"/>
      <c r="L134" s="18"/>
      <c r="M134" s="18"/>
      <c r="P134" s="18"/>
      <c r="Q134" s="18"/>
      <c r="R134" s="42"/>
      <c r="S134" s="18"/>
      <c r="T134" s="18"/>
      <c r="U134" s="18"/>
      <c r="V134" s="42"/>
      <c r="W134" s="18"/>
      <c r="X134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312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1113873.7</v>
      </c>
      <c r="E12" s="4"/>
      <c r="F12" s="12"/>
      <c r="G12" s="4"/>
      <c r="H12" s="4">
        <f>SUM(OSRRefH13x_0)</f>
        <v>1121174.8299999998</v>
      </c>
      <c r="I12" s="4"/>
      <c r="J12" s="12"/>
      <c r="K12" s="4"/>
      <c r="L12" s="4">
        <f t="shared" ref="L12:L29" si="0">+D12-H12</f>
        <v>-7301.1299999998882</v>
      </c>
      <c r="M12" s="4"/>
      <c r="N12" s="12">
        <f t="shared" ref="N12:N29" si="1">IF(H12=0,0,L12/H12)</f>
        <v>-6.5120352371805289E-3</v>
      </c>
      <c r="O12" s="10"/>
      <c r="P12" s="4">
        <f>SUM(OSRRefP13x_0)</f>
        <v>1828362.9300000002</v>
      </c>
      <c r="Q12" s="4"/>
      <c r="R12" s="12"/>
      <c r="S12" s="4"/>
      <c r="T12" s="4">
        <f>SUM(OSRRefT13x_0)</f>
        <v>1891157.41</v>
      </c>
      <c r="U12" s="4"/>
      <c r="V12" s="12"/>
      <c r="W12" s="4"/>
      <c r="X12" s="4">
        <f t="shared" ref="X12:X29" si="2">+P12-T12</f>
        <v>-62794.479999999749</v>
      </c>
      <c r="Y12" s="4"/>
      <c r="Z12" s="12">
        <f t="shared" ref="Z12:Z29" si="3">IF(T12=0,0,X12/T12)</f>
        <v>-3.32042587613052E-2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--47906.96</f>
        <v>47906.96</v>
      </c>
      <c r="E13" s="2"/>
      <c r="F13" s="19"/>
      <c r="G13" s="2"/>
      <c r="H13" s="2">
        <f>--50328.31</f>
        <v>50328.31</v>
      </c>
      <c r="I13" s="2"/>
      <c r="J13" s="19"/>
      <c r="K13" s="2"/>
      <c r="L13" s="2">
        <f t="shared" si="0"/>
        <v>-2421.3499999999985</v>
      </c>
      <c r="M13" s="2"/>
      <c r="N13" s="19">
        <f t="shared" si="1"/>
        <v>-4.8111092941527316E-2</v>
      </c>
      <c r="O13" s="11"/>
      <c r="P13" s="2">
        <f>--72656.34</f>
        <v>72656.34</v>
      </c>
      <c r="Q13" s="2"/>
      <c r="R13" s="19"/>
      <c r="S13" s="2"/>
      <c r="T13" s="2">
        <f>--76541.12</f>
        <v>76541.119999999995</v>
      </c>
      <c r="U13" s="2"/>
      <c r="V13" s="19"/>
      <c r="W13" s="2"/>
      <c r="X13" s="2">
        <f t="shared" si="2"/>
        <v>-3884.7799999999988</v>
      </c>
      <c r="Y13" s="2"/>
      <c r="Z13" s="19">
        <f t="shared" si="3"/>
        <v>-5.0754156719943461E-2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>--503.93</f>
        <v>503.93</v>
      </c>
      <c r="E14" s="2"/>
      <c r="F14" s="19"/>
      <c r="G14" s="2"/>
      <c r="H14" s="2">
        <f>--252.51</f>
        <v>252.51</v>
      </c>
      <c r="I14" s="2"/>
      <c r="J14" s="19"/>
      <c r="K14" s="2"/>
      <c r="L14" s="2">
        <f t="shared" si="0"/>
        <v>251.42000000000002</v>
      </c>
      <c r="M14" s="2"/>
      <c r="N14" s="19">
        <f t="shared" si="1"/>
        <v>0.99568333927369224</v>
      </c>
      <c r="O14" s="11"/>
      <c r="P14" s="2">
        <f>--1150.33</f>
        <v>1150.33</v>
      </c>
      <c r="Q14" s="2"/>
      <c r="R14" s="19"/>
      <c r="S14" s="2"/>
      <c r="T14" s="2">
        <f>--749.37</f>
        <v>749.37</v>
      </c>
      <c r="U14" s="2"/>
      <c r="V14" s="19"/>
      <c r="W14" s="2"/>
      <c r="X14" s="2">
        <f t="shared" si="2"/>
        <v>400.95999999999992</v>
      </c>
      <c r="Y14" s="2"/>
      <c r="Z14" s="19">
        <f t="shared" si="3"/>
        <v>0.53506278607363511</v>
      </c>
    </row>
    <row r="15" spans="1:26" s="24" customFormat="1" hidden="1" outlineLevel="1" x14ac:dyDescent="0.25">
      <c r="A15" s="44"/>
      <c r="B15" s="11" t="str">
        <f>CONCATENATE("          ", "4051", " - ", "TAXABLE SALES-FOOD")</f>
        <v xml:space="preserve">          4051 - TAXABLE SALES-FOOD</v>
      </c>
      <c r="C15" s="11"/>
      <c r="D15" s="2">
        <f>--110327</f>
        <v>110327</v>
      </c>
      <c r="E15" s="2"/>
      <c r="F15" s="19"/>
      <c r="G15" s="2"/>
      <c r="H15" s="2">
        <f>--111998.44</f>
        <v>111998.44</v>
      </c>
      <c r="I15" s="2"/>
      <c r="J15" s="19"/>
      <c r="K15" s="2"/>
      <c r="L15" s="2">
        <f t="shared" si="0"/>
        <v>-1671.4400000000023</v>
      </c>
      <c r="M15" s="2"/>
      <c r="N15" s="19">
        <f t="shared" si="1"/>
        <v>-1.492377929549735E-2</v>
      </c>
      <c r="O15" s="11"/>
      <c r="P15" s="2">
        <f>--174689.63</f>
        <v>174689.63</v>
      </c>
      <c r="Q15" s="2"/>
      <c r="R15" s="19"/>
      <c r="S15" s="2"/>
      <c r="T15" s="2">
        <f>--181384.29</f>
        <v>181384.29</v>
      </c>
      <c r="U15" s="2"/>
      <c r="V15" s="19"/>
      <c r="W15" s="2"/>
      <c r="X15" s="2">
        <f t="shared" si="2"/>
        <v>-6694.6600000000035</v>
      </c>
      <c r="Y15" s="2"/>
      <c r="Z15" s="19">
        <f t="shared" si="3"/>
        <v>-3.6908709128006638E-2</v>
      </c>
    </row>
    <row r="16" spans="1:26" s="24" customFormat="1" hidden="1" outlineLevel="1" x14ac:dyDescent="0.25">
      <c r="A16" s="44"/>
      <c r="B16" s="11" t="str">
        <f>CONCATENATE("          ", "4052", " - ", "TAXABLE SALES-FOOD")</f>
        <v xml:space="preserve">          4052 - TAXABLE SALES-FOOD</v>
      </c>
      <c r="C16" s="11"/>
      <c r="D16" s="2">
        <f>--113975.81</f>
        <v>113975.81</v>
      </c>
      <c r="E16" s="2"/>
      <c r="F16" s="19"/>
      <c r="G16" s="2"/>
      <c r="H16" s="2">
        <f>--128269.55</f>
        <v>128269.55</v>
      </c>
      <c r="I16" s="2"/>
      <c r="J16" s="19"/>
      <c r="K16" s="2"/>
      <c r="L16" s="2">
        <f t="shared" si="0"/>
        <v>-14293.740000000005</v>
      </c>
      <c r="M16" s="2"/>
      <c r="N16" s="19">
        <f t="shared" si="1"/>
        <v>-0.11143517693794049</v>
      </c>
      <c r="O16" s="11"/>
      <c r="P16" s="2">
        <f>--253506.01</f>
        <v>253506.01</v>
      </c>
      <c r="Q16" s="2"/>
      <c r="R16" s="19"/>
      <c r="S16" s="2"/>
      <c r="T16" s="2">
        <f>--318104.17</f>
        <v>318104.17</v>
      </c>
      <c r="U16" s="2"/>
      <c r="V16" s="19"/>
      <c r="W16" s="2"/>
      <c r="X16" s="2">
        <f t="shared" si="2"/>
        <v>-64598.159999999974</v>
      </c>
      <c r="Y16" s="2"/>
      <c r="Z16" s="19">
        <f t="shared" si="3"/>
        <v>-0.20307234576648264</v>
      </c>
    </row>
    <row r="17" spans="1:26" s="24" customFormat="1" hidden="1" outlineLevel="1" x14ac:dyDescent="0.25">
      <c r="A17" s="44"/>
      <c r="B17" s="11" t="str">
        <f>CONCATENATE("          ", "4053", " - ", "TAXABLE SALES-FOOD")</f>
        <v xml:space="preserve">          4053 - TAXABLE SALES-FOOD</v>
      </c>
      <c r="C17" s="11"/>
      <c r="D17" s="2">
        <f>--1983.68</f>
        <v>1983.68</v>
      </c>
      <c r="E17" s="2"/>
      <c r="F17" s="19"/>
      <c r="G17" s="2"/>
      <c r="H17" s="2">
        <f>--3646.26</f>
        <v>3646.26</v>
      </c>
      <c r="I17" s="2"/>
      <c r="J17" s="19"/>
      <c r="K17" s="2"/>
      <c r="L17" s="2">
        <f t="shared" si="0"/>
        <v>-1662.5800000000002</v>
      </c>
      <c r="M17" s="2"/>
      <c r="N17" s="19">
        <f t="shared" si="1"/>
        <v>-0.45596858150543296</v>
      </c>
      <c r="O17" s="11"/>
      <c r="P17" s="2">
        <f>--46832.42</f>
        <v>46832.42</v>
      </c>
      <c r="Q17" s="2"/>
      <c r="R17" s="19"/>
      <c r="S17" s="2"/>
      <c r="T17" s="2">
        <f>--36217.66</f>
        <v>36217.660000000003</v>
      </c>
      <c r="U17" s="2"/>
      <c r="V17" s="19"/>
      <c r="W17" s="2"/>
      <c r="X17" s="2">
        <f t="shared" si="2"/>
        <v>10614.759999999995</v>
      </c>
      <c r="Y17" s="2"/>
      <c r="Z17" s="19">
        <f t="shared" si="3"/>
        <v>0.2930824354748483</v>
      </c>
    </row>
    <row r="18" spans="1:26" s="24" customFormat="1" hidden="1" outlineLevel="1" x14ac:dyDescent="0.25">
      <c r="A18" s="44"/>
      <c r="B18" s="11" t="str">
        <f>CONCATENATE("          ", "4055", " - ", "TAXABLE SALES-FOOD")</f>
        <v xml:space="preserve">          4055 - TAXABLE SALES-FOOD</v>
      </c>
      <c r="C18" s="11"/>
      <c r="D18" s="2">
        <f>--66898.61</f>
        <v>66898.61</v>
      </c>
      <c r="E18" s="2"/>
      <c r="F18" s="19"/>
      <c r="G18" s="2"/>
      <c r="H18" s="2">
        <f>--76146.03</f>
        <v>76146.03</v>
      </c>
      <c r="I18" s="2"/>
      <c r="J18" s="19"/>
      <c r="K18" s="2"/>
      <c r="L18" s="2">
        <f t="shared" si="0"/>
        <v>-9247.4199999999983</v>
      </c>
      <c r="M18" s="2"/>
      <c r="N18" s="19">
        <f t="shared" si="1"/>
        <v>-0.12144323216850568</v>
      </c>
      <c r="O18" s="11"/>
      <c r="P18" s="2">
        <f>--110835.68</f>
        <v>110835.68</v>
      </c>
      <c r="Q18" s="2"/>
      <c r="R18" s="19"/>
      <c r="S18" s="2"/>
      <c r="T18" s="2">
        <f>--126311.72</f>
        <v>126311.72</v>
      </c>
      <c r="U18" s="2"/>
      <c r="V18" s="19"/>
      <c r="W18" s="2"/>
      <c r="X18" s="2">
        <f t="shared" si="2"/>
        <v>-15476.040000000008</v>
      </c>
      <c r="Y18" s="2"/>
      <c r="Z18" s="19">
        <f t="shared" si="3"/>
        <v>-0.12252259726967543</v>
      </c>
    </row>
    <row r="19" spans="1:26" s="24" customFormat="1" hidden="1" outlineLevel="1" x14ac:dyDescent="0.25">
      <c r="A19" s="44"/>
      <c r="B19" s="11" t="str">
        <f>CONCATENATE("          ", "4057", " - ", "TAXABLE SALES-FOOD")</f>
        <v xml:space="preserve">          4057 - TAXABLE SALES-FOOD</v>
      </c>
      <c r="C19" s="11"/>
      <c r="D19" s="2">
        <f>0</f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0</f>
        <v>0</v>
      </c>
      <c r="Q19" s="2"/>
      <c r="R19" s="19"/>
      <c r="S19" s="2"/>
      <c r="T19" s="2">
        <f>--11506.08</f>
        <v>11506.08</v>
      </c>
      <c r="U19" s="2"/>
      <c r="V19" s="19"/>
      <c r="W19" s="2"/>
      <c r="X19" s="2">
        <f t="shared" si="2"/>
        <v>-11506.08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"4058", " - ", "TAXABLE SALES-FOOD")</f>
        <v xml:space="preserve">          4058 - TAXABLE SALES-FOOD</v>
      </c>
      <c r="C20" s="11"/>
      <c r="D20" s="2">
        <f>--24452.76</f>
        <v>24452.76</v>
      </c>
      <c r="E20" s="2"/>
      <c r="F20" s="19"/>
      <c r="G20" s="2"/>
      <c r="H20" s="2">
        <f>--37319.34</f>
        <v>37319.339999999997</v>
      </c>
      <c r="I20" s="2"/>
      <c r="J20" s="19"/>
      <c r="K20" s="2"/>
      <c r="L20" s="2">
        <f t="shared" si="0"/>
        <v>-12866.579999999998</v>
      </c>
      <c r="M20" s="2"/>
      <c r="N20" s="19">
        <f t="shared" si="1"/>
        <v>-0.3447697628093101</v>
      </c>
      <c r="O20" s="11"/>
      <c r="P20" s="2">
        <f>--42290.9</f>
        <v>42290.9</v>
      </c>
      <c r="Q20" s="2"/>
      <c r="R20" s="19"/>
      <c r="S20" s="2"/>
      <c r="T20" s="2">
        <f>--65691.63</f>
        <v>65691.63</v>
      </c>
      <c r="U20" s="2"/>
      <c r="V20" s="19"/>
      <c r="W20" s="2"/>
      <c r="X20" s="2">
        <f t="shared" si="2"/>
        <v>-23400.730000000003</v>
      </c>
      <c r="Y20" s="2"/>
      <c r="Z20" s="19">
        <f t="shared" si="3"/>
        <v>-0.35622087623643989</v>
      </c>
    </row>
    <row r="21" spans="1:26" s="24" customFormat="1" hidden="1" outlineLevel="1" x14ac:dyDescent="0.25">
      <c r="A21" s="44"/>
      <c r="B21" s="11" t="str">
        <f>CONCATENATE("          ", "4132", " - ", "NON-TAXABLE SALES-JUICE")</f>
        <v xml:space="preserve">          4132 - NON-TAXABLE SALES-JUICE</v>
      </c>
      <c r="C21" s="11"/>
      <c r="D21" s="2">
        <f>--181943.15</f>
        <v>181943.15</v>
      </c>
      <c r="E21" s="2"/>
      <c r="F21" s="19"/>
      <c r="G21" s="2"/>
      <c r="H21" s="2">
        <f>--172393.43</f>
        <v>172393.43</v>
      </c>
      <c r="I21" s="2"/>
      <c r="J21" s="19"/>
      <c r="K21" s="2"/>
      <c r="L21" s="2">
        <f t="shared" si="0"/>
        <v>9549.7200000000012</v>
      </c>
      <c r="M21" s="2"/>
      <c r="N21" s="19">
        <f t="shared" si="1"/>
        <v>5.5394918472241095E-2</v>
      </c>
      <c r="O21" s="11"/>
      <c r="P21" s="2">
        <f>--275941.99</f>
        <v>275941.99</v>
      </c>
      <c r="Q21" s="2"/>
      <c r="R21" s="19"/>
      <c r="S21" s="2"/>
      <c r="T21" s="2">
        <f>--265254.3</f>
        <v>265254.3</v>
      </c>
      <c r="U21" s="2"/>
      <c r="V21" s="19"/>
      <c r="W21" s="2"/>
      <c r="X21" s="2">
        <f t="shared" si="2"/>
        <v>10687.690000000002</v>
      </c>
      <c r="Y21" s="2"/>
      <c r="Z21" s="19">
        <f t="shared" si="3"/>
        <v>4.0292240314294632E-2</v>
      </c>
    </row>
    <row r="22" spans="1:26" s="24" customFormat="1" hidden="1" outlineLevel="1" x14ac:dyDescent="0.25">
      <c r="A22" s="44"/>
      <c r="B22" s="11" t="str">
        <f>CONCATENATE("          ", "4134", " - ", "NON-TAXABLE SALES-SODA")</f>
        <v xml:space="preserve">          4134 - NON-TAXABLE SALES-SODA</v>
      </c>
      <c r="C22" s="11"/>
      <c r="D22" s="2">
        <f>--3.78</f>
        <v>3.78</v>
      </c>
      <c r="E22" s="2"/>
      <c r="F22" s="19"/>
      <c r="G22" s="2"/>
      <c r="H22" s="2">
        <f>--5.2</f>
        <v>5.2</v>
      </c>
      <c r="I22" s="2"/>
      <c r="J22" s="19"/>
      <c r="K22" s="2"/>
      <c r="L22" s="2">
        <f t="shared" si="0"/>
        <v>-1.4200000000000004</v>
      </c>
      <c r="M22" s="2"/>
      <c r="N22" s="19">
        <f t="shared" si="1"/>
        <v>-0.27307692307692316</v>
      </c>
      <c r="O22" s="11"/>
      <c r="P22" s="2">
        <f>--0.39</f>
        <v>0.39</v>
      </c>
      <c r="Q22" s="2"/>
      <c r="R22" s="19"/>
      <c r="S22" s="2"/>
      <c r="T22" s="2">
        <f>--53.94</f>
        <v>53.94</v>
      </c>
      <c r="U22" s="2"/>
      <c r="V22" s="19"/>
      <c r="W22" s="2"/>
      <c r="X22" s="2">
        <f t="shared" si="2"/>
        <v>-53.55</v>
      </c>
      <c r="Y22" s="2"/>
      <c r="Z22" s="19">
        <f t="shared" si="3"/>
        <v>-0.99276974416017794</v>
      </c>
    </row>
    <row r="23" spans="1:26" s="24" customFormat="1" hidden="1" outlineLevel="1" x14ac:dyDescent="0.25">
      <c r="A23" s="44"/>
      <c r="B23" s="11" t="str">
        <f>CONCATENATE("          ", "4137", " - ", "NON-TAXABLE SALES-WATER")</f>
        <v xml:space="preserve">          4137 - NON-TAXABLE SALES-WATER</v>
      </c>
      <c r="C23" s="11"/>
      <c r="D23" s="2">
        <f>--237.57</f>
        <v>237.57</v>
      </c>
      <c r="E23" s="2"/>
      <c r="F23" s="19"/>
      <c r="G23" s="2"/>
      <c r="H23" s="2">
        <f>--241.99</f>
        <v>241.99</v>
      </c>
      <c r="I23" s="2"/>
      <c r="J23" s="19"/>
      <c r="K23" s="2"/>
      <c r="L23" s="2">
        <f t="shared" si="0"/>
        <v>-4.4200000000000159</v>
      </c>
      <c r="M23" s="2"/>
      <c r="N23" s="19">
        <f t="shared" si="1"/>
        <v>-1.8265217570974074E-2</v>
      </c>
      <c r="O23" s="11"/>
      <c r="P23" s="2">
        <f>--621.09</f>
        <v>621.09</v>
      </c>
      <c r="Q23" s="2"/>
      <c r="R23" s="19"/>
      <c r="S23" s="2"/>
      <c r="T23" s="2">
        <f>--777.71</f>
        <v>777.71</v>
      </c>
      <c r="U23" s="2"/>
      <c r="V23" s="19"/>
      <c r="W23" s="2"/>
      <c r="X23" s="2">
        <f t="shared" si="2"/>
        <v>-156.62</v>
      </c>
      <c r="Y23" s="2"/>
      <c r="Z23" s="19">
        <f t="shared" si="3"/>
        <v>-0.20138612079052604</v>
      </c>
    </row>
    <row r="24" spans="1:26" s="24" customFormat="1" hidden="1" outlineLevel="1" x14ac:dyDescent="0.25">
      <c r="A24" s="44"/>
      <c r="B24" s="11" t="str">
        <f>CONCATENATE("          ", "4151", " - ", "NON-TAXABLE SALES-FOOD")</f>
        <v xml:space="preserve">          4151 - NON-TAXABLE SALES-FOOD</v>
      </c>
      <c r="C24" s="11"/>
      <c r="D24" s="2">
        <f>--371360.7</f>
        <v>371360.7</v>
      </c>
      <c r="E24" s="2"/>
      <c r="F24" s="19"/>
      <c r="G24" s="2"/>
      <c r="H24" s="2">
        <f>--357465.52</f>
        <v>357465.52</v>
      </c>
      <c r="I24" s="2"/>
      <c r="J24" s="19"/>
      <c r="K24" s="2"/>
      <c r="L24" s="2">
        <f t="shared" si="0"/>
        <v>13895.179999999993</v>
      </c>
      <c r="M24" s="2"/>
      <c r="N24" s="19">
        <f t="shared" si="1"/>
        <v>3.887138541361973E-2</v>
      </c>
      <c r="O24" s="11"/>
      <c r="P24" s="2">
        <f>--536341.42</f>
        <v>536341.42000000004</v>
      </c>
      <c r="Q24" s="2"/>
      <c r="R24" s="19"/>
      <c r="S24" s="2"/>
      <c r="T24" s="2">
        <f>--495413.14</f>
        <v>495413.14</v>
      </c>
      <c r="U24" s="2"/>
      <c r="V24" s="19"/>
      <c r="W24" s="2"/>
      <c r="X24" s="2">
        <f t="shared" si="2"/>
        <v>40928.280000000028</v>
      </c>
      <c r="Y24" s="2"/>
      <c r="Z24" s="19">
        <f t="shared" si="3"/>
        <v>8.2614441756631699E-2</v>
      </c>
    </row>
    <row r="25" spans="1:26" s="24" customFormat="1" hidden="1" outlineLevel="1" x14ac:dyDescent="0.25">
      <c r="A25" s="44"/>
      <c r="B25" s="11" t="str">
        <f>CONCATENATE("          ", "4152", " - ", "NON-TAXABLE SALES-FOOD")</f>
        <v xml:space="preserve">          4152 - NON-TAXABLE SALES-FOOD</v>
      </c>
      <c r="C25" s="11"/>
      <c r="D25" s="2">
        <f>--8131.54</f>
        <v>8131.54</v>
      </c>
      <c r="E25" s="2"/>
      <c r="F25" s="19"/>
      <c r="G25" s="2"/>
      <c r="H25" s="2">
        <f>--7627.39</f>
        <v>7627.39</v>
      </c>
      <c r="I25" s="2"/>
      <c r="J25" s="19"/>
      <c r="K25" s="2"/>
      <c r="L25" s="2">
        <f t="shared" si="0"/>
        <v>504.14999999999964</v>
      </c>
      <c r="M25" s="2"/>
      <c r="N25" s="19">
        <f t="shared" si="1"/>
        <v>6.6097315071079313E-2</v>
      </c>
      <c r="O25" s="11"/>
      <c r="P25" s="2">
        <f>--15789.06</f>
        <v>15789.06</v>
      </c>
      <c r="Q25" s="2"/>
      <c r="R25" s="19"/>
      <c r="S25" s="2"/>
      <c r="T25" s="2">
        <f>--15299.92</f>
        <v>15299.92</v>
      </c>
      <c r="U25" s="2"/>
      <c r="V25" s="19"/>
      <c r="W25" s="2"/>
      <c r="X25" s="2">
        <f t="shared" si="2"/>
        <v>489.13999999999942</v>
      </c>
      <c r="Y25" s="2"/>
      <c r="Z25" s="19">
        <f t="shared" si="3"/>
        <v>3.1970101804453845E-2</v>
      </c>
    </row>
    <row r="26" spans="1:26" s="24" customFormat="1" hidden="1" outlineLevel="1" x14ac:dyDescent="0.25">
      <c r="A26" s="44"/>
      <c r="B26" s="11" t="str">
        <f>CONCATENATE("          ", "4153", " - ", "NON-TAXABLE SALES-FOOD")</f>
        <v xml:space="preserve">          4153 - NON-TAXABLE SALES-FOOD</v>
      </c>
      <c r="C26" s="11"/>
      <c r="D26" s="2">
        <f>--1942</f>
        <v>1942</v>
      </c>
      <c r="E26" s="2"/>
      <c r="F26" s="19"/>
      <c r="G26" s="2"/>
      <c r="H26" s="2">
        <f>--1485.5</f>
        <v>1485.5</v>
      </c>
      <c r="I26" s="2"/>
      <c r="J26" s="19"/>
      <c r="K26" s="2"/>
      <c r="L26" s="2">
        <f t="shared" si="0"/>
        <v>456.5</v>
      </c>
      <c r="M26" s="2"/>
      <c r="N26" s="19">
        <f t="shared" si="1"/>
        <v>0.30730393806799056</v>
      </c>
      <c r="O26" s="11"/>
      <c r="P26" s="2">
        <f>--2406.5</f>
        <v>2406.5</v>
      </c>
      <c r="Q26" s="2"/>
      <c r="R26" s="19"/>
      <c r="S26" s="2"/>
      <c r="T26" s="2">
        <f>--1986</f>
        <v>1986</v>
      </c>
      <c r="U26" s="2"/>
      <c r="V26" s="19"/>
      <c r="W26" s="2"/>
      <c r="X26" s="2">
        <f t="shared" si="2"/>
        <v>420.5</v>
      </c>
      <c r="Y26" s="2"/>
      <c r="Z26" s="19">
        <f t="shared" si="3"/>
        <v>0.21173212487411883</v>
      </c>
    </row>
    <row r="27" spans="1:26" s="24" customFormat="1" hidden="1" outlineLevel="1" x14ac:dyDescent="0.25">
      <c r="A27" s="44"/>
      <c r="B27" s="11" t="str">
        <f>CONCATENATE("          ", "4155", " - ", "NON-TAXABLE SALES-FOOD")</f>
        <v xml:space="preserve">          4155 - NON-TAXABLE SALES-FOOD</v>
      </c>
      <c r="C27" s="11"/>
      <c r="D27" s="2">
        <f>--112329.49</f>
        <v>112329.49</v>
      </c>
      <c r="E27" s="2"/>
      <c r="F27" s="19"/>
      <c r="G27" s="2"/>
      <c r="H27" s="2">
        <f>--105446.38</f>
        <v>105446.38</v>
      </c>
      <c r="I27" s="2"/>
      <c r="J27" s="19"/>
      <c r="K27" s="2"/>
      <c r="L27" s="2">
        <f t="shared" si="0"/>
        <v>6883.1100000000006</v>
      </c>
      <c r="M27" s="2"/>
      <c r="N27" s="19">
        <f t="shared" si="1"/>
        <v>6.5275925072060328E-2</v>
      </c>
      <c r="O27" s="11"/>
      <c r="P27" s="2">
        <f>--183054.54</f>
        <v>183054.54</v>
      </c>
      <c r="Q27" s="2"/>
      <c r="R27" s="19"/>
      <c r="S27" s="2"/>
      <c r="T27" s="2">
        <f>--172843.7</f>
        <v>172843.7</v>
      </c>
      <c r="U27" s="2"/>
      <c r="V27" s="19"/>
      <c r="W27" s="2"/>
      <c r="X27" s="2">
        <f t="shared" si="2"/>
        <v>10210.839999999997</v>
      </c>
      <c r="Y27" s="2"/>
      <c r="Z27" s="19">
        <f t="shared" si="3"/>
        <v>5.9075569430647436E-2</v>
      </c>
    </row>
    <row r="28" spans="1:26" s="24" customFormat="1" hidden="1" outlineLevel="1" x14ac:dyDescent="0.25">
      <c r="A28" s="44"/>
      <c r="B28" s="11" t="str">
        <f>CONCATENATE("          ", "4158", " - ", "NON-TAXABLE SALES-FOOD")</f>
        <v xml:space="preserve">          4158 - NON-TAXABLE SALES-FOOD</v>
      </c>
      <c r="C28" s="11"/>
      <c r="D28" s="2">
        <f>--71876.72</f>
        <v>71876.72</v>
      </c>
      <c r="E28" s="2"/>
      <c r="F28" s="19"/>
      <c r="G28" s="2"/>
      <c r="H28" s="2">
        <f>--68548.98</f>
        <v>68548.98</v>
      </c>
      <c r="I28" s="2"/>
      <c r="J28" s="19"/>
      <c r="K28" s="2"/>
      <c r="L28" s="2">
        <f t="shared" si="0"/>
        <v>3327.7400000000052</v>
      </c>
      <c r="M28" s="2"/>
      <c r="N28" s="19">
        <f t="shared" si="1"/>
        <v>4.8545434228197203E-2</v>
      </c>
      <c r="O28" s="11"/>
      <c r="P28" s="2">
        <f>--112246.63</f>
        <v>112246.63</v>
      </c>
      <c r="Q28" s="2"/>
      <c r="R28" s="19"/>
      <c r="S28" s="2"/>
      <c r="T28" s="2">
        <f>--123024.35</f>
        <v>123024.35</v>
      </c>
      <c r="U28" s="2"/>
      <c r="V28" s="19"/>
      <c r="W28" s="2"/>
      <c r="X28" s="2">
        <f t="shared" si="2"/>
        <v>-10777.720000000001</v>
      </c>
      <c r="Y28" s="2"/>
      <c r="Z28" s="19">
        <f t="shared" si="3"/>
        <v>-8.7606396619856156E-2</v>
      </c>
    </row>
    <row r="29" spans="1:26" s="24" customFormat="1" hidden="1" outlineLevel="1" x14ac:dyDescent="0.25">
      <c r="A29" s="44"/>
      <c r="B29" s="11" t="str">
        <f>CONCATENATE("          ", "4233", " - ", "SALES RETURN TAXABLE-CANDY")</f>
        <v xml:space="preserve">          4233 - SALES RETURN TAXABLE-CANDY</v>
      </c>
      <c r="C29" s="11"/>
      <c r="D29" s="2">
        <f>0</f>
        <v>0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0</f>
        <v>0</v>
      </c>
      <c r="Q29" s="2"/>
      <c r="R29" s="19"/>
      <c r="S29" s="2"/>
      <c r="T29" s="2">
        <f>-1.69</f>
        <v>-1.69</v>
      </c>
      <c r="U29" s="2"/>
      <c r="V29" s="19"/>
      <c r="W29" s="2"/>
      <c r="X29" s="2">
        <f t="shared" si="2"/>
        <v>1.69</v>
      </c>
      <c r="Y29" s="2"/>
      <c r="Z29" s="19">
        <f t="shared" si="3"/>
        <v>-1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collapsed="1" x14ac:dyDescent="0.25">
      <c r="A31" s="10"/>
      <c r="B31" s="25" t="s">
        <v>8</v>
      </c>
      <c r="C31" s="10"/>
      <c r="D31" s="4">
        <f>SUM(OSRRefD16x_0)</f>
        <v>446024.77999999997</v>
      </c>
      <c r="E31" s="4"/>
      <c r="F31" s="12">
        <f t="shared" ref="F31:F33" si="4">IF(D$12=0,0,D31/D$12)</f>
        <v>0.40042670906046168</v>
      </c>
      <c r="G31" s="4"/>
      <c r="H31" s="4">
        <f>SUM(OSRRefH16x_0)</f>
        <v>403251.52</v>
      </c>
      <c r="I31" s="4"/>
      <c r="J31" s="12">
        <f t="shared" ref="J31:J33" si="5">IF(H$12=0,0,H31/H$12)</f>
        <v>0.35966872356561919</v>
      </c>
      <c r="K31" s="4"/>
      <c r="L31" s="4">
        <f t="shared" ref="L31:L33" si="6">+D31-H31</f>
        <v>42773.259999999951</v>
      </c>
      <c r="M31" s="4"/>
      <c r="N31" s="12">
        <f t="shared" ref="N31:N33" si="7">IF(H31=0,0,L31/H31)</f>
        <v>0.10607092069981522</v>
      </c>
      <c r="O31" s="10"/>
      <c r="P31" s="4">
        <f>SUM(OSRRefP16x_0)</f>
        <v>715948.42</v>
      </c>
      <c r="Q31" s="4"/>
      <c r="R31" s="12">
        <f t="shared" ref="R31:R33" si="8">IF(P$12=0,0,P31/P$12)</f>
        <v>0.39157894105849106</v>
      </c>
      <c r="S31" s="4"/>
      <c r="T31" s="4">
        <f>SUM(OSRRefT16x_0)</f>
        <v>667732.87</v>
      </c>
      <c r="U31" s="4"/>
      <c r="V31" s="12">
        <f t="shared" ref="V31:V33" si="9">IF(T$12=0,0,T31/T$12)</f>
        <v>0.353081592504772</v>
      </c>
      <c r="W31" s="4"/>
      <c r="X31" s="4">
        <f t="shared" ref="X31:X33" si="10">+P31-T31</f>
        <v>48215.550000000047</v>
      </c>
      <c r="Y31" s="4"/>
      <c r="Z31" s="12">
        <f t="shared" ref="Z31:Z33" si="11">IF(T31=0,0,X31/T31)</f>
        <v>7.2207842636232727E-2</v>
      </c>
    </row>
    <row r="32" spans="1:26" s="24" customFormat="1" hidden="1" outlineLevel="1" x14ac:dyDescent="0.25">
      <c r="A32" s="44"/>
      <c r="B32" s="11" t="str">
        <f>CONCATENATE("          ", "5053", " - ", "PURCHASES @ COST-FOOD")</f>
        <v xml:space="preserve">          5053 - PURCHASES @ COST-FOOD</v>
      </c>
      <c r="C32" s="11"/>
      <c r="D32" s="2">
        <v>441567.08999999997</v>
      </c>
      <c r="E32" s="2"/>
      <c r="F32" s="19">
        <f t="shared" si="4"/>
        <v>0.39642473828047109</v>
      </c>
      <c r="G32" s="2"/>
      <c r="H32" s="2">
        <v>412467.59</v>
      </c>
      <c r="I32" s="2"/>
      <c r="J32" s="19">
        <f t="shared" si="5"/>
        <v>0.36788873506908826</v>
      </c>
      <c r="K32" s="2"/>
      <c r="L32" s="2">
        <f t="shared" si="6"/>
        <v>29099.499999999942</v>
      </c>
      <c r="M32" s="2"/>
      <c r="N32" s="19">
        <f t="shared" si="7"/>
        <v>7.0549785499510256E-2</v>
      </c>
      <c r="O32" s="11"/>
      <c r="P32" s="2">
        <v>782555.91</v>
      </c>
      <c r="Q32" s="2"/>
      <c r="R32" s="19">
        <f t="shared" si="8"/>
        <v>0.42800906601185573</v>
      </c>
      <c r="S32" s="2"/>
      <c r="T32" s="2">
        <v>759752.02</v>
      </c>
      <c r="U32" s="2"/>
      <c r="V32" s="19">
        <f t="shared" si="9"/>
        <v>0.40173917622224797</v>
      </c>
      <c r="W32" s="2"/>
      <c r="X32" s="2">
        <f t="shared" si="10"/>
        <v>22803.890000000014</v>
      </c>
      <c r="Y32" s="2"/>
      <c r="Z32" s="19">
        <f t="shared" si="11"/>
        <v>3.0014911970882307E-2</v>
      </c>
    </row>
    <row r="33" spans="1:26" s="24" customFormat="1" hidden="1" outlineLevel="1" x14ac:dyDescent="0.25">
      <c r="A33" s="44"/>
      <c r="B33" s="11" t="str">
        <f>CONCATENATE("          ", "5059", " - ", "PURCHASES @ COST-FOOD")</f>
        <v xml:space="preserve">          5059 - PURCHASES @ COST-FOOD</v>
      </c>
      <c r="C33" s="11"/>
      <c r="D33" s="2">
        <v>4457.6899999999996</v>
      </c>
      <c r="E33" s="2"/>
      <c r="F33" s="19">
        <f t="shared" si="4"/>
        <v>4.0019707799905857E-3</v>
      </c>
      <c r="G33" s="2"/>
      <c r="H33" s="2">
        <v>-9216.07</v>
      </c>
      <c r="I33" s="2"/>
      <c r="J33" s="19">
        <f t="shared" si="5"/>
        <v>-8.2200115034690904E-3</v>
      </c>
      <c r="K33" s="2"/>
      <c r="L33" s="2">
        <f t="shared" si="6"/>
        <v>13673.759999999998</v>
      </c>
      <c r="M33" s="2"/>
      <c r="N33" s="19">
        <f t="shared" si="7"/>
        <v>-1.4836866473453434</v>
      </c>
      <c r="O33" s="11"/>
      <c r="P33" s="2">
        <v>-66607.490000000005</v>
      </c>
      <c r="Q33" s="2"/>
      <c r="R33" s="19">
        <f t="shared" si="8"/>
        <v>-3.6430124953364701E-2</v>
      </c>
      <c r="S33" s="2"/>
      <c r="T33" s="2">
        <v>-92019.15</v>
      </c>
      <c r="U33" s="2"/>
      <c r="V33" s="19">
        <f t="shared" si="9"/>
        <v>-4.8657583717475958E-2</v>
      </c>
      <c r="W33" s="2"/>
      <c r="X33" s="2">
        <f t="shared" si="10"/>
        <v>25411.659999999989</v>
      </c>
      <c r="Y33" s="2"/>
      <c r="Z33" s="19">
        <f t="shared" si="11"/>
        <v>-0.27615621313606992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6" t="s">
        <v>6</v>
      </c>
      <c r="C35" s="26"/>
      <c r="D35" s="21">
        <f>D12-D31</f>
        <v>667848.91999999993</v>
      </c>
      <c r="E35" s="13"/>
      <c r="F35" s="20">
        <f>IF(D$12=0,0,D35/D$12)</f>
        <v>0.59957329093953826</v>
      </c>
      <c r="G35" s="13"/>
      <c r="H35" s="21">
        <f>H12-H31</f>
        <v>717923.30999999982</v>
      </c>
      <c r="I35" s="13"/>
      <c r="J35" s="20">
        <f>IF(H$12=0,0,H35/H$12)</f>
        <v>0.64033127643438081</v>
      </c>
      <c r="K35" s="15"/>
      <c r="L35" s="21">
        <f>+D35-H35</f>
        <v>-50074.389999999898</v>
      </c>
      <c r="M35" s="15"/>
      <c r="N35" s="20">
        <f>IF(H35=0,0,L35/H35)</f>
        <v>-6.974894017579665E-2</v>
      </c>
      <c r="O35" s="25"/>
      <c r="P35" s="21">
        <f>P12-P31</f>
        <v>1112414.5100000002</v>
      </c>
      <c r="Q35" s="13"/>
      <c r="R35" s="20">
        <f>IF(P$12=0,0,P35/P$12)</f>
        <v>0.608421058941509</v>
      </c>
      <c r="S35" s="13"/>
      <c r="T35" s="21">
        <f>T12-T31</f>
        <v>1223424.54</v>
      </c>
      <c r="U35" s="13"/>
      <c r="V35" s="20">
        <f>IF(T$12=0,0,T35/T$12)</f>
        <v>0.64691840749522811</v>
      </c>
      <c r="W35" s="15"/>
      <c r="X35" s="21">
        <f>+P35-T35</f>
        <v>-111010.0299999998</v>
      </c>
      <c r="Y35" s="15"/>
      <c r="Z35" s="20">
        <f>IF(T35=0,0,X35/T35)</f>
        <v>-9.0737128748455367E-2</v>
      </c>
    </row>
    <row r="36" spans="1:26" x14ac:dyDescent="0.2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7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5" t="s">
        <v>9</v>
      </c>
      <c r="C37" s="10"/>
      <c r="D37" s="22">
        <f>SUM(OSRRefD22x_0)</f>
        <v>656678.59</v>
      </c>
      <c r="E37" s="22"/>
      <c r="F37" s="34">
        <f t="shared" ref="F37:F47" si="12">IF(D$12=0,0,D37/D$12)</f>
        <v>0.58954492775976308</v>
      </c>
      <c r="G37" s="22"/>
      <c r="H37" s="22">
        <f>SUM(OSRRefH22x_0)</f>
        <v>556572.88000000024</v>
      </c>
      <c r="I37" s="22"/>
      <c r="J37" s="34">
        <f t="shared" ref="J37:J47" si="13">IF(H$12=0,0,H37/H$12)</f>
        <v>0.4964193496923226</v>
      </c>
      <c r="K37" s="4"/>
      <c r="L37" s="22">
        <f t="shared" ref="L37:L47" si="14">+D37-H37</f>
        <v>100105.70999999973</v>
      </c>
      <c r="M37" s="4"/>
      <c r="N37" s="34">
        <f t="shared" ref="N37:N47" si="15">IF(H37=0,0,L37/H37)</f>
        <v>0.17986091956187245</v>
      </c>
      <c r="O37" s="10"/>
      <c r="P37" s="22">
        <f>SUM(OSRRefP22x_0)</f>
        <v>1623816.5200000003</v>
      </c>
      <c r="Q37" s="22"/>
      <c r="R37" s="34">
        <f t="shared" ref="R37:R47" si="16">IF(P$12=0,0,P37/P$12)</f>
        <v>0.88812592585215022</v>
      </c>
      <c r="S37" s="22"/>
      <c r="T37" s="22">
        <f>SUM(OSRRefT22x_0)</f>
        <v>1501345.9</v>
      </c>
      <c r="U37" s="22"/>
      <c r="V37" s="34">
        <f t="shared" ref="V37:V47" si="17">IF(T$12=0,0,T37/T$12)</f>
        <v>0.79387675085174425</v>
      </c>
      <c r="W37" s="4"/>
      <c r="X37" s="22">
        <f t="shared" ref="X37:X47" si="18">+P37-T37</f>
        <v>122470.62000000034</v>
      </c>
      <c r="Y37" s="4"/>
      <c r="Z37" s="34">
        <f t="shared" ref="Z37:Z47" si="19">IF(T37=0,0,X37/T37)</f>
        <v>8.1573886470799536E-2</v>
      </c>
    </row>
    <row r="38" spans="1:26" s="29" customFormat="1" outlineLevel="1" collapsed="1" x14ac:dyDescent="0.25">
      <c r="A38" s="27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92222.64</v>
      </c>
      <c r="E38" s="1"/>
      <c r="F38" s="5">
        <f t="shared" si="12"/>
        <v>8.2794521497365464E-2</v>
      </c>
      <c r="G38" s="1"/>
      <c r="H38" s="1">
        <f>SUM(OSRRefH22_0x_0)</f>
        <v>63202.25</v>
      </c>
      <c r="I38" s="1"/>
      <c r="J38" s="5">
        <f t="shared" si="13"/>
        <v>5.6371449223489981E-2</v>
      </c>
      <c r="K38" s="1"/>
      <c r="L38" s="1">
        <f t="shared" si="14"/>
        <v>29020.39</v>
      </c>
      <c r="M38" s="1"/>
      <c r="N38" s="5">
        <f t="shared" si="15"/>
        <v>0.45916703914813156</v>
      </c>
      <c r="O38" s="14"/>
      <c r="P38" s="1">
        <f>SUM(OSRRefP22_0x_0)</f>
        <v>244817.78000000003</v>
      </c>
      <c r="Q38" s="1"/>
      <c r="R38" s="5">
        <f t="shared" si="16"/>
        <v>0.13389999107015368</v>
      </c>
      <c r="S38" s="1"/>
      <c r="T38" s="1">
        <f>SUM(OSRRefT22_0x_0)</f>
        <v>202671.31</v>
      </c>
      <c r="U38" s="1"/>
      <c r="V38" s="5">
        <f t="shared" si="17"/>
        <v>0.10716786922565055</v>
      </c>
      <c r="W38" s="1"/>
      <c r="X38" s="1">
        <f t="shared" si="18"/>
        <v>42146.47000000003</v>
      </c>
      <c r="Y38" s="1"/>
      <c r="Z38" s="5">
        <f t="shared" si="19"/>
        <v>0.20795479143051887</v>
      </c>
    </row>
    <row r="39" spans="1:26" s="24" customFormat="1" hidden="1" outlineLevel="2" x14ac:dyDescent="0.25">
      <c r="A39" s="28"/>
      <c r="B39" s="11" t="str">
        <f>CONCATENATE("          ", "6111", " - ", "F.I.C.A.")</f>
        <v xml:space="preserve">          6111 - F.I.C.A.</v>
      </c>
      <c r="C39" s="11"/>
      <c r="D39" s="6">
        <v>13179.45</v>
      </c>
      <c r="E39" s="2"/>
      <c r="F39" s="7">
        <f t="shared" si="12"/>
        <v>1.1832086528302088E-2</v>
      </c>
      <c r="G39" s="2"/>
      <c r="H39" s="6">
        <v>11394.82</v>
      </c>
      <c r="I39" s="2"/>
      <c r="J39" s="7">
        <f t="shared" si="13"/>
        <v>1.0163285595699647E-2</v>
      </c>
      <c r="K39" s="2"/>
      <c r="L39" s="6">
        <f t="shared" si="14"/>
        <v>1784.630000000001</v>
      </c>
      <c r="M39" s="2"/>
      <c r="N39" s="7">
        <f t="shared" si="15"/>
        <v>0.15661765609285633</v>
      </c>
      <c r="O39" s="11"/>
      <c r="P39" s="6">
        <v>41159.270000000004</v>
      </c>
      <c r="Q39" s="2"/>
      <c r="R39" s="7">
        <f t="shared" si="16"/>
        <v>2.2511542607134352E-2</v>
      </c>
      <c r="S39" s="2"/>
      <c r="T39" s="6">
        <v>37429.279999999999</v>
      </c>
      <c r="U39" s="2"/>
      <c r="V39" s="7">
        <f t="shared" si="17"/>
        <v>1.9791731667645793E-2</v>
      </c>
      <c r="W39" s="2"/>
      <c r="X39" s="6">
        <f t="shared" si="18"/>
        <v>3729.9900000000052</v>
      </c>
      <c r="Y39" s="2"/>
      <c r="Z39" s="7">
        <f t="shared" si="19"/>
        <v>9.9654334788165988E-2</v>
      </c>
    </row>
    <row r="40" spans="1:26" s="24" customFormat="1" hidden="1" outlineLevel="2" x14ac:dyDescent="0.25">
      <c r="A40" s="28"/>
      <c r="B40" s="11" t="str">
        <f>CONCATENATE("          ", "6112", " - ", "COMPENSATION INSURANCE")</f>
        <v xml:space="preserve">          6112 - COMPENSATION INSURANCE</v>
      </c>
      <c r="C40" s="11"/>
      <c r="D40" s="6">
        <v>9955.99</v>
      </c>
      <c r="E40" s="2"/>
      <c r="F40" s="7">
        <f t="shared" si="12"/>
        <v>8.9381677653400018E-3</v>
      </c>
      <c r="G40" s="2"/>
      <c r="H40" s="6"/>
      <c r="I40" s="2"/>
      <c r="J40" s="7">
        <f t="shared" si="13"/>
        <v>0</v>
      </c>
      <c r="K40" s="2"/>
      <c r="L40" s="6">
        <f t="shared" si="14"/>
        <v>9955.99</v>
      </c>
      <c r="M40" s="2"/>
      <c r="N40" s="7">
        <f t="shared" si="15"/>
        <v>0</v>
      </c>
      <c r="O40" s="11"/>
      <c r="P40" s="6">
        <v>22632.86</v>
      </c>
      <c r="Q40" s="2"/>
      <c r="R40" s="7">
        <f t="shared" si="16"/>
        <v>1.2378756771228128E-2</v>
      </c>
      <c r="S40" s="2"/>
      <c r="T40" s="6">
        <v>12419.22</v>
      </c>
      <c r="U40" s="2"/>
      <c r="V40" s="7">
        <f t="shared" si="17"/>
        <v>6.5669943360240962E-3</v>
      </c>
      <c r="W40" s="2"/>
      <c r="X40" s="6">
        <f t="shared" si="18"/>
        <v>10213.640000000001</v>
      </c>
      <c r="Y40" s="2"/>
      <c r="Z40" s="7">
        <f t="shared" si="19"/>
        <v>0.82240591599150359</v>
      </c>
    </row>
    <row r="41" spans="1:26" s="24" customFormat="1" hidden="1" outlineLevel="2" x14ac:dyDescent="0.25">
      <c r="A41" s="28"/>
      <c r="B41" s="11" t="str">
        <f>CONCATENATE("          ", "6113", " - ", "GROUP INSURANCE")</f>
        <v xml:space="preserve">          6113 - GROUP INSURANCE</v>
      </c>
      <c r="C41" s="11"/>
      <c r="D41" s="6">
        <v>27020.53</v>
      </c>
      <c r="E41" s="2"/>
      <c r="F41" s="7">
        <f t="shared" si="12"/>
        <v>2.4258163201088239E-2</v>
      </c>
      <c r="G41" s="2"/>
      <c r="H41" s="6">
        <v>29559.11</v>
      </c>
      <c r="I41" s="2"/>
      <c r="J41" s="7">
        <f t="shared" si="13"/>
        <v>2.6364407413605608E-2</v>
      </c>
      <c r="K41" s="2"/>
      <c r="L41" s="6">
        <f t="shared" si="14"/>
        <v>-2538.5800000000017</v>
      </c>
      <c r="M41" s="2"/>
      <c r="N41" s="7">
        <f t="shared" si="15"/>
        <v>-8.5881476133753742E-2</v>
      </c>
      <c r="O41" s="11"/>
      <c r="P41" s="6">
        <v>81449.560000000012</v>
      </c>
      <c r="Q41" s="2"/>
      <c r="R41" s="7">
        <f t="shared" si="16"/>
        <v>4.4547807584350882E-2</v>
      </c>
      <c r="S41" s="2"/>
      <c r="T41" s="6">
        <v>71105.19</v>
      </c>
      <c r="U41" s="2"/>
      <c r="V41" s="7">
        <f t="shared" si="17"/>
        <v>3.7598768682084484E-2</v>
      </c>
      <c r="W41" s="2"/>
      <c r="X41" s="6">
        <f t="shared" si="18"/>
        <v>10344.37000000001</v>
      </c>
      <c r="Y41" s="2"/>
      <c r="Z41" s="7">
        <f t="shared" si="19"/>
        <v>0.14547981659285361</v>
      </c>
    </row>
    <row r="42" spans="1:26" s="24" customFormat="1" hidden="1" outlineLevel="2" x14ac:dyDescent="0.25">
      <c r="A42" s="28"/>
      <c r="B42" s="11" t="str">
        <f>CONCATENATE("          ", "6114", " - ", "STATE UNEMPLOYMENT INSURANCE")</f>
        <v xml:space="preserve">          6114 - STATE UNEMPLOYMENT INSURANCE</v>
      </c>
      <c r="C42" s="11"/>
      <c r="D42" s="6">
        <v>788.53</v>
      </c>
      <c r="E42" s="2"/>
      <c r="F42" s="7">
        <f t="shared" si="12"/>
        <v>7.079168850112899E-4</v>
      </c>
      <c r="G42" s="2"/>
      <c r="H42" s="6">
        <v>729.71</v>
      </c>
      <c r="I42" s="2"/>
      <c r="J42" s="7">
        <f t="shared" si="13"/>
        <v>6.5084407933060733E-4</v>
      </c>
      <c r="K42" s="2"/>
      <c r="L42" s="6">
        <f t="shared" si="14"/>
        <v>58.819999999999936</v>
      </c>
      <c r="M42" s="2"/>
      <c r="N42" s="7">
        <f t="shared" si="15"/>
        <v>8.0607364569486417E-2</v>
      </c>
      <c r="O42" s="11"/>
      <c r="P42" s="6">
        <v>1740.27</v>
      </c>
      <c r="Q42" s="2"/>
      <c r="R42" s="7">
        <f t="shared" si="16"/>
        <v>9.5181868514474844E-4</v>
      </c>
      <c r="S42" s="2"/>
      <c r="T42" s="6">
        <v>1810.73</v>
      </c>
      <c r="U42" s="2"/>
      <c r="V42" s="7">
        <f t="shared" si="17"/>
        <v>9.5747185846364847E-4</v>
      </c>
      <c r="W42" s="2"/>
      <c r="X42" s="6">
        <f t="shared" si="18"/>
        <v>-70.460000000000036</v>
      </c>
      <c r="Y42" s="2"/>
      <c r="Z42" s="7">
        <f t="shared" si="19"/>
        <v>-3.8912482810800085E-2</v>
      </c>
    </row>
    <row r="43" spans="1:26" s="24" customFormat="1" hidden="1" outlineLevel="2" x14ac:dyDescent="0.25">
      <c r="A43" s="28"/>
      <c r="B43" s="11" t="str">
        <f>CONCATENATE("          ", "6115", " - ", "P.E.R.S.")</f>
        <v xml:space="preserve">          6115 - P.E.R.S.</v>
      </c>
      <c r="C43" s="11"/>
      <c r="D43" s="6">
        <v>7735.3</v>
      </c>
      <c r="E43" s="2"/>
      <c r="F43" s="7">
        <f t="shared" si="12"/>
        <v>6.944503672184737E-3</v>
      </c>
      <c r="G43" s="2"/>
      <c r="H43" s="6">
        <v>6865.54</v>
      </c>
      <c r="I43" s="2"/>
      <c r="J43" s="7">
        <f t="shared" si="13"/>
        <v>6.1235231261836309E-3</v>
      </c>
      <c r="K43" s="2"/>
      <c r="L43" s="6">
        <f t="shared" si="14"/>
        <v>869.76000000000022</v>
      </c>
      <c r="M43" s="2"/>
      <c r="N43" s="7">
        <f t="shared" si="15"/>
        <v>0.12668486382717167</v>
      </c>
      <c r="O43" s="11"/>
      <c r="P43" s="6">
        <v>22290.26</v>
      </c>
      <c r="Q43" s="2"/>
      <c r="R43" s="7">
        <f t="shared" si="16"/>
        <v>1.2191376030578347E-2</v>
      </c>
      <c r="S43" s="2"/>
      <c r="T43" s="6">
        <v>24678.11</v>
      </c>
      <c r="U43" s="2"/>
      <c r="V43" s="7">
        <f t="shared" si="17"/>
        <v>1.3049209901570278E-2</v>
      </c>
      <c r="W43" s="2"/>
      <c r="X43" s="6">
        <f t="shared" si="18"/>
        <v>-2387.8500000000022</v>
      </c>
      <c r="Y43" s="2"/>
      <c r="Z43" s="7">
        <f t="shared" si="19"/>
        <v>-9.6759841008894204E-2</v>
      </c>
    </row>
    <row r="44" spans="1:26" s="24" customFormat="1" hidden="1" outlineLevel="2" x14ac:dyDescent="0.25">
      <c r="A44" s="28"/>
      <c r="B44" s="11" t="str">
        <f>CONCATENATE("          ", "6117", " - ", "RETIREMENT STAFF HOURLY")</f>
        <v xml:space="preserve">          6117 - RETIREMENT STAFF HOURLY</v>
      </c>
      <c r="C44" s="11"/>
      <c r="D44" s="6">
        <v>84</v>
      </c>
      <c r="E44" s="2"/>
      <c r="F44" s="7">
        <f t="shared" si="12"/>
        <v>7.5412499639770654E-5</v>
      </c>
      <c r="G44" s="2"/>
      <c r="H44" s="6">
        <v>84</v>
      </c>
      <c r="I44" s="2"/>
      <c r="J44" s="7">
        <f t="shared" si="13"/>
        <v>7.4921410784792598E-5</v>
      </c>
      <c r="K44" s="2"/>
      <c r="L44" s="6">
        <f t="shared" si="14"/>
        <v>0</v>
      </c>
      <c r="M44" s="2"/>
      <c r="N44" s="7">
        <f t="shared" si="15"/>
        <v>0</v>
      </c>
      <c r="O44" s="11"/>
      <c r="P44" s="6">
        <v>196</v>
      </c>
      <c r="Q44" s="2"/>
      <c r="R44" s="7">
        <f t="shared" si="16"/>
        <v>1.071997231971882E-4</v>
      </c>
      <c r="S44" s="2"/>
      <c r="T44" s="6">
        <v>196</v>
      </c>
      <c r="U44" s="2"/>
      <c r="V44" s="7">
        <f t="shared" si="17"/>
        <v>1.0364023584900847E-4</v>
      </c>
      <c r="W44" s="2"/>
      <c r="X44" s="6">
        <f t="shared" si="18"/>
        <v>0</v>
      </c>
      <c r="Y44" s="2"/>
      <c r="Z44" s="7">
        <f t="shared" si="19"/>
        <v>0</v>
      </c>
    </row>
    <row r="45" spans="1:26" s="24" customFormat="1" hidden="1" outlineLevel="2" x14ac:dyDescent="0.25">
      <c r="A45" s="28"/>
      <c r="B45" s="11" t="str">
        <f>CONCATENATE("          ", "6118", " - ", "VACATION")</f>
        <v xml:space="preserve">          6118 - VACATION</v>
      </c>
      <c r="C45" s="11"/>
      <c r="D45" s="6">
        <v>10432.92</v>
      </c>
      <c r="E45" s="2"/>
      <c r="F45" s="7">
        <f t="shared" si="12"/>
        <v>9.366340187401857E-3</v>
      </c>
      <c r="G45" s="2"/>
      <c r="H45" s="6">
        <v>5894.58</v>
      </c>
      <c r="I45" s="2"/>
      <c r="J45" s="7">
        <f t="shared" si="13"/>
        <v>5.2575029712359856E-3</v>
      </c>
      <c r="K45" s="2"/>
      <c r="L45" s="6">
        <f t="shared" si="14"/>
        <v>4538.34</v>
      </c>
      <c r="M45" s="2"/>
      <c r="N45" s="7">
        <f t="shared" si="15"/>
        <v>0.76991744958928376</v>
      </c>
      <c r="O45" s="11"/>
      <c r="P45" s="6">
        <v>26965.350000000002</v>
      </c>
      <c r="Q45" s="2"/>
      <c r="R45" s="7">
        <f t="shared" si="16"/>
        <v>1.4748357428139281E-2</v>
      </c>
      <c r="S45" s="2"/>
      <c r="T45" s="6">
        <v>21904.070000000003</v>
      </c>
      <c r="U45" s="2"/>
      <c r="V45" s="7">
        <f t="shared" si="17"/>
        <v>1.158236214721016E-2</v>
      </c>
      <c r="W45" s="2"/>
      <c r="X45" s="6">
        <f t="shared" si="18"/>
        <v>5061.2799999999988</v>
      </c>
      <c r="Y45" s="2"/>
      <c r="Z45" s="7">
        <f t="shared" si="19"/>
        <v>0.23106573344588463</v>
      </c>
    </row>
    <row r="46" spans="1:26" s="24" customFormat="1" hidden="1" outlineLevel="2" x14ac:dyDescent="0.25">
      <c r="A46" s="28"/>
      <c r="B46" s="11" t="str">
        <f>CONCATENATE("          ", "6119", " - ", "SICK LEAVE")</f>
        <v xml:space="preserve">          6119 - SICK LEAVE</v>
      </c>
      <c r="C46" s="11"/>
      <c r="D46" s="6">
        <v>19511.259999999998</v>
      </c>
      <c r="E46" s="2"/>
      <c r="F46" s="7">
        <f t="shared" si="12"/>
        <v>1.7516581996684183E-2</v>
      </c>
      <c r="G46" s="2"/>
      <c r="H46" s="6">
        <v>4508.8100000000004</v>
      </c>
      <c r="I46" s="2"/>
      <c r="J46" s="7">
        <f t="shared" si="13"/>
        <v>4.021504835245009E-3</v>
      </c>
      <c r="K46" s="2"/>
      <c r="L46" s="6">
        <f t="shared" si="14"/>
        <v>15002.449999999997</v>
      </c>
      <c r="M46" s="2"/>
      <c r="N46" s="7">
        <f t="shared" si="15"/>
        <v>3.3273635393817873</v>
      </c>
      <c r="O46" s="11"/>
      <c r="P46" s="6">
        <v>38927.599999999999</v>
      </c>
      <c r="Q46" s="2"/>
      <c r="R46" s="7">
        <f t="shared" si="16"/>
        <v>2.1290958901688077E-2</v>
      </c>
      <c r="S46" s="2"/>
      <c r="T46" s="6">
        <v>22968.080000000002</v>
      </c>
      <c r="U46" s="2"/>
      <c r="V46" s="7">
        <f t="shared" si="17"/>
        <v>1.2144985858157625E-2</v>
      </c>
      <c r="W46" s="2"/>
      <c r="X46" s="6">
        <f t="shared" si="18"/>
        <v>15959.519999999997</v>
      </c>
      <c r="Y46" s="2"/>
      <c r="Z46" s="7">
        <f t="shared" si="19"/>
        <v>0.6948565139097389</v>
      </c>
    </row>
    <row r="47" spans="1:26" s="24" customFormat="1" hidden="1" outlineLevel="2" x14ac:dyDescent="0.25">
      <c r="A47" s="28"/>
      <c r="B47" s="11" t="str">
        <f>CONCATENATE("          ", "6156", " - ", "EMPLOYEE MEALS")</f>
        <v xml:space="preserve">          6156 - EMPLOYEE MEALS</v>
      </c>
      <c r="C47" s="11"/>
      <c r="D47" s="6">
        <v>3514.66</v>
      </c>
      <c r="E47" s="2"/>
      <c r="F47" s="7">
        <f t="shared" si="12"/>
        <v>3.1553487617132893E-3</v>
      </c>
      <c r="G47" s="2"/>
      <c r="H47" s="6">
        <v>4165.68</v>
      </c>
      <c r="I47" s="2"/>
      <c r="J47" s="7">
        <f t="shared" si="13"/>
        <v>3.7154597914047008E-3</v>
      </c>
      <c r="K47" s="2"/>
      <c r="L47" s="6">
        <f t="shared" si="14"/>
        <v>-651.02000000000044</v>
      </c>
      <c r="M47" s="2"/>
      <c r="N47" s="7">
        <f t="shared" si="15"/>
        <v>-0.15628180753202367</v>
      </c>
      <c r="O47" s="11"/>
      <c r="P47" s="6">
        <v>9456.61</v>
      </c>
      <c r="Q47" s="2"/>
      <c r="R47" s="7">
        <f t="shared" si="16"/>
        <v>5.1721733386926629E-3</v>
      </c>
      <c r="S47" s="2"/>
      <c r="T47" s="6">
        <v>10160.629999999999</v>
      </c>
      <c r="U47" s="2"/>
      <c r="V47" s="7">
        <f t="shared" si="17"/>
        <v>5.3727045386454632E-3</v>
      </c>
      <c r="W47" s="2"/>
      <c r="X47" s="6">
        <f t="shared" si="18"/>
        <v>-704.01999999999862</v>
      </c>
      <c r="Y47" s="2"/>
      <c r="Z47" s="7">
        <f t="shared" si="19"/>
        <v>-6.9289010622372693E-2</v>
      </c>
    </row>
    <row r="48" spans="1:26" s="29" customFormat="1" outlineLevel="1" collapsed="1" x14ac:dyDescent="0.25">
      <c r="A48" s="27"/>
      <c r="B48" s="14" t="str">
        <f>CONCATENATE("     ","*Payroll                                          ")</f>
        <v xml:space="preserve">     *Payroll                                          </v>
      </c>
      <c r="C48" s="14"/>
      <c r="D48" s="1">
        <f>SUM(OSRRefD22_1x_0)</f>
        <v>303601.33999999997</v>
      </c>
      <c r="E48" s="1"/>
      <c r="F48" s="5">
        <f t="shared" ref="F48:F55" si="20">IF(D$12=0,0,D48/D$12)</f>
        <v>0.27256352313552246</v>
      </c>
      <c r="G48" s="1"/>
      <c r="H48" s="1">
        <f>SUM(OSRRefH22_1x_0)</f>
        <v>266304.04000000004</v>
      </c>
      <c r="I48" s="1"/>
      <c r="J48" s="5">
        <f t="shared" ref="J48:J55" si="21">IF(H$12=0,0,H48/H$12)</f>
        <v>0.23752231398202195</v>
      </c>
      <c r="K48" s="1"/>
      <c r="L48" s="1">
        <f t="shared" ref="L48:L55" si="22">+D48-H48</f>
        <v>37297.29999999993</v>
      </c>
      <c r="M48" s="1"/>
      <c r="N48" s="5">
        <f t="shared" ref="N48:N55" si="23">IF(H48=0,0,L48/H48)</f>
        <v>0.14005532923946601</v>
      </c>
      <c r="O48" s="14"/>
      <c r="P48" s="1">
        <f>SUM(OSRRefP22_1x_0)</f>
        <v>727775.57000000007</v>
      </c>
      <c r="Q48" s="1"/>
      <c r="R48" s="5">
        <f t="shared" ref="R48:R55" si="24">IF(P$12=0,0,P48/P$12)</f>
        <v>0.39804765129426467</v>
      </c>
      <c r="S48" s="1"/>
      <c r="T48" s="1">
        <f>SUM(OSRRefT22_1x_0)</f>
        <v>655889.09</v>
      </c>
      <c r="U48" s="1"/>
      <c r="V48" s="5">
        <f t="shared" ref="V48:V55" si="25">IF(T$12=0,0,T48/T$12)</f>
        <v>0.34681887744077317</v>
      </c>
      <c r="W48" s="1"/>
      <c r="X48" s="1">
        <f t="shared" ref="X48:X55" si="26">+P48-T48</f>
        <v>71886.480000000098</v>
      </c>
      <c r="Y48" s="1"/>
      <c r="Z48" s="5">
        <f t="shared" ref="Z48:Z55" si="27">IF(T48=0,0,X48/T48)</f>
        <v>0.109601579132838</v>
      </c>
    </row>
    <row r="49" spans="1:26" s="24" customFormat="1" hidden="1" outlineLevel="2" x14ac:dyDescent="0.25">
      <c r="A49" s="28"/>
      <c r="B49" s="11" t="str">
        <f>CONCATENATE("          ", "6001", " - ", "ADMINISTRATIVE SALARIES")</f>
        <v xml:space="preserve">          6001 - ADMINISTRATIVE SALARIES</v>
      </c>
      <c r="C49" s="11"/>
      <c r="D49" s="6">
        <v>16211.87</v>
      </c>
      <c r="E49" s="2"/>
      <c r="F49" s="7">
        <f t="shared" si="20"/>
        <v>1.4554495720654866E-2</v>
      </c>
      <c r="G49" s="2"/>
      <c r="H49" s="6">
        <v>16139.070000000002</v>
      </c>
      <c r="I49" s="2"/>
      <c r="J49" s="7">
        <f t="shared" si="21"/>
        <v>1.4394784442315749E-2</v>
      </c>
      <c r="K49" s="2"/>
      <c r="L49" s="6">
        <f t="shared" si="22"/>
        <v>72.799999999999272</v>
      </c>
      <c r="M49" s="2"/>
      <c r="N49" s="7">
        <f t="shared" si="23"/>
        <v>4.5107927532379048E-3</v>
      </c>
      <c r="O49" s="11"/>
      <c r="P49" s="6">
        <v>51694.77</v>
      </c>
      <c r="Q49" s="2"/>
      <c r="R49" s="7">
        <f t="shared" si="24"/>
        <v>2.8273801197664837E-2</v>
      </c>
      <c r="S49" s="2"/>
      <c r="T49" s="6">
        <v>49239.77</v>
      </c>
      <c r="U49" s="2"/>
      <c r="V49" s="7">
        <f t="shared" si="25"/>
        <v>2.6036843754851692E-2</v>
      </c>
      <c r="W49" s="2"/>
      <c r="X49" s="6">
        <f t="shared" si="26"/>
        <v>2455</v>
      </c>
      <c r="Y49" s="2"/>
      <c r="Z49" s="7">
        <f t="shared" si="27"/>
        <v>4.9858072042172415E-2</v>
      </c>
    </row>
    <row r="50" spans="1:26" s="24" customFormat="1" hidden="1" outlineLevel="2" x14ac:dyDescent="0.25">
      <c r="A50" s="28"/>
      <c r="B50" s="11" t="str">
        <f>CONCATENATE("          ", "6002", " - ", "STAFF SALARIES")</f>
        <v xml:space="preserve">          6002 - STAFF SALARIES</v>
      </c>
      <c r="C50" s="11"/>
      <c r="D50" s="6">
        <v>71637.929999999993</v>
      </c>
      <c r="E50" s="2"/>
      <c r="F50" s="7">
        <f t="shared" si="20"/>
        <v>6.4314230599034697E-2</v>
      </c>
      <c r="G50" s="2"/>
      <c r="H50" s="6">
        <v>62116.029999999992</v>
      </c>
      <c r="I50" s="2"/>
      <c r="J50" s="7">
        <f t="shared" si="21"/>
        <v>5.5402626189886908E-2</v>
      </c>
      <c r="K50" s="2"/>
      <c r="L50" s="6">
        <f t="shared" si="22"/>
        <v>9521.9000000000015</v>
      </c>
      <c r="M50" s="2"/>
      <c r="N50" s="7">
        <f t="shared" si="23"/>
        <v>0.1532921534103194</v>
      </c>
      <c r="O50" s="11"/>
      <c r="P50" s="6">
        <v>214687</v>
      </c>
      <c r="Q50" s="2"/>
      <c r="R50" s="7">
        <f t="shared" si="24"/>
        <v>0.11742034170425888</v>
      </c>
      <c r="S50" s="2"/>
      <c r="T50" s="6">
        <v>207790.69</v>
      </c>
      <c r="U50" s="2"/>
      <c r="V50" s="7">
        <f t="shared" si="25"/>
        <v>0.10987487815728676</v>
      </c>
      <c r="W50" s="2"/>
      <c r="X50" s="6">
        <f t="shared" si="26"/>
        <v>6896.3099999999977</v>
      </c>
      <c r="Y50" s="2"/>
      <c r="Z50" s="7">
        <f t="shared" si="27"/>
        <v>3.3188734297961077E-2</v>
      </c>
    </row>
    <row r="51" spans="1:26" s="24" customFormat="1" hidden="1" outlineLevel="2" x14ac:dyDescent="0.25">
      <c r="A51" s="28"/>
      <c r="B51" s="11" t="str">
        <f>CONCATENATE("          ", "6004", " - ", "STAFF HOURLY")</f>
        <v xml:space="preserve">          6004 - STAFF HOURLY</v>
      </c>
      <c r="C51" s="11"/>
      <c r="D51" s="6">
        <v>19617.900000000001</v>
      </c>
      <c r="E51" s="2"/>
      <c r="F51" s="7">
        <f t="shared" si="20"/>
        <v>1.761231996051258E-2</v>
      </c>
      <c r="G51" s="2"/>
      <c r="H51" s="6">
        <v>12395.48</v>
      </c>
      <c r="I51" s="2"/>
      <c r="J51" s="7">
        <f t="shared" si="21"/>
        <v>1.1055795820889058E-2</v>
      </c>
      <c r="K51" s="2"/>
      <c r="L51" s="6">
        <f t="shared" si="22"/>
        <v>7222.4200000000019</v>
      </c>
      <c r="M51" s="2"/>
      <c r="N51" s="7">
        <f t="shared" si="23"/>
        <v>0.58266561682161577</v>
      </c>
      <c r="O51" s="11"/>
      <c r="P51" s="6">
        <v>52783.21</v>
      </c>
      <c r="Q51" s="2"/>
      <c r="R51" s="7">
        <f t="shared" si="24"/>
        <v>2.8869109701321713E-2</v>
      </c>
      <c r="S51" s="2"/>
      <c r="T51" s="6">
        <v>34227.46</v>
      </c>
      <c r="U51" s="2"/>
      <c r="V51" s="7">
        <f t="shared" si="25"/>
        <v>1.8098683810778077E-2</v>
      </c>
      <c r="W51" s="2"/>
      <c r="X51" s="6">
        <f t="shared" si="26"/>
        <v>18555.75</v>
      </c>
      <c r="Y51" s="2"/>
      <c r="Z51" s="7">
        <f t="shared" si="27"/>
        <v>0.54213049989686646</v>
      </c>
    </row>
    <row r="52" spans="1:26" s="24" customFormat="1" hidden="1" outlineLevel="2" x14ac:dyDescent="0.25">
      <c r="A52" s="28"/>
      <c r="B52" s="11" t="str">
        <f>CONCATENATE("          ", "6005", " - ", "TEMPORARY WAGES-HOURLY")</f>
        <v xml:space="preserve">          6005 - TEMPORARY WAGES-HOURLY</v>
      </c>
      <c r="C52" s="11"/>
      <c r="D52" s="6">
        <v>58234.52</v>
      </c>
      <c r="E52" s="2"/>
      <c r="F52" s="7">
        <f t="shared" si="20"/>
        <v>5.2281079982407337E-2</v>
      </c>
      <c r="G52" s="2"/>
      <c r="H52" s="6">
        <v>46964.990000000005</v>
      </c>
      <c r="I52" s="2"/>
      <c r="J52" s="7">
        <f t="shared" si="21"/>
        <v>4.1889087003496153E-2</v>
      </c>
      <c r="K52" s="2"/>
      <c r="L52" s="6">
        <f t="shared" si="22"/>
        <v>11269.529999999992</v>
      </c>
      <c r="M52" s="2"/>
      <c r="N52" s="7">
        <f t="shared" si="23"/>
        <v>0.23995597571723087</v>
      </c>
      <c r="O52" s="11"/>
      <c r="P52" s="6">
        <v>130289.54000000001</v>
      </c>
      <c r="Q52" s="2"/>
      <c r="R52" s="7">
        <f t="shared" si="24"/>
        <v>7.1260217466780518E-2</v>
      </c>
      <c r="S52" s="2"/>
      <c r="T52" s="6">
        <v>109610.42</v>
      </c>
      <c r="U52" s="2"/>
      <c r="V52" s="7">
        <f t="shared" si="25"/>
        <v>5.7959437654637118E-2</v>
      </c>
      <c r="W52" s="2"/>
      <c r="X52" s="6">
        <f t="shared" si="26"/>
        <v>20679.12000000001</v>
      </c>
      <c r="Y52" s="2"/>
      <c r="Z52" s="7">
        <f t="shared" si="27"/>
        <v>0.1886601657032243</v>
      </c>
    </row>
    <row r="53" spans="1:26" s="24" customFormat="1" hidden="1" outlineLevel="2" x14ac:dyDescent="0.25">
      <c r="A53" s="28"/>
      <c r="B53" s="11" t="str">
        <f>CONCATENATE("          ", "6006", " - ", "TEMPORARY PART TIME")</f>
        <v xml:space="preserve">          6006 - TEMPORARY PART TIME</v>
      </c>
      <c r="C53" s="11"/>
      <c r="D53" s="6">
        <v>4649.8500000000004</v>
      </c>
      <c r="E53" s="2"/>
      <c r="F53" s="7">
        <f t="shared" si="20"/>
        <v>4.1744858505950904E-3</v>
      </c>
      <c r="G53" s="2"/>
      <c r="H53" s="6">
        <v>5859.58</v>
      </c>
      <c r="I53" s="2"/>
      <c r="J53" s="7">
        <f t="shared" si="21"/>
        <v>5.2262857167423215E-3</v>
      </c>
      <c r="K53" s="2"/>
      <c r="L53" s="6">
        <f t="shared" si="22"/>
        <v>-1209.7299999999996</v>
      </c>
      <c r="M53" s="2"/>
      <c r="N53" s="7">
        <f t="shared" si="23"/>
        <v>-0.20645336355165381</v>
      </c>
      <c r="O53" s="11"/>
      <c r="P53" s="6">
        <v>10234.120000000001</v>
      </c>
      <c r="Q53" s="2"/>
      <c r="R53" s="7">
        <f t="shared" si="24"/>
        <v>5.5974226079939168E-3</v>
      </c>
      <c r="S53" s="2"/>
      <c r="T53" s="6">
        <v>10254.709999999999</v>
      </c>
      <c r="U53" s="2"/>
      <c r="V53" s="7">
        <f t="shared" si="25"/>
        <v>5.4224518518529875E-3</v>
      </c>
      <c r="W53" s="2"/>
      <c r="X53" s="6">
        <f t="shared" si="26"/>
        <v>-20.589999999998327</v>
      </c>
      <c r="Y53" s="2"/>
      <c r="Z53" s="7">
        <f t="shared" si="27"/>
        <v>-2.0078578526353578E-3</v>
      </c>
    </row>
    <row r="54" spans="1:26" s="24" customFormat="1" hidden="1" outlineLevel="2" x14ac:dyDescent="0.25">
      <c r="A54" s="28"/>
      <c r="B54" s="11" t="str">
        <f>CONCATENATE("          ", "6007", " - ", "STUDENT HOURLY")</f>
        <v xml:space="preserve">          6007 - STUDENT HOURLY</v>
      </c>
      <c r="C54" s="11"/>
      <c r="D54" s="6">
        <v>127881.70999999999</v>
      </c>
      <c r="E54" s="2"/>
      <c r="F54" s="7">
        <f t="shared" si="20"/>
        <v>0.11480808820605065</v>
      </c>
      <c r="G54" s="2"/>
      <c r="H54" s="6">
        <v>113668.05</v>
      </c>
      <c r="I54" s="2"/>
      <c r="J54" s="7">
        <f t="shared" si="21"/>
        <v>0.10138298413281363</v>
      </c>
      <c r="K54" s="2"/>
      <c r="L54" s="6">
        <f t="shared" si="22"/>
        <v>14213.659999999989</v>
      </c>
      <c r="M54" s="2"/>
      <c r="N54" s="7">
        <f t="shared" si="23"/>
        <v>0.12504534035729467</v>
      </c>
      <c r="O54" s="11"/>
      <c r="P54" s="6">
        <v>255381.66999999998</v>
      </c>
      <c r="Q54" s="2"/>
      <c r="R54" s="7">
        <f t="shared" si="24"/>
        <v>0.13967777721242683</v>
      </c>
      <c r="S54" s="2"/>
      <c r="T54" s="6">
        <v>225438.75999999998</v>
      </c>
      <c r="U54" s="2"/>
      <c r="V54" s="7">
        <f t="shared" si="25"/>
        <v>0.11920676661177558</v>
      </c>
      <c r="W54" s="2"/>
      <c r="X54" s="6">
        <f t="shared" si="26"/>
        <v>29942.910000000003</v>
      </c>
      <c r="Y54" s="2"/>
      <c r="Z54" s="7">
        <f t="shared" si="27"/>
        <v>0.13282059393868209</v>
      </c>
    </row>
    <row r="55" spans="1:26" s="24" customFormat="1" hidden="1" outlineLevel="2" x14ac:dyDescent="0.25">
      <c r="A55" s="28"/>
      <c r="B55" s="11" t="str">
        <f>CONCATENATE("          ", "6008", " - ", "STUDENT HOURLY-FICA EXEMPT")</f>
        <v xml:space="preserve">          6008 - STUDENT HOURLY-FICA EXEMPT</v>
      </c>
      <c r="C55" s="11"/>
      <c r="D55" s="6">
        <v>5367.56</v>
      </c>
      <c r="E55" s="2"/>
      <c r="F55" s="7">
        <f t="shared" si="20"/>
        <v>4.8188228162672313E-3</v>
      </c>
      <c r="G55" s="2"/>
      <c r="H55" s="6">
        <v>9160.84</v>
      </c>
      <c r="I55" s="2"/>
      <c r="J55" s="7">
        <f t="shared" si="21"/>
        <v>8.1707506758780888E-3</v>
      </c>
      <c r="K55" s="2"/>
      <c r="L55" s="6">
        <f t="shared" si="22"/>
        <v>-3793.2799999999997</v>
      </c>
      <c r="M55" s="2"/>
      <c r="N55" s="7">
        <f t="shared" si="23"/>
        <v>-0.41407556512284899</v>
      </c>
      <c r="O55" s="11"/>
      <c r="P55" s="6">
        <v>12705.26</v>
      </c>
      <c r="Q55" s="2"/>
      <c r="R55" s="7">
        <f t="shared" si="24"/>
        <v>6.9489814038178948E-3</v>
      </c>
      <c r="S55" s="2"/>
      <c r="T55" s="6">
        <v>19327.28</v>
      </c>
      <c r="U55" s="2"/>
      <c r="V55" s="7">
        <f t="shared" si="25"/>
        <v>1.021981559959094E-2</v>
      </c>
      <c r="W55" s="2"/>
      <c r="X55" s="6">
        <f t="shared" si="26"/>
        <v>-6622.0199999999986</v>
      </c>
      <c r="Y55" s="2"/>
      <c r="Z55" s="7">
        <f t="shared" si="27"/>
        <v>-0.34262555310421328</v>
      </c>
    </row>
    <row r="56" spans="1:26" s="29" customFormat="1" outlineLevel="1" collapsed="1" x14ac:dyDescent="0.25">
      <c r="A56" s="27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1482.09</v>
      </c>
      <c r="E56" s="1"/>
      <c r="F56" s="5">
        <f t="shared" ref="F56:F65" si="28">IF(D$12=0,0,D56/D$12)</f>
        <v>1.3305727570369962E-3</v>
      </c>
      <c r="G56" s="1"/>
      <c r="H56" s="1">
        <f>SUM(OSRRefH22_2x_0)</f>
        <v>2475.5100000000002</v>
      </c>
      <c r="I56" s="1"/>
      <c r="J56" s="5">
        <f t="shared" ref="J56:J65" si="29">IF(H$12=0,0,H56/H$12)</f>
        <v>2.2079607334745469E-3</v>
      </c>
      <c r="K56" s="1"/>
      <c r="L56" s="1">
        <f t="shared" ref="L56:L65" si="30">+D56-H56</f>
        <v>-993.4200000000003</v>
      </c>
      <c r="M56" s="1"/>
      <c r="N56" s="5">
        <f t="shared" ref="N56:N65" si="31">IF(H56=0,0,L56/H56)</f>
        <v>-0.4012991262406535</v>
      </c>
      <c r="O56" s="14"/>
      <c r="P56" s="1">
        <f>SUM(OSRRefP22_2x_0)</f>
        <v>7255.64</v>
      </c>
      <c r="Q56" s="1"/>
      <c r="R56" s="5">
        <f t="shared" ref="R56:R65" si="32">IF(P$12=0,0,P56/P$12)</f>
        <v>3.968380610298197E-3</v>
      </c>
      <c r="S56" s="1"/>
      <c r="T56" s="1">
        <f>SUM(OSRRefT22_2x_0)</f>
        <v>6946.89</v>
      </c>
      <c r="U56" s="1"/>
      <c r="V56" s="5">
        <f t="shared" ref="V56:V65" si="33">IF(T$12=0,0,T56/T$12)</f>
        <v>3.6733536633526452E-3</v>
      </c>
      <c r="W56" s="1"/>
      <c r="X56" s="1">
        <f t="shared" ref="X56:X65" si="34">+P56-T56</f>
        <v>308.75</v>
      </c>
      <c r="Y56" s="1"/>
      <c r="Z56" s="5">
        <f t="shared" ref="Z56:Z65" si="35">IF(T56=0,0,X56/T56)</f>
        <v>4.4444348478239901E-2</v>
      </c>
    </row>
    <row r="57" spans="1:26" s="24" customFormat="1" hidden="1" outlineLevel="2" x14ac:dyDescent="0.25">
      <c r="A57" s="28"/>
      <c r="B57" s="11" t="str">
        <f>CONCATENATE("          ", "6362", " - ", "ADVERTISING EXPENSE")</f>
        <v xml:space="preserve">          6362 - ADVERTISING EXPENSE</v>
      </c>
      <c r="C57" s="11"/>
      <c r="D57" s="6">
        <v>1482.09</v>
      </c>
      <c r="E57" s="2"/>
      <c r="F57" s="7">
        <f t="shared" si="28"/>
        <v>1.3305727570369962E-3</v>
      </c>
      <c r="G57" s="2"/>
      <c r="H57" s="6">
        <v>2475.5100000000002</v>
      </c>
      <c r="I57" s="2"/>
      <c r="J57" s="7">
        <f t="shared" si="29"/>
        <v>2.2079607334745469E-3</v>
      </c>
      <c r="K57" s="2"/>
      <c r="L57" s="6">
        <f t="shared" si="30"/>
        <v>-993.4200000000003</v>
      </c>
      <c r="M57" s="2"/>
      <c r="N57" s="7">
        <f t="shared" si="31"/>
        <v>-0.4012991262406535</v>
      </c>
      <c r="O57" s="11"/>
      <c r="P57" s="6">
        <v>7255.64</v>
      </c>
      <c r="Q57" s="2"/>
      <c r="R57" s="7">
        <f t="shared" si="32"/>
        <v>3.968380610298197E-3</v>
      </c>
      <c r="S57" s="2"/>
      <c r="T57" s="6">
        <v>6946.89</v>
      </c>
      <c r="U57" s="2"/>
      <c r="V57" s="7">
        <f t="shared" si="33"/>
        <v>3.6733536633526452E-3</v>
      </c>
      <c r="W57" s="2"/>
      <c r="X57" s="6">
        <f t="shared" si="34"/>
        <v>308.75</v>
      </c>
      <c r="Y57" s="2"/>
      <c r="Z57" s="7">
        <f t="shared" si="35"/>
        <v>4.4444348478239901E-2</v>
      </c>
    </row>
    <row r="58" spans="1:26" s="29" customFormat="1" outlineLevel="1" collapsed="1" x14ac:dyDescent="0.25">
      <c r="A58" s="27"/>
      <c r="B58" s="14" t="str">
        <f>CONCATENATE("     ","Bad Debts/Over/Short                              ")</f>
        <v xml:space="preserve">     Bad Debts/Over/Short                              </v>
      </c>
      <c r="C58" s="14"/>
      <c r="D58" s="1">
        <f>SUM(OSRRefD22_3x_0)</f>
        <v>-167.84</v>
      </c>
      <c r="E58" s="1"/>
      <c r="F58" s="5">
        <f t="shared" si="28"/>
        <v>-1.506813564230846E-4</v>
      </c>
      <c r="G58" s="1"/>
      <c r="H58" s="1">
        <f>SUM(OSRRefH22_3x_0)</f>
        <v>-10.25</v>
      </c>
      <c r="I58" s="1"/>
      <c r="J58" s="5">
        <f t="shared" si="29"/>
        <v>-9.1421959588586215E-6</v>
      </c>
      <c r="K58" s="1"/>
      <c r="L58" s="1">
        <f t="shared" si="30"/>
        <v>-157.59</v>
      </c>
      <c r="M58" s="1"/>
      <c r="N58" s="5">
        <f t="shared" si="31"/>
        <v>15.374634146341464</v>
      </c>
      <c r="O58" s="14"/>
      <c r="P58" s="1">
        <f>SUM(OSRRefP22_3x_0)</f>
        <v>-188.1</v>
      </c>
      <c r="Q58" s="1"/>
      <c r="R58" s="5">
        <f t="shared" si="32"/>
        <v>-1.028789180275056E-4</v>
      </c>
      <c r="S58" s="1"/>
      <c r="T58" s="1">
        <f>SUM(OSRRefT22_3x_0)</f>
        <v>161.76</v>
      </c>
      <c r="U58" s="1"/>
      <c r="V58" s="5">
        <f t="shared" si="33"/>
        <v>8.5534921178242909E-5</v>
      </c>
      <c r="W58" s="1"/>
      <c r="X58" s="1">
        <f t="shared" si="34"/>
        <v>-349.86</v>
      </c>
      <c r="Y58" s="1"/>
      <c r="Z58" s="5">
        <f t="shared" si="35"/>
        <v>-2.1628338278931754</v>
      </c>
    </row>
    <row r="59" spans="1:26" s="24" customFormat="1" hidden="1" outlineLevel="2" x14ac:dyDescent="0.25">
      <c r="A59" s="28"/>
      <c r="B59" s="11" t="str">
        <f>CONCATENATE("          ", "6272", " - ", "CASH (OVER/SHORT)")</f>
        <v xml:space="preserve">          6272 - CASH (OVER/SHORT)</v>
      </c>
      <c r="C59" s="11"/>
      <c r="D59" s="6">
        <v>-167.84</v>
      </c>
      <c r="E59" s="2"/>
      <c r="F59" s="7">
        <f t="shared" si="28"/>
        <v>-1.506813564230846E-4</v>
      </c>
      <c r="G59" s="2"/>
      <c r="H59" s="6">
        <v>-10.25</v>
      </c>
      <c r="I59" s="2"/>
      <c r="J59" s="7">
        <f t="shared" si="29"/>
        <v>-9.1421959588586215E-6</v>
      </c>
      <c r="K59" s="2"/>
      <c r="L59" s="6">
        <f t="shared" si="30"/>
        <v>-157.59</v>
      </c>
      <c r="M59" s="2"/>
      <c r="N59" s="7">
        <f t="shared" si="31"/>
        <v>15.374634146341464</v>
      </c>
      <c r="O59" s="11"/>
      <c r="P59" s="6">
        <v>-188.1</v>
      </c>
      <c r="Q59" s="2"/>
      <c r="R59" s="7">
        <f t="shared" si="32"/>
        <v>-1.028789180275056E-4</v>
      </c>
      <c r="S59" s="2"/>
      <c r="T59" s="6">
        <v>161.76</v>
      </c>
      <c r="U59" s="2"/>
      <c r="V59" s="7">
        <f t="shared" si="33"/>
        <v>8.5534921178242909E-5</v>
      </c>
      <c r="W59" s="2"/>
      <c r="X59" s="6">
        <f t="shared" si="34"/>
        <v>-349.86</v>
      </c>
      <c r="Y59" s="2"/>
      <c r="Z59" s="7">
        <f t="shared" si="35"/>
        <v>-2.1628338278931754</v>
      </c>
    </row>
    <row r="60" spans="1:26" s="29" customFormat="1" outlineLevel="1" collapsed="1" x14ac:dyDescent="0.25">
      <c r="A60" s="27"/>
      <c r="B60" s="14" t="str">
        <f>CONCATENATE("     ","Bank/card Fees                                    ")</f>
        <v xml:space="preserve">     Bank/card Fees                                    </v>
      </c>
      <c r="C60" s="14"/>
      <c r="D60" s="1">
        <f>SUM(OSRRefD22_4x_0)</f>
        <v>35032.15</v>
      </c>
      <c r="E60" s="1"/>
      <c r="F60" s="5">
        <f t="shared" si="28"/>
        <v>3.1450738086373706E-2</v>
      </c>
      <c r="G60" s="1"/>
      <c r="H60" s="1">
        <f>SUM(OSRRefH22_4x_0)</f>
        <v>33878.049999999996</v>
      </c>
      <c r="I60" s="1"/>
      <c r="J60" s="5">
        <f t="shared" si="29"/>
        <v>3.021656310283027E-2</v>
      </c>
      <c r="K60" s="1"/>
      <c r="L60" s="1">
        <f t="shared" si="30"/>
        <v>1154.1000000000058</v>
      </c>
      <c r="M60" s="1"/>
      <c r="N60" s="5">
        <f t="shared" si="31"/>
        <v>3.4066305469175648E-2</v>
      </c>
      <c r="O60" s="14"/>
      <c r="P60" s="1">
        <f>SUM(OSRRefP22_4x_0)</f>
        <v>54005.219999999994</v>
      </c>
      <c r="Q60" s="1"/>
      <c r="R60" s="5">
        <f t="shared" si="32"/>
        <v>2.9537472628588017E-2</v>
      </c>
      <c r="S60" s="1"/>
      <c r="T60" s="1">
        <f>SUM(OSRRefT22_4x_0)</f>
        <v>51544.83</v>
      </c>
      <c r="U60" s="1"/>
      <c r="V60" s="5">
        <f t="shared" si="33"/>
        <v>2.7255705806107384E-2</v>
      </c>
      <c r="W60" s="1"/>
      <c r="X60" s="1">
        <f t="shared" si="34"/>
        <v>2460.3899999999921</v>
      </c>
      <c r="Y60" s="1"/>
      <c r="Z60" s="5">
        <f t="shared" si="35"/>
        <v>4.773301221480393E-2</v>
      </c>
    </row>
    <row r="61" spans="1:26" s="24" customFormat="1" hidden="1" outlineLevel="2" x14ac:dyDescent="0.25">
      <c r="A61" s="28"/>
      <c r="B61" s="11" t="str">
        <f>CONCATENATE("          ", "6381", " - ", "BANK/CREDIT CARD FEES")</f>
        <v xml:space="preserve">          6381 - BANK/CREDIT CARD FEES</v>
      </c>
      <c r="C61" s="11"/>
      <c r="D61" s="6">
        <v>35032.15</v>
      </c>
      <c r="E61" s="2"/>
      <c r="F61" s="7">
        <f t="shared" si="28"/>
        <v>3.1450738086373706E-2</v>
      </c>
      <c r="G61" s="2"/>
      <c r="H61" s="6">
        <v>33878.049999999996</v>
      </c>
      <c r="I61" s="2"/>
      <c r="J61" s="7">
        <f t="shared" si="29"/>
        <v>3.021656310283027E-2</v>
      </c>
      <c r="K61" s="2"/>
      <c r="L61" s="6">
        <f t="shared" si="30"/>
        <v>1154.1000000000058</v>
      </c>
      <c r="M61" s="2"/>
      <c r="N61" s="7">
        <f t="shared" si="31"/>
        <v>3.4066305469175648E-2</v>
      </c>
      <c r="O61" s="11"/>
      <c r="P61" s="6">
        <v>54005.219999999994</v>
      </c>
      <c r="Q61" s="2"/>
      <c r="R61" s="7">
        <f t="shared" si="32"/>
        <v>2.9537472628588017E-2</v>
      </c>
      <c r="S61" s="2"/>
      <c r="T61" s="6">
        <v>51544.83</v>
      </c>
      <c r="U61" s="2"/>
      <c r="V61" s="7">
        <f t="shared" si="33"/>
        <v>2.7255705806107384E-2</v>
      </c>
      <c r="W61" s="2"/>
      <c r="X61" s="6">
        <f t="shared" si="34"/>
        <v>2460.3899999999921</v>
      </c>
      <c r="Y61" s="2"/>
      <c r="Z61" s="7">
        <f t="shared" si="35"/>
        <v>4.773301221480393E-2</v>
      </c>
    </row>
    <row r="62" spans="1:26" s="29" customFormat="1" outlineLevel="1" collapsed="1" x14ac:dyDescent="0.25">
      <c r="A62" s="27"/>
      <c r="B62" s="14" t="str">
        <f>CONCATENATE("     ","Depreciation                                      ")</f>
        <v xml:space="preserve">     Depreciation                                      </v>
      </c>
      <c r="C62" s="14"/>
      <c r="D62" s="1">
        <f>SUM(OSRRefD22_5x_0)</f>
        <v>47974.53</v>
      </c>
      <c r="E62" s="1"/>
      <c r="F62" s="5">
        <f t="shared" si="28"/>
        <v>4.3069990789799596E-2</v>
      </c>
      <c r="G62" s="1"/>
      <c r="H62" s="1">
        <f>SUM(OSRRefH22_5x_0)</f>
        <v>50133.29</v>
      </c>
      <c r="I62" s="1"/>
      <c r="J62" s="5">
        <f t="shared" si="29"/>
        <v>4.4714962072418277E-2</v>
      </c>
      <c r="K62" s="1"/>
      <c r="L62" s="1">
        <f t="shared" si="30"/>
        <v>-2158.760000000002</v>
      </c>
      <c r="M62" s="1"/>
      <c r="N62" s="5">
        <f t="shared" si="31"/>
        <v>-4.3060409560194475E-2</v>
      </c>
      <c r="O62" s="14"/>
      <c r="P62" s="1">
        <f>SUM(OSRRefP22_5x_0)</f>
        <v>143923.59</v>
      </c>
      <c r="Q62" s="1"/>
      <c r="R62" s="5">
        <f t="shared" si="32"/>
        <v>7.8717188824212261E-2</v>
      </c>
      <c r="S62" s="1"/>
      <c r="T62" s="1">
        <f>SUM(OSRRefT22_5x_0)</f>
        <v>150399.87</v>
      </c>
      <c r="U62" s="1"/>
      <c r="V62" s="5">
        <f t="shared" si="33"/>
        <v>7.9527948971735776E-2</v>
      </c>
      <c r="W62" s="1"/>
      <c r="X62" s="1">
        <f t="shared" si="34"/>
        <v>-6476.2799999999988</v>
      </c>
      <c r="Y62" s="1"/>
      <c r="Z62" s="5">
        <f t="shared" si="35"/>
        <v>-4.3060409560194426E-2</v>
      </c>
    </row>
    <row r="63" spans="1:26" s="24" customFormat="1" hidden="1" outlineLevel="2" x14ac:dyDescent="0.25">
      <c r="A63" s="28"/>
      <c r="B63" s="11" t="str">
        <f>CONCATENATE("          ", "6321", " - ", "BUILDING DEPRECIATION")</f>
        <v xml:space="preserve">          6321 - BUILDING DEPRECIATION</v>
      </c>
      <c r="C63" s="11"/>
      <c r="D63" s="6">
        <v>29123.47</v>
      </c>
      <c r="E63" s="2"/>
      <c r="F63" s="7">
        <f t="shared" si="28"/>
        <v>2.6146115129569898E-2</v>
      </c>
      <c r="G63" s="2"/>
      <c r="H63" s="6">
        <v>32921.64</v>
      </c>
      <c r="I63" s="2"/>
      <c r="J63" s="7">
        <f t="shared" si="29"/>
        <v>2.9363520406536423E-2</v>
      </c>
      <c r="K63" s="2"/>
      <c r="L63" s="6">
        <f t="shared" si="30"/>
        <v>-3798.1699999999983</v>
      </c>
      <c r="M63" s="2"/>
      <c r="N63" s="7">
        <f t="shared" si="31"/>
        <v>-0.11537001194351187</v>
      </c>
      <c r="O63" s="11"/>
      <c r="P63" s="6">
        <v>87370.41</v>
      </c>
      <c r="Q63" s="2"/>
      <c r="R63" s="7">
        <f t="shared" si="32"/>
        <v>4.7786141671555329E-2</v>
      </c>
      <c r="S63" s="2"/>
      <c r="T63" s="6">
        <v>98764.920000000013</v>
      </c>
      <c r="U63" s="2"/>
      <c r="V63" s="7">
        <f t="shared" si="33"/>
        <v>5.2224589808206399E-2</v>
      </c>
      <c r="W63" s="2"/>
      <c r="X63" s="6">
        <f t="shared" si="34"/>
        <v>-11394.510000000009</v>
      </c>
      <c r="Y63" s="2"/>
      <c r="Z63" s="7">
        <f t="shared" si="35"/>
        <v>-0.11537001194351201</v>
      </c>
    </row>
    <row r="64" spans="1:26" s="24" customFormat="1" hidden="1" outlineLevel="2" x14ac:dyDescent="0.25">
      <c r="A64" s="28"/>
      <c r="B64" s="11" t="str">
        <f>CONCATENATE("          ", "6322", " - ", "EQUIPMENT DEPRECIATION EXPENSE")</f>
        <v xml:space="preserve">          6322 - EQUIPMENT DEPRECIATION EXPENSE</v>
      </c>
      <c r="C64" s="11"/>
      <c r="D64" s="6">
        <v>18426.809999999998</v>
      </c>
      <c r="E64" s="2"/>
      <c r="F64" s="7">
        <f t="shared" si="28"/>
        <v>1.6542997648656216E-2</v>
      </c>
      <c r="G64" s="2"/>
      <c r="H64" s="6">
        <v>16787.400000000001</v>
      </c>
      <c r="I64" s="2"/>
      <c r="J64" s="7">
        <f t="shared" si="29"/>
        <v>1.4973043945340802E-2</v>
      </c>
      <c r="K64" s="2"/>
      <c r="L64" s="6">
        <f t="shared" si="30"/>
        <v>1639.4099999999962</v>
      </c>
      <c r="M64" s="2"/>
      <c r="N64" s="7">
        <f t="shared" si="31"/>
        <v>9.7657171450015845E-2</v>
      </c>
      <c r="O64" s="11"/>
      <c r="P64" s="6">
        <v>55280.43</v>
      </c>
      <c r="Q64" s="2"/>
      <c r="R64" s="7">
        <f t="shared" si="32"/>
        <v>3.0234932623579278E-2</v>
      </c>
      <c r="S64" s="2"/>
      <c r="T64" s="6">
        <v>50362.2</v>
      </c>
      <c r="U64" s="2"/>
      <c r="V64" s="7">
        <f t="shared" si="33"/>
        <v>2.6630358601402726E-2</v>
      </c>
      <c r="W64" s="2"/>
      <c r="X64" s="6">
        <f t="shared" si="34"/>
        <v>4918.2300000000032</v>
      </c>
      <c r="Y64" s="2"/>
      <c r="Z64" s="7">
        <f t="shared" si="35"/>
        <v>9.765717145001615E-2</v>
      </c>
    </row>
    <row r="65" spans="1:26" s="24" customFormat="1" hidden="1" outlineLevel="2" x14ac:dyDescent="0.25">
      <c r="A65" s="28"/>
      <c r="B65" s="11" t="str">
        <f>CONCATENATE("          ", "6326", " - ", "VEHICLES DEPRECIATION EXPENSE")</f>
        <v xml:space="preserve">          6326 - VEHICLES DEPRECIATION EXPENSE</v>
      </c>
      <c r="C65" s="11"/>
      <c r="D65" s="6">
        <v>424.25</v>
      </c>
      <c r="E65" s="2"/>
      <c r="F65" s="7">
        <f t="shared" si="28"/>
        <v>3.8087801157348449E-4</v>
      </c>
      <c r="G65" s="2"/>
      <c r="H65" s="6">
        <v>424.25</v>
      </c>
      <c r="I65" s="2"/>
      <c r="J65" s="7">
        <f t="shared" si="29"/>
        <v>3.7839772054105075E-4</v>
      </c>
      <c r="K65" s="2"/>
      <c r="L65" s="6">
        <f t="shared" si="30"/>
        <v>0</v>
      </c>
      <c r="M65" s="2"/>
      <c r="N65" s="7">
        <f t="shared" si="31"/>
        <v>0</v>
      </c>
      <c r="O65" s="11"/>
      <c r="P65" s="6">
        <v>1272.75</v>
      </c>
      <c r="Q65" s="2"/>
      <c r="R65" s="7">
        <f t="shared" si="32"/>
        <v>6.9611452907765957E-4</v>
      </c>
      <c r="S65" s="2"/>
      <c r="T65" s="6">
        <v>1272.75</v>
      </c>
      <c r="U65" s="2"/>
      <c r="V65" s="7">
        <f t="shared" si="33"/>
        <v>6.7300056212666085E-4</v>
      </c>
      <c r="W65" s="2"/>
      <c r="X65" s="6">
        <f t="shared" si="34"/>
        <v>0</v>
      </c>
      <c r="Y65" s="2"/>
      <c r="Z65" s="7">
        <f t="shared" si="35"/>
        <v>0</v>
      </c>
    </row>
    <row r="66" spans="1:26" s="29" customFormat="1" outlineLevel="1" collapsed="1" x14ac:dyDescent="0.25">
      <c r="A66" s="27"/>
      <c r="B66" s="14" t="str">
        <f>CONCATENATE("     ","Discounts and Markdowns                           ")</f>
        <v xml:space="preserve">     Discounts and Markdowns                           </v>
      </c>
      <c r="C66" s="14"/>
      <c r="D66" s="1">
        <f>SUM(OSRRefD22_6x_0)</f>
        <v>11.81</v>
      </c>
      <c r="E66" s="1"/>
      <c r="F66" s="5">
        <f t="shared" ref="F66:F78" si="36">IF(D$12=0,0,D66/D$12)</f>
        <v>1.0602638342210613E-5</v>
      </c>
      <c r="G66" s="1"/>
      <c r="H66" s="1">
        <f>SUM(OSRRefH22_6x_0)</f>
        <v>8.4499999999999993</v>
      </c>
      <c r="I66" s="1"/>
      <c r="J66" s="5">
        <f t="shared" ref="J66:J78" si="37">IF(H$12=0,0,H66/H$12)</f>
        <v>7.5367371563273502E-6</v>
      </c>
      <c r="K66" s="1"/>
      <c r="L66" s="1">
        <f t="shared" ref="L66:L78" si="38">+D66-H66</f>
        <v>3.3600000000000012</v>
      </c>
      <c r="M66" s="1"/>
      <c r="N66" s="5">
        <f t="shared" ref="N66:N78" si="39">IF(H66=0,0,L66/H66)</f>
        <v>0.39763313609467471</v>
      </c>
      <c r="O66" s="14"/>
      <c r="P66" s="1">
        <f>SUM(OSRRefP22_6x_0)</f>
        <v>31.9</v>
      </c>
      <c r="Q66" s="1"/>
      <c r="R66" s="5">
        <f t="shared" ref="R66:R78" si="40">IF(P$12=0,0,P66/P$12)</f>
        <v>1.7447301887705631E-5</v>
      </c>
      <c r="S66" s="1"/>
      <c r="T66" s="1">
        <f>SUM(OSRRefT22_6x_0)</f>
        <v>30.81</v>
      </c>
      <c r="U66" s="1"/>
      <c r="V66" s="5">
        <f t="shared" ref="V66:V78" si="41">IF(T$12=0,0,T66/T$12)</f>
        <v>1.6291610543407911E-5</v>
      </c>
      <c r="W66" s="1"/>
      <c r="X66" s="1">
        <f t="shared" ref="X66:X78" si="42">+P66-T66</f>
        <v>1.0899999999999999</v>
      </c>
      <c r="Y66" s="1"/>
      <c r="Z66" s="5">
        <f t="shared" ref="Z66:Z78" si="43">IF(T66=0,0,X66/T66)</f>
        <v>3.5378123985718921E-2</v>
      </c>
    </row>
    <row r="67" spans="1:26" s="24" customFormat="1" hidden="1" outlineLevel="2" x14ac:dyDescent="0.25">
      <c r="A67" s="28"/>
      <c r="B67" s="11" t="str">
        <f>CONCATENATE("          ", "6382", " - ", "DISCOUNTS/MARK DOWNS")</f>
        <v xml:space="preserve">          6382 - DISCOUNTS/MARK DOWNS</v>
      </c>
      <c r="C67" s="11"/>
      <c r="D67" s="6">
        <v>11.81</v>
      </c>
      <c r="E67" s="2"/>
      <c r="F67" s="7">
        <f t="shared" si="36"/>
        <v>1.0602638342210613E-5</v>
      </c>
      <c r="G67" s="2"/>
      <c r="H67" s="6">
        <v>8.4499999999999993</v>
      </c>
      <c r="I67" s="2"/>
      <c r="J67" s="7">
        <f t="shared" si="37"/>
        <v>7.5367371563273502E-6</v>
      </c>
      <c r="K67" s="2"/>
      <c r="L67" s="6">
        <f t="shared" si="38"/>
        <v>3.3600000000000012</v>
      </c>
      <c r="M67" s="2"/>
      <c r="N67" s="7">
        <f t="shared" si="39"/>
        <v>0.39763313609467471</v>
      </c>
      <c r="O67" s="11"/>
      <c r="P67" s="6">
        <v>31.9</v>
      </c>
      <c r="Q67" s="2"/>
      <c r="R67" s="7">
        <f t="shared" si="40"/>
        <v>1.7447301887705631E-5</v>
      </c>
      <c r="S67" s="2"/>
      <c r="T67" s="6">
        <v>30.81</v>
      </c>
      <c r="U67" s="2"/>
      <c r="V67" s="7">
        <f t="shared" si="41"/>
        <v>1.6291610543407911E-5</v>
      </c>
      <c r="W67" s="2"/>
      <c r="X67" s="6">
        <f t="shared" si="42"/>
        <v>1.0899999999999999</v>
      </c>
      <c r="Y67" s="2"/>
      <c r="Z67" s="7">
        <f t="shared" si="43"/>
        <v>3.5378123985718921E-2</v>
      </c>
    </row>
    <row r="68" spans="1:26" s="29" customFormat="1" outlineLevel="1" collapsed="1" x14ac:dyDescent="0.25">
      <c r="A68" s="27"/>
      <c r="B68" s="14" t="str">
        <f>CONCATENATE("     ","Donations                                         ")</f>
        <v xml:space="preserve">     Donations                                         </v>
      </c>
      <c r="C68" s="14"/>
      <c r="D68" s="1">
        <f>SUM(OSRRefD22_7x_0)</f>
        <v>0</v>
      </c>
      <c r="E68" s="1"/>
      <c r="F68" s="5">
        <f t="shared" si="36"/>
        <v>0</v>
      </c>
      <c r="G68" s="1"/>
      <c r="H68" s="1">
        <f>SUM(OSRRefH22_7x_0)</f>
        <v>500</v>
      </c>
      <c r="I68" s="1"/>
      <c r="J68" s="5">
        <f t="shared" si="37"/>
        <v>4.4596077848090834E-4</v>
      </c>
      <c r="K68" s="1"/>
      <c r="L68" s="1">
        <f t="shared" si="38"/>
        <v>-500</v>
      </c>
      <c r="M68" s="1"/>
      <c r="N68" s="5">
        <f t="shared" si="39"/>
        <v>-1</v>
      </c>
      <c r="O68" s="14"/>
      <c r="P68" s="1">
        <f>SUM(OSRRefP22_7x_0)</f>
        <v>0</v>
      </c>
      <c r="Q68" s="1"/>
      <c r="R68" s="5">
        <f t="shared" si="40"/>
        <v>0</v>
      </c>
      <c r="S68" s="1"/>
      <c r="T68" s="1">
        <f>SUM(OSRRefT22_7x_0)</f>
        <v>500</v>
      </c>
      <c r="U68" s="1"/>
      <c r="V68" s="5">
        <f t="shared" si="41"/>
        <v>2.6438835675767468E-4</v>
      </c>
      <c r="W68" s="1"/>
      <c r="X68" s="1">
        <f t="shared" si="42"/>
        <v>-500</v>
      </c>
      <c r="Y68" s="1"/>
      <c r="Z68" s="5">
        <f t="shared" si="43"/>
        <v>-1</v>
      </c>
    </row>
    <row r="69" spans="1:26" s="24" customFormat="1" hidden="1" outlineLevel="2" x14ac:dyDescent="0.25">
      <c r="A69" s="28"/>
      <c r="B69" s="11" t="str">
        <f>CONCATENATE("          ", "6399", " - ", "DONATION-ON CAMPUS")</f>
        <v xml:space="preserve">          6399 - DONATION-ON CAMPUS</v>
      </c>
      <c r="C69" s="11"/>
      <c r="D69" s="6"/>
      <c r="E69" s="2"/>
      <c r="F69" s="7">
        <f t="shared" si="36"/>
        <v>0</v>
      </c>
      <c r="G69" s="2"/>
      <c r="H69" s="6">
        <v>500</v>
      </c>
      <c r="I69" s="2"/>
      <c r="J69" s="7">
        <f t="shared" si="37"/>
        <v>4.4596077848090834E-4</v>
      </c>
      <c r="K69" s="2"/>
      <c r="L69" s="6">
        <f t="shared" si="38"/>
        <v>-500</v>
      </c>
      <c r="M69" s="2"/>
      <c r="N69" s="7">
        <f t="shared" si="39"/>
        <v>-1</v>
      </c>
      <c r="O69" s="11"/>
      <c r="P69" s="6"/>
      <c r="Q69" s="2"/>
      <c r="R69" s="7">
        <f t="shared" si="40"/>
        <v>0</v>
      </c>
      <c r="S69" s="2"/>
      <c r="T69" s="6">
        <v>500</v>
      </c>
      <c r="U69" s="2"/>
      <c r="V69" s="7">
        <f t="shared" si="41"/>
        <v>2.6438835675767468E-4</v>
      </c>
      <c r="W69" s="2"/>
      <c r="X69" s="6">
        <f t="shared" si="42"/>
        <v>-500</v>
      </c>
      <c r="Y69" s="2"/>
      <c r="Z69" s="7">
        <f t="shared" si="43"/>
        <v>-1</v>
      </c>
    </row>
    <row r="70" spans="1:26" s="29" customFormat="1" outlineLevel="1" collapsed="1" x14ac:dyDescent="0.25">
      <c r="A70" s="27"/>
      <c r="B70" s="14" t="str">
        <f>CONCATENATE("     ","Employees' Appreciation                           ")</f>
        <v xml:space="preserve">     Employees' Appreciation                           </v>
      </c>
      <c r="C70" s="14"/>
      <c r="D70" s="1">
        <f>SUM(OSRRefD22_8x_0)</f>
        <v>19.84</v>
      </c>
      <c r="E70" s="1"/>
      <c r="F70" s="5">
        <f t="shared" si="36"/>
        <v>1.7811714200631543E-5</v>
      </c>
      <c r="G70" s="1"/>
      <c r="H70" s="1">
        <f>SUM(OSRRefH22_8x_0)</f>
        <v>460.75</v>
      </c>
      <c r="I70" s="1"/>
      <c r="J70" s="5">
        <f t="shared" si="37"/>
        <v>4.1095285737015704E-4</v>
      </c>
      <c r="K70" s="1"/>
      <c r="L70" s="1">
        <f t="shared" si="38"/>
        <v>-440.91</v>
      </c>
      <c r="M70" s="1"/>
      <c r="N70" s="5">
        <f t="shared" si="39"/>
        <v>-0.95693977211068915</v>
      </c>
      <c r="O70" s="14"/>
      <c r="P70" s="1">
        <f>SUM(OSRRefP22_8x_0)</f>
        <v>419.56</v>
      </c>
      <c r="Q70" s="1"/>
      <c r="R70" s="5">
        <f t="shared" si="40"/>
        <v>2.2947304012557287E-4</v>
      </c>
      <c r="S70" s="1"/>
      <c r="T70" s="1">
        <f>SUM(OSRRefT22_8x_0)</f>
        <v>768.39</v>
      </c>
      <c r="U70" s="1"/>
      <c r="V70" s="5">
        <f t="shared" si="41"/>
        <v>4.0630673889805927E-4</v>
      </c>
      <c r="W70" s="1"/>
      <c r="X70" s="1">
        <f t="shared" si="42"/>
        <v>-348.83</v>
      </c>
      <c r="Y70" s="1"/>
      <c r="Z70" s="5">
        <f t="shared" si="43"/>
        <v>-0.45397519488801258</v>
      </c>
    </row>
    <row r="71" spans="1:26" s="24" customFormat="1" hidden="1" outlineLevel="2" x14ac:dyDescent="0.25">
      <c r="A71" s="28"/>
      <c r="B71" s="11" t="str">
        <f>CONCATENATE("          ", "6277", " - ", "EMPLOYEE APPRECIATION")</f>
        <v xml:space="preserve">          6277 - EMPLOYEE APPRECIATION</v>
      </c>
      <c r="C71" s="11"/>
      <c r="D71" s="6">
        <v>19.84</v>
      </c>
      <c r="E71" s="2"/>
      <c r="F71" s="7">
        <f t="shared" si="36"/>
        <v>1.7811714200631543E-5</v>
      </c>
      <c r="G71" s="2"/>
      <c r="H71" s="6">
        <v>460.75</v>
      </c>
      <c r="I71" s="2"/>
      <c r="J71" s="7">
        <f t="shared" si="37"/>
        <v>4.1095285737015704E-4</v>
      </c>
      <c r="K71" s="2"/>
      <c r="L71" s="6">
        <f t="shared" si="38"/>
        <v>-440.91</v>
      </c>
      <c r="M71" s="2"/>
      <c r="N71" s="7">
        <f t="shared" si="39"/>
        <v>-0.95693977211068915</v>
      </c>
      <c r="O71" s="11"/>
      <c r="P71" s="6">
        <v>419.56</v>
      </c>
      <c r="Q71" s="2"/>
      <c r="R71" s="7">
        <f t="shared" si="40"/>
        <v>2.2947304012557287E-4</v>
      </c>
      <c r="S71" s="2"/>
      <c r="T71" s="6">
        <v>768.39</v>
      </c>
      <c r="U71" s="2"/>
      <c r="V71" s="7">
        <f t="shared" si="41"/>
        <v>4.0630673889805927E-4</v>
      </c>
      <c r="W71" s="2"/>
      <c r="X71" s="6">
        <f t="shared" si="42"/>
        <v>-348.83</v>
      </c>
      <c r="Y71" s="2"/>
      <c r="Z71" s="7">
        <f t="shared" si="43"/>
        <v>-0.45397519488801258</v>
      </c>
    </row>
    <row r="72" spans="1:26" s="29" customFormat="1" outlineLevel="1" collapsed="1" x14ac:dyDescent="0.25">
      <c r="A72" s="27"/>
      <c r="B72" s="14" t="str">
        <f>CONCATENATE("     ","Equipment Rental                                  ")</f>
        <v xml:space="preserve">     Equipment Rental                                  </v>
      </c>
      <c r="C72" s="14"/>
      <c r="D72" s="1">
        <f>SUM(OSRRefD22_9x_0)</f>
        <v>2259.9</v>
      </c>
      <c r="E72" s="1"/>
      <c r="F72" s="5">
        <f t="shared" si="36"/>
        <v>2.0288655706656869E-3</v>
      </c>
      <c r="G72" s="1"/>
      <c r="H72" s="1">
        <f>SUM(OSRRefH22_9x_0)</f>
        <v>1634.49</v>
      </c>
      <c r="I72" s="1"/>
      <c r="J72" s="5">
        <f t="shared" si="37"/>
        <v>1.4578368656385197E-3</v>
      </c>
      <c r="K72" s="1"/>
      <c r="L72" s="1">
        <f t="shared" si="38"/>
        <v>625.41000000000008</v>
      </c>
      <c r="M72" s="1"/>
      <c r="N72" s="5">
        <f t="shared" si="39"/>
        <v>0.38263311491657953</v>
      </c>
      <c r="O72" s="14"/>
      <c r="P72" s="1">
        <f>SUM(OSRRefP22_9x_0)</f>
        <v>6718.02</v>
      </c>
      <c r="Q72" s="1"/>
      <c r="R72" s="5">
        <f t="shared" si="40"/>
        <v>3.6743361450672159E-3</v>
      </c>
      <c r="S72" s="1"/>
      <c r="T72" s="1">
        <f>SUM(OSRRefT22_9x_0)</f>
        <v>4729.47</v>
      </c>
      <c r="U72" s="1"/>
      <c r="V72" s="5">
        <f t="shared" si="41"/>
        <v>2.5008336032694392E-3</v>
      </c>
      <c r="W72" s="1"/>
      <c r="X72" s="1">
        <f t="shared" si="42"/>
        <v>1988.5500000000002</v>
      </c>
      <c r="Y72" s="1"/>
      <c r="Z72" s="5">
        <f t="shared" si="43"/>
        <v>0.42045937494053248</v>
      </c>
    </row>
    <row r="73" spans="1:26" s="24" customFormat="1" hidden="1" outlineLevel="2" x14ac:dyDescent="0.25">
      <c r="A73" s="28"/>
      <c r="B73" s="11" t="str">
        <f>CONCATENATE("          ", "6351", " - ", "EQUIPMENT RENTAL")</f>
        <v xml:space="preserve">          6351 - EQUIPMENT RENTAL</v>
      </c>
      <c r="C73" s="11"/>
      <c r="D73" s="6">
        <v>2259.9</v>
      </c>
      <c r="E73" s="2"/>
      <c r="F73" s="7">
        <f t="shared" si="36"/>
        <v>2.0288655706656869E-3</v>
      </c>
      <c r="G73" s="2"/>
      <c r="H73" s="6">
        <v>1634.49</v>
      </c>
      <c r="I73" s="2"/>
      <c r="J73" s="7">
        <f t="shared" si="37"/>
        <v>1.4578368656385197E-3</v>
      </c>
      <c r="K73" s="2"/>
      <c r="L73" s="6">
        <f t="shared" si="38"/>
        <v>625.41000000000008</v>
      </c>
      <c r="M73" s="2"/>
      <c r="N73" s="7">
        <f t="shared" si="39"/>
        <v>0.38263311491657953</v>
      </c>
      <c r="O73" s="11"/>
      <c r="P73" s="6">
        <v>6718.02</v>
      </c>
      <c r="Q73" s="2"/>
      <c r="R73" s="7">
        <f t="shared" si="40"/>
        <v>3.6743361450672159E-3</v>
      </c>
      <c r="S73" s="2"/>
      <c r="T73" s="6">
        <v>4729.47</v>
      </c>
      <c r="U73" s="2"/>
      <c r="V73" s="7">
        <f t="shared" si="41"/>
        <v>2.5008336032694392E-3</v>
      </c>
      <c r="W73" s="2"/>
      <c r="X73" s="6">
        <f t="shared" si="42"/>
        <v>1988.5500000000002</v>
      </c>
      <c r="Y73" s="2"/>
      <c r="Z73" s="7">
        <f t="shared" si="43"/>
        <v>0.42045937494053248</v>
      </c>
    </row>
    <row r="74" spans="1:26" s="29" customFormat="1" outlineLevel="1" collapsed="1" x14ac:dyDescent="0.25">
      <c r="A74" s="27"/>
      <c r="B74" s="14" t="str">
        <f>CONCATENATE("     ","Freight out/Postage                               ")</f>
        <v xml:space="preserve">     Freight out/Postage                               </v>
      </c>
      <c r="C74" s="14"/>
      <c r="D74" s="1">
        <f>SUM(OSRRefD22_10x_0)</f>
        <v>28.87</v>
      </c>
      <c r="E74" s="1"/>
      <c r="F74" s="5">
        <f t="shared" si="36"/>
        <v>2.5918557911906891E-5</v>
      </c>
      <c r="G74" s="1"/>
      <c r="H74" s="1">
        <f>SUM(OSRRefH22_10x_0)</f>
        <v>22.01</v>
      </c>
      <c r="I74" s="1"/>
      <c r="J74" s="5">
        <f t="shared" si="37"/>
        <v>1.9631193468729588E-5</v>
      </c>
      <c r="K74" s="1"/>
      <c r="L74" s="1">
        <f t="shared" si="38"/>
        <v>6.8599999999999994</v>
      </c>
      <c r="M74" s="1"/>
      <c r="N74" s="5">
        <f t="shared" si="39"/>
        <v>0.31167651067696495</v>
      </c>
      <c r="O74" s="14"/>
      <c r="P74" s="1">
        <f>SUM(OSRRefP22_10x_0)</f>
        <v>145.52000000000001</v>
      </c>
      <c r="Q74" s="1"/>
      <c r="R74" s="5">
        <f t="shared" si="40"/>
        <v>7.9590325100279734E-5</v>
      </c>
      <c r="S74" s="1"/>
      <c r="T74" s="1">
        <f>SUM(OSRRefT22_10x_0)</f>
        <v>95.14</v>
      </c>
      <c r="U74" s="1"/>
      <c r="V74" s="5">
        <f t="shared" si="41"/>
        <v>5.0307816523850335E-5</v>
      </c>
      <c r="W74" s="1"/>
      <c r="X74" s="1">
        <f t="shared" si="42"/>
        <v>50.38000000000001</v>
      </c>
      <c r="Y74" s="1"/>
      <c r="Z74" s="5">
        <f t="shared" si="43"/>
        <v>0.5295354214841288</v>
      </c>
    </row>
    <row r="75" spans="1:26" s="24" customFormat="1" hidden="1" outlineLevel="2" x14ac:dyDescent="0.25">
      <c r="A75" s="28"/>
      <c r="B75" s="11" t="str">
        <f>CONCATENATE("          ", "6305", " - ", "FREIGHT OUT")</f>
        <v xml:space="preserve">          6305 - FREIGHT OUT</v>
      </c>
      <c r="C75" s="11"/>
      <c r="D75" s="6">
        <v>28.87</v>
      </c>
      <c r="E75" s="2"/>
      <c r="F75" s="7">
        <f t="shared" si="36"/>
        <v>2.5918557911906891E-5</v>
      </c>
      <c r="G75" s="2"/>
      <c r="H75" s="6">
        <v>22.01</v>
      </c>
      <c r="I75" s="2"/>
      <c r="J75" s="7">
        <f t="shared" si="37"/>
        <v>1.9631193468729588E-5</v>
      </c>
      <c r="K75" s="2"/>
      <c r="L75" s="6">
        <f t="shared" si="38"/>
        <v>6.8599999999999994</v>
      </c>
      <c r="M75" s="2"/>
      <c r="N75" s="7">
        <f t="shared" si="39"/>
        <v>0.31167651067696495</v>
      </c>
      <c r="O75" s="11"/>
      <c r="P75" s="6">
        <v>145.52000000000001</v>
      </c>
      <c r="Q75" s="2"/>
      <c r="R75" s="7">
        <f t="shared" si="40"/>
        <v>7.9590325100279734E-5</v>
      </c>
      <c r="S75" s="2"/>
      <c r="T75" s="6">
        <v>95.14</v>
      </c>
      <c r="U75" s="2"/>
      <c r="V75" s="7">
        <f t="shared" si="41"/>
        <v>5.0307816523850335E-5</v>
      </c>
      <c r="W75" s="2"/>
      <c r="X75" s="6">
        <f t="shared" si="42"/>
        <v>50.38000000000001</v>
      </c>
      <c r="Y75" s="2"/>
      <c r="Z75" s="7">
        <f t="shared" si="43"/>
        <v>0.5295354214841288</v>
      </c>
    </row>
    <row r="76" spans="1:26" s="29" customFormat="1" outlineLevel="1" collapsed="1" x14ac:dyDescent="0.25">
      <c r="A76" s="27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SUM(OSRRefD22_11x_0)</f>
        <v>7663.13</v>
      </c>
      <c r="E76" s="1"/>
      <c r="F76" s="5">
        <f t="shared" si="36"/>
        <v>6.879711766244234E-3</v>
      </c>
      <c r="G76" s="1"/>
      <c r="H76" s="1">
        <f>SUM(OSRRefH22_11x_0)</f>
        <v>3838.71</v>
      </c>
      <c r="I76" s="1"/>
      <c r="J76" s="5">
        <f t="shared" si="37"/>
        <v>3.4238281999248955E-3</v>
      </c>
      <c r="K76" s="1"/>
      <c r="L76" s="1">
        <f t="shared" si="38"/>
        <v>3824.42</v>
      </c>
      <c r="M76" s="1"/>
      <c r="N76" s="5">
        <f t="shared" si="39"/>
        <v>0.99627739527080716</v>
      </c>
      <c r="O76" s="14"/>
      <c r="P76" s="1">
        <f>SUM(OSRRefP22_11x_0)</f>
        <v>34282.649999999994</v>
      </c>
      <c r="Q76" s="1"/>
      <c r="R76" s="5">
        <f t="shared" si="40"/>
        <v>1.8750462196255528E-2</v>
      </c>
      <c r="S76" s="1"/>
      <c r="T76" s="1">
        <f>SUM(OSRRefT22_11x_0)</f>
        <v>26787.14</v>
      </c>
      <c r="U76" s="1"/>
      <c r="V76" s="5">
        <f t="shared" si="41"/>
        <v>1.4164415853675555E-2</v>
      </c>
      <c r="W76" s="1"/>
      <c r="X76" s="1">
        <f t="shared" si="42"/>
        <v>7495.5099999999948</v>
      </c>
      <c r="Y76" s="1"/>
      <c r="Z76" s="5">
        <f t="shared" si="43"/>
        <v>0.27981747958161995</v>
      </c>
    </row>
    <row r="77" spans="1:26" s="24" customFormat="1" hidden="1" outlineLevel="2" x14ac:dyDescent="0.25">
      <c r="A77" s="28"/>
      <c r="B77" s="11" t="str">
        <f>CONCATENATE("          ", "6269", " - ", "ENTERTAINMENT")</f>
        <v xml:space="preserve">          6269 - ENTERTAINMENT</v>
      </c>
      <c r="C77" s="11"/>
      <c r="D77" s="6">
        <v>1050</v>
      </c>
      <c r="E77" s="2"/>
      <c r="F77" s="7">
        <f t="shared" si="36"/>
        <v>9.426562454971332E-4</v>
      </c>
      <c r="G77" s="2"/>
      <c r="H77" s="6">
        <v>1550</v>
      </c>
      <c r="I77" s="2"/>
      <c r="J77" s="7">
        <f t="shared" si="37"/>
        <v>1.3824784132908158E-3</v>
      </c>
      <c r="K77" s="2"/>
      <c r="L77" s="6">
        <f t="shared" si="38"/>
        <v>-500</v>
      </c>
      <c r="M77" s="2"/>
      <c r="N77" s="7">
        <f t="shared" si="39"/>
        <v>-0.32258064516129031</v>
      </c>
      <c r="O77" s="11"/>
      <c r="P77" s="6">
        <v>3650</v>
      </c>
      <c r="Q77" s="2"/>
      <c r="R77" s="7">
        <f t="shared" si="40"/>
        <v>1.9963213758660047E-3</v>
      </c>
      <c r="S77" s="2"/>
      <c r="T77" s="6">
        <v>3100</v>
      </c>
      <c r="U77" s="2"/>
      <c r="V77" s="7">
        <f t="shared" si="41"/>
        <v>1.639207811897583E-3</v>
      </c>
      <c r="W77" s="2"/>
      <c r="X77" s="6">
        <f t="shared" si="42"/>
        <v>550</v>
      </c>
      <c r="Y77" s="2"/>
      <c r="Z77" s="7">
        <f t="shared" si="43"/>
        <v>0.17741935483870969</v>
      </c>
    </row>
    <row r="78" spans="1:26" s="24" customFormat="1" hidden="1" outlineLevel="2" x14ac:dyDescent="0.25">
      <c r="A78" s="28"/>
      <c r="B78" s="11" t="str">
        <f>CONCATENATE("          ", "6279", " - ", "GENERAL EXPENSE")</f>
        <v xml:space="preserve">          6279 - GENERAL EXPENSE</v>
      </c>
      <c r="C78" s="11"/>
      <c r="D78" s="6">
        <v>6613.13</v>
      </c>
      <c r="E78" s="2"/>
      <c r="F78" s="7">
        <f t="shared" si="36"/>
        <v>5.9370555207471009E-3</v>
      </c>
      <c r="G78" s="2"/>
      <c r="H78" s="6">
        <v>2288.71</v>
      </c>
      <c r="I78" s="2"/>
      <c r="J78" s="7">
        <f t="shared" si="37"/>
        <v>2.0413497866340795E-3</v>
      </c>
      <c r="K78" s="2"/>
      <c r="L78" s="6">
        <f t="shared" si="38"/>
        <v>4324.42</v>
      </c>
      <c r="M78" s="2"/>
      <c r="N78" s="7">
        <f t="shared" si="39"/>
        <v>1.8894573799214405</v>
      </c>
      <c r="O78" s="11"/>
      <c r="P78" s="6">
        <v>30632.649999999998</v>
      </c>
      <c r="Q78" s="2"/>
      <c r="R78" s="7">
        <f t="shared" si="40"/>
        <v>1.6754140820389524E-2</v>
      </c>
      <c r="S78" s="2"/>
      <c r="T78" s="6">
        <v>23687.14</v>
      </c>
      <c r="U78" s="2"/>
      <c r="V78" s="7">
        <f t="shared" si="41"/>
        <v>1.2525208041777971E-2</v>
      </c>
      <c r="W78" s="2"/>
      <c r="X78" s="6">
        <f t="shared" si="42"/>
        <v>6945.5099999999984</v>
      </c>
      <c r="Y78" s="2"/>
      <c r="Z78" s="7">
        <f t="shared" si="43"/>
        <v>0.29321859878398143</v>
      </c>
    </row>
    <row r="79" spans="1:26" s="29" customFormat="1" outlineLevel="1" collapsed="1" x14ac:dyDescent="0.25">
      <c r="A79" s="27"/>
      <c r="B79" s="14" t="str">
        <f>CONCATENATE("     ","Insurance                                         ")</f>
        <v xml:space="preserve">     Insurance                                         </v>
      </c>
      <c r="C79" s="14"/>
      <c r="D79" s="1">
        <f>SUM(OSRRefD22_12x_0)</f>
        <v>4483.67</v>
      </c>
      <c r="E79" s="1"/>
      <c r="F79" s="5">
        <f t="shared" ref="F79:F90" si="44">IF(D$12=0,0,D79/D$12)</f>
        <v>4.0252947888077435E-3</v>
      </c>
      <c r="G79" s="1"/>
      <c r="H79" s="1">
        <f>SUM(OSRRefH22_12x_0)</f>
        <v>8810.6200000000008</v>
      </c>
      <c r="I79" s="1"/>
      <c r="J79" s="5">
        <f t="shared" ref="J79:J90" si="45">IF(H$12=0,0,H79/H$12)</f>
        <v>7.8583819081989217E-3</v>
      </c>
      <c r="K79" s="1"/>
      <c r="L79" s="1">
        <f t="shared" ref="L79:L90" si="46">+D79-H79</f>
        <v>-4326.9500000000007</v>
      </c>
      <c r="M79" s="1"/>
      <c r="N79" s="5">
        <f t="shared" ref="N79:N90" si="47">IF(H79=0,0,L79/H79)</f>
        <v>-0.49110618775977177</v>
      </c>
      <c r="O79" s="14"/>
      <c r="P79" s="1">
        <f>SUM(OSRRefP22_12x_0)</f>
        <v>13451.01</v>
      </c>
      <c r="Q79" s="1"/>
      <c r="R79" s="5">
        <f t="shared" ref="R79:R90" si="48">IF(P$12=0,0,P79/P$12)</f>
        <v>7.3568599424622986E-3</v>
      </c>
      <c r="S79" s="1"/>
      <c r="T79" s="1">
        <f>SUM(OSRRefT22_12x_0)</f>
        <v>17255.86</v>
      </c>
      <c r="U79" s="1"/>
      <c r="V79" s="5">
        <f t="shared" ref="V79:V90" si="49">IF(T$12=0,0,T79/T$12)</f>
        <v>9.1244969396809764E-3</v>
      </c>
      <c r="W79" s="1"/>
      <c r="X79" s="1">
        <f t="shared" ref="X79:X90" si="50">+P79-T79</f>
        <v>-3804.8500000000004</v>
      </c>
      <c r="Y79" s="1"/>
      <c r="Z79" s="5">
        <f t="shared" ref="Z79:Z90" si="51">IF(T79=0,0,X79/T79)</f>
        <v>-0.22049610972736219</v>
      </c>
    </row>
    <row r="80" spans="1:26" s="24" customFormat="1" hidden="1" outlineLevel="2" x14ac:dyDescent="0.25">
      <c r="A80" s="28"/>
      <c r="B80" s="11" t="str">
        <f>CONCATENATE("          ", "6314", " - ", "LIABILITY INSURANCE")</f>
        <v xml:space="preserve">          6314 - LIABILITY INSURANCE</v>
      </c>
      <c r="C80" s="11"/>
      <c r="D80" s="6">
        <v>4483.67</v>
      </c>
      <c r="E80" s="2"/>
      <c r="F80" s="7">
        <f t="shared" si="44"/>
        <v>4.0252947888077435E-3</v>
      </c>
      <c r="G80" s="2"/>
      <c r="H80" s="6">
        <v>8810.6200000000008</v>
      </c>
      <c r="I80" s="2"/>
      <c r="J80" s="7">
        <f t="shared" si="45"/>
        <v>7.8583819081989217E-3</v>
      </c>
      <c r="K80" s="2"/>
      <c r="L80" s="6">
        <f t="shared" si="46"/>
        <v>-4326.9500000000007</v>
      </c>
      <c r="M80" s="2"/>
      <c r="N80" s="7">
        <f t="shared" si="47"/>
        <v>-0.49110618775977177</v>
      </c>
      <c r="O80" s="11"/>
      <c r="P80" s="6">
        <v>13451.01</v>
      </c>
      <c r="Q80" s="2"/>
      <c r="R80" s="7">
        <f t="shared" si="48"/>
        <v>7.3568599424622986E-3</v>
      </c>
      <c r="S80" s="2"/>
      <c r="T80" s="6">
        <v>17255.86</v>
      </c>
      <c r="U80" s="2"/>
      <c r="V80" s="7">
        <f t="shared" si="49"/>
        <v>9.1244969396809764E-3</v>
      </c>
      <c r="W80" s="2"/>
      <c r="X80" s="6">
        <f t="shared" si="50"/>
        <v>-3804.8500000000004</v>
      </c>
      <c r="Y80" s="2"/>
      <c r="Z80" s="7">
        <f t="shared" si="51"/>
        <v>-0.22049610972736219</v>
      </c>
    </row>
    <row r="81" spans="1:26" s="29" customFormat="1" outlineLevel="1" collapsed="1" x14ac:dyDescent="0.25">
      <c r="A81" s="27"/>
      <c r="B81" s="14" t="str">
        <f>CONCATENATE("     ","Interest                                          ")</f>
        <v xml:space="preserve">     Interest                                          </v>
      </c>
      <c r="C81" s="14"/>
      <c r="D81" s="1">
        <f>SUM(OSRRefD22_13x_0)</f>
        <v>11740</v>
      </c>
      <c r="E81" s="1"/>
      <c r="F81" s="5">
        <f t="shared" si="44"/>
        <v>1.0539794592510802E-2</v>
      </c>
      <c r="G81" s="1"/>
      <c r="H81" s="1">
        <f>SUM(OSRRefH22_13x_0)</f>
        <v>12229</v>
      </c>
      <c r="I81" s="1"/>
      <c r="J81" s="5">
        <f t="shared" si="45"/>
        <v>1.0907308720086056E-2</v>
      </c>
      <c r="K81" s="1"/>
      <c r="L81" s="1">
        <f t="shared" si="46"/>
        <v>-489</v>
      </c>
      <c r="M81" s="1"/>
      <c r="N81" s="5">
        <f t="shared" si="47"/>
        <v>-3.9986916346389727E-2</v>
      </c>
      <c r="O81" s="14"/>
      <c r="P81" s="1">
        <f>SUM(OSRRefP22_13x_0)</f>
        <v>35220</v>
      </c>
      <c r="Q81" s="1"/>
      <c r="R81" s="5">
        <f t="shared" si="48"/>
        <v>1.9263133933698818E-2</v>
      </c>
      <c r="S81" s="1"/>
      <c r="T81" s="1">
        <f>SUM(OSRRefT22_13x_0)</f>
        <v>36687</v>
      </c>
      <c r="U81" s="1"/>
      <c r="V81" s="5">
        <f t="shared" si="49"/>
        <v>1.939923128873762E-2</v>
      </c>
      <c r="W81" s="1"/>
      <c r="X81" s="1">
        <f t="shared" si="50"/>
        <v>-1467</v>
      </c>
      <c r="Y81" s="1"/>
      <c r="Z81" s="5">
        <f t="shared" si="51"/>
        <v>-3.9986916346389727E-2</v>
      </c>
    </row>
    <row r="82" spans="1:26" s="24" customFormat="1" hidden="1" outlineLevel="2" x14ac:dyDescent="0.25">
      <c r="A82" s="28"/>
      <c r="B82" s="11" t="str">
        <f>CONCATENATE("          ", "6401", " - ", "INTEREST EXPENSE")</f>
        <v xml:space="preserve">          6401 - INTEREST EXPENSE</v>
      </c>
      <c r="C82" s="11"/>
      <c r="D82" s="6">
        <v>11740</v>
      </c>
      <c r="E82" s="2"/>
      <c r="F82" s="7">
        <f t="shared" si="44"/>
        <v>1.0539794592510802E-2</v>
      </c>
      <c r="G82" s="2"/>
      <c r="H82" s="6">
        <v>12229</v>
      </c>
      <c r="I82" s="2"/>
      <c r="J82" s="7">
        <f t="shared" si="45"/>
        <v>1.0907308720086056E-2</v>
      </c>
      <c r="K82" s="2"/>
      <c r="L82" s="6">
        <f t="shared" si="46"/>
        <v>-489</v>
      </c>
      <c r="M82" s="2"/>
      <c r="N82" s="7">
        <f t="shared" si="47"/>
        <v>-3.9986916346389727E-2</v>
      </c>
      <c r="O82" s="11"/>
      <c r="P82" s="6">
        <v>35220</v>
      </c>
      <c r="Q82" s="2"/>
      <c r="R82" s="7">
        <f t="shared" si="48"/>
        <v>1.9263133933698818E-2</v>
      </c>
      <c r="S82" s="2"/>
      <c r="T82" s="6">
        <v>36687</v>
      </c>
      <c r="U82" s="2"/>
      <c r="V82" s="7">
        <f t="shared" si="49"/>
        <v>1.939923128873762E-2</v>
      </c>
      <c r="W82" s="2"/>
      <c r="X82" s="6">
        <f t="shared" si="50"/>
        <v>-1467</v>
      </c>
      <c r="Y82" s="2"/>
      <c r="Z82" s="7">
        <f t="shared" si="51"/>
        <v>-3.9986916346389727E-2</v>
      </c>
    </row>
    <row r="83" spans="1:26" s="29" customFormat="1" outlineLevel="1" collapsed="1" x14ac:dyDescent="0.25">
      <c r="A83" s="27"/>
      <c r="B83" s="14" t="str">
        <f>CONCATENATE("     ","Professional Services                             ")</f>
        <v xml:space="preserve">     Professional Services                             </v>
      </c>
      <c r="C83" s="14"/>
      <c r="D83" s="1">
        <f>SUM(OSRRefD22_14x_0)</f>
        <v>0</v>
      </c>
      <c r="E83" s="1"/>
      <c r="F83" s="5">
        <f t="shared" si="44"/>
        <v>0</v>
      </c>
      <c r="G83" s="1"/>
      <c r="H83" s="1">
        <f>SUM(OSRRefH22_14x_0)</f>
        <v>0</v>
      </c>
      <c r="I83" s="1"/>
      <c r="J83" s="5">
        <f t="shared" si="45"/>
        <v>0</v>
      </c>
      <c r="K83" s="1"/>
      <c r="L83" s="1">
        <f t="shared" si="46"/>
        <v>0</v>
      </c>
      <c r="M83" s="1"/>
      <c r="N83" s="5">
        <f t="shared" si="47"/>
        <v>0</v>
      </c>
      <c r="O83" s="14"/>
      <c r="P83" s="1">
        <f>SUM(OSRRefP22_14x_0)</f>
        <v>125</v>
      </c>
      <c r="Q83" s="1"/>
      <c r="R83" s="5">
        <f t="shared" si="48"/>
        <v>6.8367170406370022E-5</v>
      </c>
      <c r="S83" s="1"/>
      <c r="T83" s="1">
        <f>SUM(OSRRefT22_14x_0)</f>
        <v>0</v>
      </c>
      <c r="U83" s="1"/>
      <c r="V83" s="5">
        <f t="shared" si="49"/>
        <v>0</v>
      </c>
      <c r="W83" s="1"/>
      <c r="X83" s="1">
        <f t="shared" si="50"/>
        <v>125</v>
      </c>
      <c r="Y83" s="1"/>
      <c r="Z83" s="5">
        <f t="shared" si="51"/>
        <v>0</v>
      </c>
    </row>
    <row r="84" spans="1:26" s="24" customFormat="1" hidden="1" outlineLevel="2" x14ac:dyDescent="0.25">
      <c r="A84" s="28"/>
      <c r="B84" s="11" t="str">
        <f>CONCATENATE("          ", "6336", " - ", "PROFESSIONAL SERVICES")</f>
        <v xml:space="preserve">          6336 - PROFESSIONAL SERVICES</v>
      </c>
      <c r="C84" s="11"/>
      <c r="D84" s="6"/>
      <c r="E84" s="2"/>
      <c r="F84" s="7">
        <f t="shared" si="44"/>
        <v>0</v>
      </c>
      <c r="G84" s="2"/>
      <c r="H84" s="6"/>
      <c r="I84" s="2"/>
      <c r="J84" s="7">
        <f t="shared" si="45"/>
        <v>0</v>
      </c>
      <c r="K84" s="2"/>
      <c r="L84" s="6">
        <f t="shared" si="46"/>
        <v>0</v>
      </c>
      <c r="M84" s="2"/>
      <c r="N84" s="7">
        <f t="shared" si="47"/>
        <v>0</v>
      </c>
      <c r="O84" s="11"/>
      <c r="P84" s="6">
        <v>125</v>
      </c>
      <c r="Q84" s="2"/>
      <c r="R84" s="7">
        <f t="shared" si="48"/>
        <v>6.8367170406370022E-5</v>
      </c>
      <c r="S84" s="2"/>
      <c r="T84" s="6"/>
      <c r="U84" s="2"/>
      <c r="V84" s="7">
        <f t="shared" si="49"/>
        <v>0</v>
      </c>
      <c r="W84" s="2"/>
      <c r="X84" s="6">
        <f t="shared" si="50"/>
        <v>125</v>
      </c>
      <c r="Y84" s="2"/>
      <c r="Z84" s="7">
        <f t="shared" si="51"/>
        <v>0</v>
      </c>
    </row>
    <row r="85" spans="1:26" s="29" customFormat="1" outlineLevel="1" collapsed="1" x14ac:dyDescent="0.25">
      <c r="A85" s="27"/>
      <c r="B85" s="14" t="str">
        <f>CONCATENATE("     ","Rent                                              ")</f>
        <v xml:space="preserve">     Rent                                              </v>
      </c>
      <c r="C85" s="14"/>
      <c r="D85" s="1">
        <f>SUM(OSRRefD22_15x_0)</f>
        <v>3000</v>
      </c>
      <c r="E85" s="1"/>
      <c r="F85" s="5">
        <f t="shared" si="44"/>
        <v>2.6933035585632375E-3</v>
      </c>
      <c r="G85" s="1"/>
      <c r="H85" s="1">
        <f>SUM(OSRRefH22_15x_0)</f>
        <v>3000</v>
      </c>
      <c r="I85" s="1"/>
      <c r="J85" s="5">
        <f t="shared" si="45"/>
        <v>2.6757646708854502E-3</v>
      </c>
      <c r="K85" s="1"/>
      <c r="L85" s="1">
        <f t="shared" si="46"/>
        <v>0</v>
      </c>
      <c r="M85" s="1"/>
      <c r="N85" s="5">
        <f t="shared" si="47"/>
        <v>0</v>
      </c>
      <c r="O85" s="14"/>
      <c r="P85" s="1">
        <f>SUM(OSRRefP22_15x_0)</f>
        <v>9000</v>
      </c>
      <c r="Q85" s="1"/>
      <c r="R85" s="5">
        <f t="shared" si="48"/>
        <v>4.9224362692586419E-3</v>
      </c>
      <c r="S85" s="1"/>
      <c r="T85" s="1">
        <f>SUM(OSRRefT22_15x_0)</f>
        <v>9000</v>
      </c>
      <c r="U85" s="1"/>
      <c r="V85" s="5">
        <f t="shared" si="49"/>
        <v>4.7589904216381439E-3</v>
      </c>
      <c r="W85" s="1"/>
      <c r="X85" s="1">
        <f t="shared" si="50"/>
        <v>0</v>
      </c>
      <c r="Y85" s="1"/>
      <c r="Z85" s="5">
        <f t="shared" si="51"/>
        <v>0</v>
      </c>
    </row>
    <row r="86" spans="1:26" s="24" customFormat="1" hidden="1" outlineLevel="2" x14ac:dyDescent="0.25">
      <c r="A86" s="28"/>
      <c r="B86" s="11" t="str">
        <f>CONCATENATE("          ", "6273", " - ", "RENT")</f>
        <v xml:space="preserve">          6273 - RENT</v>
      </c>
      <c r="C86" s="11"/>
      <c r="D86" s="6">
        <v>3000</v>
      </c>
      <c r="E86" s="2"/>
      <c r="F86" s="7">
        <f t="shared" si="44"/>
        <v>2.6933035585632375E-3</v>
      </c>
      <c r="G86" s="2"/>
      <c r="H86" s="6">
        <v>3000</v>
      </c>
      <c r="I86" s="2"/>
      <c r="J86" s="7">
        <f t="shared" si="45"/>
        <v>2.6757646708854502E-3</v>
      </c>
      <c r="K86" s="2"/>
      <c r="L86" s="6">
        <f t="shared" si="46"/>
        <v>0</v>
      </c>
      <c r="M86" s="2"/>
      <c r="N86" s="7">
        <f t="shared" si="47"/>
        <v>0</v>
      </c>
      <c r="O86" s="11"/>
      <c r="P86" s="6">
        <v>9000</v>
      </c>
      <c r="Q86" s="2"/>
      <c r="R86" s="7">
        <f t="shared" si="48"/>
        <v>4.9224362692586419E-3</v>
      </c>
      <c r="S86" s="2"/>
      <c r="T86" s="6">
        <v>9000</v>
      </c>
      <c r="U86" s="2"/>
      <c r="V86" s="7">
        <f t="shared" si="49"/>
        <v>4.7589904216381439E-3</v>
      </c>
      <c r="W86" s="2"/>
      <c r="X86" s="6">
        <f t="shared" si="50"/>
        <v>0</v>
      </c>
      <c r="Y86" s="2"/>
      <c r="Z86" s="7">
        <f t="shared" si="51"/>
        <v>0</v>
      </c>
    </row>
    <row r="87" spans="1:26" s="29" customFormat="1" outlineLevel="1" collapsed="1" x14ac:dyDescent="0.25">
      <c r="A87" s="27"/>
      <c r="B87" s="14" t="str">
        <f>CONCATENATE("     ","Repair and Maintenance                            ")</f>
        <v xml:space="preserve">     Repair and Maintenance                            </v>
      </c>
      <c r="C87" s="14"/>
      <c r="D87" s="1">
        <f>SUM(OSRRefD22_16x_0)</f>
        <v>37760.800000000003</v>
      </c>
      <c r="E87" s="1"/>
      <c r="F87" s="5">
        <f t="shared" si="44"/>
        <v>3.3900432338064904E-2</v>
      </c>
      <c r="G87" s="1"/>
      <c r="H87" s="1">
        <f>SUM(OSRRefH22_16x_0)</f>
        <v>16434.8</v>
      </c>
      <c r="I87" s="1"/>
      <c r="J87" s="5">
        <f t="shared" si="45"/>
        <v>1.4658552404356064E-2</v>
      </c>
      <c r="K87" s="1"/>
      <c r="L87" s="1">
        <f t="shared" si="46"/>
        <v>21326.000000000004</v>
      </c>
      <c r="M87" s="1"/>
      <c r="N87" s="5">
        <f t="shared" si="47"/>
        <v>1.2976123834789595</v>
      </c>
      <c r="O87" s="14"/>
      <c r="P87" s="1">
        <f>SUM(OSRRefP22_16x_0)</f>
        <v>88563.41</v>
      </c>
      <c r="Q87" s="1"/>
      <c r="R87" s="5">
        <f t="shared" si="48"/>
        <v>4.8438637945913722E-2</v>
      </c>
      <c r="S87" s="1"/>
      <c r="T87" s="1">
        <f>SUM(OSRRefT22_16x_0)</f>
        <v>68377.760000000009</v>
      </c>
      <c r="U87" s="1"/>
      <c r="V87" s="5">
        <f t="shared" si="49"/>
        <v>3.6156567210341321E-2</v>
      </c>
      <c r="W87" s="1"/>
      <c r="X87" s="1">
        <f t="shared" si="50"/>
        <v>20185.649999999994</v>
      </c>
      <c r="Y87" s="1"/>
      <c r="Z87" s="5">
        <f t="shared" si="51"/>
        <v>0.29520782780833987</v>
      </c>
    </row>
    <row r="88" spans="1:26" s="24" customFormat="1" hidden="1" outlineLevel="2" x14ac:dyDescent="0.25">
      <c r="A88" s="28"/>
      <c r="B88" s="11" t="str">
        <f>CONCATENATE("          ", "6371", " - ", "COMPUTER SOFTWARE MAINTENANCE")</f>
        <v xml:space="preserve">          6371 - COMPUTER SOFTWARE MAINTENANCE</v>
      </c>
      <c r="C88" s="11"/>
      <c r="D88" s="6">
        <v>12244.62</v>
      </c>
      <c r="E88" s="2"/>
      <c r="F88" s="7">
        <f t="shared" si="44"/>
        <v>1.0992826206418197E-2</v>
      </c>
      <c r="G88" s="2"/>
      <c r="H88" s="6"/>
      <c r="I88" s="2"/>
      <c r="J88" s="7">
        <f t="shared" si="45"/>
        <v>0</v>
      </c>
      <c r="K88" s="2"/>
      <c r="L88" s="6">
        <f t="shared" si="46"/>
        <v>12244.62</v>
      </c>
      <c r="M88" s="2"/>
      <c r="N88" s="7">
        <f t="shared" si="47"/>
        <v>0</v>
      </c>
      <c r="O88" s="11"/>
      <c r="P88" s="6">
        <v>12244.62</v>
      </c>
      <c r="Q88" s="2"/>
      <c r="R88" s="7">
        <f t="shared" si="48"/>
        <v>6.6970401768099725E-3</v>
      </c>
      <c r="S88" s="2"/>
      <c r="T88" s="6">
        <v>249</v>
      </c>
      <c r="U88" s="2"/>
      <c r="V88" s="7">
        <f t="shared" si="49"/>
        <v>1.3166540166532198E-4</v>
      </c>
      <c r="W88" s="2"/>
      <c r="X88" s="6">
        <f t="shared" si="50"/>
        <v>11995.62</v>
      </c>
      <c r="Y88" s="2"/>
      <c r="Z88" s="7">
        <f t="shared" si="51"/>
        <v>48.175180722891568</v>
      </c>
    </row>
    <row r="89" spans="1:26" s="24" customFormat="1" hidden="1" outlineLevel="2" x14ac:dyDescent="0.25">
      <c r="A89" s="28"/>
      <c r="B89" s="11" t="str">
        <f>CONCATENATE("          ", "6373", " - ", "MAINTENANCE CONTRACTS")</f>
        <v xml:space="preserve">          6373 - MAINTENANCE CONTRACTS</v>
      </c>
      <c r="C89" s="11"/>
      <c r="D89" s="6">
        <v>8717.31</v>
      </c>
      <c r="E89" s="2"/>
      <c r="F89" s="7">
        <f t="shared" si="44"/>
        <v>7.8261206813662991E-3</v>
      </c>
      <c r="G89" s="2"/>
      <c r="H89" s="6">
        <v>8036.92</v>
      </c>
      <c r="I89" s="2"/>
      <c r="J89" s="7">
        <f t="shared" si="45"/>
        <v>7.1683021995775642E-3</v>
      </c>
      <c r="K89" s="2"/>
      <c r="L89" s="6">
        <f t="shared" si="46"/>
        <v>680.38999999999942</v>
      </c>
      <c r="M89" s="2"/>
      <c r="N89" s="7">
        <f t="shared" si="47"/>
        <v>8.4658053085012591E-2</v>
      </c>
      <c r="O89" s="11"/>
      <c r="P89" s="6">
        <v>24808.510000000002</v>
      </c>
      <c r="Q89" s="2"/>
      <c r="R89" s="7">
        <f t="shared" si="48"/>
        <v>1.356870104558508E-2</v>
      </c>
      <c r="S89" s="2"/>
      <c r="T89" s="6">
        <v>30354.129999999997</v>
      </c>
      <c r="U89" s="2"/>
      <c r="V89" s="7">
        <f t="shared" si="49"/>
        <v>1.6050557103017671E-2</v>
      </c>
      <c r="W89" s="2"/>
      <c r="X89" s="6">
        <f t="shared" si="50"/>
        <v>-5545.6199999999953</v>
      </c>
      <c r="Y89" s="2"/>
      <c r="Z89" s="7">
        <f t="shared" si="51"/>
        <v>-0.18269737923636736</v>
      </c>
    </row>
    <row r="90" spans="1:26" s="24" customFormat="1" hidden="1" outlineLevel="2" x14ac:dyDescent="0.25">
      <c r="A90" s="28"/>
      <c r="B90" s="11" t="str">
        <f>CONCATENATE("          ", "6375", " - ", "OUTSIDE REPAIRS &amp; MAINTENANCE")</f>
        <v xml:space="preserve">          6375 - OUTSIDE REPAIRS &amp; MAINTENANCE</v>
      </c>
      <c r="C90" s="11"/>
      <c r="D90" s="6">
        <v>16798.870000000003</v>
      </c>
      <c r="E90" s="2"/>
      <c r="F90" s="7">
        <f t="shared" si="44"/>
        <v>1.5081485450280407E-2</v>
      </c>
      <c r="G90" s="2"/>
      <c r="H90" s="6">
        <v>8397.8799999999992</v>
      </c>
      <c r="I90" s="2"/>
      <c r="J90" s="7">
        <f t="shared" si="45"/>
        <v>7.4902502047785001E-3</v>
      </c>
      <c r="K90" s="2"/>
      <c r="L90" s="6">
        <f t="shared" si="46"/>
        <v>8400.9900000000034</v>
      </c>
      <c r="M90" s="2"/>
      <c r="N90" s="7">
        <f t="shared" si="47"/>
        <v>1.0003703315598704</v>
      </c>
      <c r="O90" s="11"/>
      <c r="P90" s="6">
        <v>51510.28</v>
      </c>
      <c r="Q90" s="2"/>
      <c r="R90" s="7">
        <f t="shared" si="48"/>
        <v>2.8172896723518668E-2</v>
      </c>
      <c r="S90" s="2"/>
      <c r="T90" s="6">
        <v>37774.630000000005</v>
      </c>
      <c r="U90" s="2"/>
      <c r="V90" s="7">
        <f t="shared" si="49"/>
        <v>1.9974344705658321E-2</v>
      </c>
      <c r="W90" s="2"/>
      <c r="X90" s="6">
        <f t="shared" si="50"/>
        <v>13735.649999999994</v>
      </c>
      <c r="Y90" s="2"/>
      <c r="Z90" s="7">
        <f t="shared" si="51"/>
        <v>0.36362103348199554</v>
      </c>
    </row>
    <row r="91" spans="1:26" s="29" customFormat="1" outlineLevel="1" collapsed="1" x14ac:dyDescent="0.25">
      <c r="A91" s="27"/>
      <c r="B91" s="14" t="str">
        <f>CONCATENATE("     ","Royalty &amp; Commissions                             ")</f>
        <v xml:space="preserve">     Royalty &amp; Commissions                             </v>
      </c>
      <c r="C91" s="14"/>
      <c r="D91" s="1">
        <f>SUM(OSRRefD22_17x_0)</f>
        <v>32235.18</v>
      </c>
      <c r="E91" s="1"/>
      <c r="F91" s="5">
        <f t="shared" ref="F91:F93" si="52">IF(D$12=0,0,D91/D$12)</f>
        <v>2.89397083349755E-2</v>
      </c>
      <c r="G91" s="1"/>
      <c r="H91" s="1">
        <f>SUM(OSRRefH22_17x_0)</f>
        <v>33999.919999999998</v>
      </c>
      <c r="I91" s="1"/>
      <c r="J91" s="5">
        <f t="shared" ref="J91:J93" si="53">IF(H$12=0,0,H91/H$12)</f>
        <v>3.0325261582977207E-2</v>
      </c>
      <c r="K91" s="1"/>
      <c r="L91" s="1">
        <f t="shared" ref="L91:L93" si="54">+D91-H91</f>
        <v>-1764.739999999998</v>
      </c>
      <c r="M91" s="1"/>
      <c r="N91" s="5">
        <f t="shared" ref="N91:N93" si="55">IF(H91=0,0,L91/H91)</f>
        <v>-5.1904239774681768E-2</v>
      </c>
      <c r="O91" s="14"/>
      <c r="P91" s="1">
        <f>SUM(OSRRefP22_17x_0)</f>
        <v>65937.22</v>
      </c>
      <c r="Q91" s="1"/>
      <c r="R91" s="5">
        <f t="shared" ref="R91:R93" si="56">IF(P$12=0,0,P91/P$12)</f>
        <v>3.6063529246898478E-2</v>
      </c>
      <c r="S91" s="1"/>
      <c r="T91" s="1">
        <f>SUM(OSRRefT22_17x_0)</f>
        <v>71318.570000000007</v>
      </c>
      <c r="U91" s="1"/>
      <c r="V91" s="5">
        <f t="shared" ref="V91:V93" si="57">IF(T$12=0,0,T91/T$12)</f>
        <v>3.7711599057214391E-2</v>
      </c>
      <c r="W91" s="1"/>
      <c r="X91" s="1">
        <f t="shared" ref="X91:X93" si="58">+P91-T91</f>
        <v>-5381.3500000000058</v>
      </c>
      <c r="Y91" s="1"/>
      <c r="Z91" s="5">
        <f t="shared" ref="Z91:Z93" si="59">IF(T91=0,0,X91/T91)</f>
        <v>-7.5455102366746907E-2</v>
      </c>
    </row>
    <row r="92" spans="1:26" s="24" customFormat="1" hidden="1" outlineLevel="2" x14ac:dyDescent="0.25">
      <c r="A92" s="28"/>
      <c r="B92" s="11" t="str">
        <f>CONCATENATE("          ", "6254", " - ", "ROYALTY &amp; COMMISSIONS")</f>
        <v xml:space="preserve">          6254 - ROYALTY &amp; COMMISSIONS</v>
      </c>
      <c r="C92" s="11"/>
      <c r="D92" s="6">
        <v>15487.42</v>
      </c>
      <c r="E92" s="2"/>
      <c r="F92" s="7">
        <f t="shared" si="52"/>
        <v>1.3904107799654486E-2</v>
      </c>
      <c r="G92" s="2"/>
      <c r="H92" s="6">
        <v>16667.68</v>
      </c>
      <c r="I92" s="2"/>
      <c r="J92" s="7">
        <f t="shared" si="53"/>
        <v>1.4866263096541333E-2</v>
      </c>
      <c r="K92" s="2"/>
      <c r="L92" s="6">
        <f t="shared" si="54"/>
        <v>-1180.2600000000002</v>
      </c>
      <c r="M92" s="2"/>
      <c r="N92" s="7">
        <f t="shared" si="55"/>
        <v>-7.081129467328387E-2</v>
      </c>
      <c r="O92" s="11"/>
      <c r="P92" s="6">
        <v>40331.06</v>
      </c>
      <c r="Q92" s="2"/>
      <c r="R92" s="7">
        <f t="shared" si="56"/>
        <v>2.2058563613516269E-2</v>
      </c>
      <c r="S92" s="2"/>
      <c r="T92" s="6">
        <v>45496.25</v>
      </c>
      <c r="U92" s="2"/>
      <c r="V92" s="7">
        <f t="shared" si="57"/>
        <v>2.4057357552272712E-2</v>
      </c>
      <c r="W92" s="2"/>
      <c r="X92" s="6">
        <f t="shared" si="58"/>
        <v>-5165.1900000000023</v>
      </c>
      <c r="Y92" s="2"/>
      <c r="Z92" s="7">
        <f t="shared" si="59"/>
        <v>-0.11353001621012726</v>
      </c>
    </row>
    <row r="93" spans="1:26" s="24" customFormat="1" hidden="1" outlineLevel="2" x14ac:dyDescent="0.25">
      <c r="A93" s="28"/>
      <c r="B93" s="11" t="str">
        <f>CONCATENATE("          ", "6259", " - ", "ROYALTY &amp; COMMISSIONS")</f>
        <v xml:space="preserve">          6259 - ROYALTY &amp; COMMISSIONS</v>
      </c>
      <c r="C93" s="11"/>
      <c r="D93" s="6">
        <v>16747.759999999998</v>
      </c>
      <c r="E93" s="2"/>
      <c r="F93" s="7">
        <f t="shared" si="52"/>
        <v>1.5035600535321015E-2</v>
      </c>
      <c r="G93" s="2"/>
      <c r="H93" s="6">
        <v>17332.240000000002</v>
      </c>
      <c r="I93" s="2"/>
      <c r="J93" s="7">
        <f t="shared" si="53"/>
        <v>1.5458998486435879E-2</v>
      </c>
      <c r="K93" s="2"/>
      <c r="L93" s="6">
        <f t="shared" si="54"/>
        <v>-584.4800000000032</v>
      </c>
      <c r="M93" s="2"/>
      <c r="N93" s="7">
        <f t="shared" si="55"/>
        <v>-3.3722127088016501E-2</v>
      </c>
      <c r="O93" s="11"/>
      <c r="P93" s="6">
        <v>25606.16</v>
      </c>
      <c r="Q93" s="2"/>
      <c r="R93" s="7">
        <f t="shared" si="56"/>
        <v>1.4004965633382207E-2</v>
      </c>
      <c r="S93" s="2"/>
      <c r="T93" s="6">
        <v>25822.32</v>
      </c>
      <c r="U93" s="2"/>
      <c r="V93" s="7">
        <f t="shared" si="57"/>
        <v>1.3654241504941675E-2</v>
      </c>
      <c r="W93" s="2"/>
      <c r="X93" s="6">
        <f t="shared" si="58"/>
        <v>-216.15999999999985</v>
      </c>
      <c r="Y93" s="2"/>
      <c r="Z93" s="7">
        <f t="shared" si="59"/>
        <v>-8.3710526397318234E-3</v>
      </c>
    </row>
    <row r="94" spans="1:26" s="29" customFormat="1" outlineLevel="1" collapsed="1" x14ac:dyDescent="0.25">
      <c r="A94" s="27"/>
      <c r="B94" s="14" t="str">
        <f>CONCATENATE("     ","Services                                          ")</f>
        <v xml:space="preserve">     Services                                          </v>
      </c>
      <c r="C94" s="14"/>
      <c r="D94" s="1">
        <f>SUM(OSRRefD22_18x_0)</f>
        <v>20964.509999999998</v>
      </c>
      <c r="E94" s="1"/>
      <c r="F94" s="5">
        <f t="shared" ref="F94:F99" si="60">IF(D$12=0,0,D94/D$12)</f>
        <v>1.882126312884486E-2</v>
      </c>
      <c r="G94" s="1"/>
      <c r="H94" s="1">
        <f>SUM(OSRRefH22_18x_0)</f>
        <v>25568.44</v>
      </c>
      <c r="I94" s="1"/>
      <c r="J94" s="5">
        <f t="shared" ref="J94:J99" si="61">IF(H$12=0,0,H94/H$12)</f>
        <v>2.280504281388479E-2</v>
      </c>
      <c r="K94" s="1"/>
      <c r="L94" s="1">
        <f t="shared" ref="L94:L99" si="62">+D94-H94</f>
        <v>-4603.93</v>
      </c>
      <c r="M94" s="1"/>
      <c r="N94" s="5">
        <f t="shared" ref="N94:N99" si="63">IF(H94=0,0,L94/H94)</f>
        <v>-0.18006299954162241</v>
      </c>
      <c r="O94" s="14"/>
      <c r="P94" s="1">
        <f>SUM(OSRRefP22_18x_0)</f>
        <v>63489.310000000005</v>
      </c>
      <c r="Q94" s="1"/>
      <c r="R94" s="5">
        <f t="shared" ref="R94:R99" si="64">IF(P$12=0,0,P94/P$12)</f>
        <v>3.4724675806022821E-2</v>
      </c>
      <c r="S94" s="1"/>
      <c r="T94" s="1">
        <f>SUM(OSRRefT22_18x_0)</f>
        <v>68252.44</v>
      </c>
      <c r="U94" s="1"/>
      <c r="V94" s="5">
        <f t="shared" ref="V94:V99" si="65">IF(T$12=0,0,T94/T$12)</f>
        <v>3.6090300912603568E-2</v>
      </c>
      <c r="W94" s="1"/>
      <c r="X94" s="1">
        <f t="shared" ref="X94:X99" si="66">+P94-T94</f>
        <v>-4763.1299999999974</v>
      </c>
      <c r="Y94" s="1"/>
      <c r="Z94" s="5">
        <f t="shared" ref="Z94:Z99" si="67">IF(T94=0,0,X94/T94)</f>
        <v>-6.9786955601880279E-2</v>
      </c>
    </row>
    <row r="95" spans="1:26" s="24" customFormat="1" hidden="1" outlineLevel="2" x14ac:dyDescent="0.25">
      <c r="A95" s="28"/>
      <c r="B95" s="11" t="str">
        <f>CONCATENATE("          ", "6282", " - ", "JANITORIAL/EXTERMINATOR EXPENS")</f>
        <v xml:space="preserve">          6282 - JANITORIAL/EXTERMINATOR EXPENS</v>
      </c>
      <c r="C95" s="11"/>
      <c r="D95" s="6">
        <v>1763.31</v>
      </c>
      <c r="E95" s="2"/>
      <c r="F95" s="7">
        <f t="shared" si="60"/>
        <v>1.5830430326167141E-3</v>
      </c>
      <c r="G95" s="2"/>
      <c r="H95" s="6">
        <v>1918.16</v>
      </c>
      <c r="I95" s="2"/>
      <c r="J95" s="7">
        <f t="shared" si="61"/>
        <v>1.7108482537018784E-3</v>
      </c>
      <c r="K95" s="2"/>
      <c r="L95" s="6">
        <f t="shared" si="62"/>
        <v>-154.85000000000014</v>
      </c>
      <c r="M95" s="2"/>
      <c r="N95" s="7">
        <f t="shared" si="63"/>
        <v>-8.0728406389456636E-2</v>
      </c>
      <c r="O95" s="11"/>
      <c r="P95" s="6">
        <v>5967.37</v>
      </c>
      <c r="Q95" s="2"/>
      <c r="R95" s="7">
        <f t="shared" si="64"/>
        <v>3.2637776133428824E-3</v>
      </c>
      <c r="S95" s="2"/>
      <c r="T95" s="6">
        <v>5483.56</v>
      </c>
      <c r="U95" s="2"/>
      <c r="V95" s="7">
        <f t="shared" si="65"/>
        <v>2.8995788351642293E-3</v>
      </c>
      <c r="W95" s="2"/>
      <c r="X95" s="6">
        <f t="shared" si="66"/>
        <v>483.80999999999949</v>
      </c>
      <c r="Y95" s="2"/>
      <c r="Z95" s="7">
        <f t="shared" si="67"/>
        <v>8.8229179584065731E-2</v>
      </c>
    </row>
    <row r="96" spans="1:26" s="24" customFormat="1" hidden="1" outlineLevel="2" x14ac:dyDescent="0.25">
      <c r="A96" s="28"/>
      <c r="B96" s="11" t="str">
        <f>CONCATENATE("          ", "6283", " - ", "PLANT SERVICE")</f>
        <v xml:space="preserve">          6283 - PLANT SERVICE</v>
      </c>
      <c r="C96" s="11"/>
      <c r="D96" s="6">
        <v>199.78</v>
      </c>
      <c r="E96" s="2"/>
      <c r="F96" s="7">
        <f t="shared" si="60"/>
        <v>1.7935606164325453E-4</v>
      </c>
      <c r="G96" s="2"/>
      <c r="H96" s="6">
        <v>176</v>
      </c>
      <c r="I96" s="2"/>
      <c r="J96" s="7">
        <f t="shared" si="61"/>
        <v>1.5697819402527973E-4</v>
      </c>
      <c r="K96" s="2"/>
      <c r="L96" s="6">
        <f t="shared" si="62"/>
        <v>23.78</v>
      </c>
      <c r="M96" s="2"/>
      <c r="N96" s="7">
        <f t="shared" si="63"/>
        <v>0.13511363636363638</v>
      </c>
      <c r="O96" s="11"/>
      <c r="P96" s="6">
        <v>599.34</v>
      </c>
      <c r="Q96" s="2"/>
      <c r="R96" s="7">
        <f t="shared" si="64"/>
        <v>3.2780143929083051E-4</v>
      </c>
      <c r="S96" s="2"/>
      <c r="T96" s="6">
        <v>528</v>
      </c>
      <c r="U96" s="2"/>
      <c r="V96" s="7">
        <f t="shared" si="65"/>
        <v>2.7919410473610447E-4</v>
      </c>
      <c r="W96" s="2"/>
      <c r="X96" s="6">
        <f t="shared" si="66"/>
        <v>71.340000000000032</v>
      </c>
      <c r="Y96" s="2"/>
      <c r="Z96" s="7">
        <f t="shared" si="67"/>
        <v>0.13511363636363644</v>
      </c>
    </row>
    <row r="97" spans="1:26" s="24" customFormat="1" hidden="1" outlineLevel="2" x14ac:dyDescent="0.25">
      <c r="A97" s="28"/>
      <c r="B97" s="11" t="str">
        <f>CONCATENATE("          ", "6284", " - ", "TRASH REMOVAL EXPENSE")</f>
        <v xml:space="preserve">          6284 - TRASH REMOVAL EXPENSE</v>
      </c>
      <c r="C97" s="11"/>
      <c r="D97" s="6">
        <v>860</v>
      </c>
      <c r="E97" s="2"/>
      <c r="F97" s="7">
        <f t="shared" si="60"/>
        <v>7.720803534547948E-4</v>
      </c>
      <c r="G97" s="2"/>
      <c r="H97" s="6">
        <v>5939</v>
      </c>
      <c r="I97" s="2"/>
      <c r="J97" s="7">
        <f t="shared" si="61"/>
        <v>5.2971221267962294E-3</v>
      </c>
      <c r="K97" s="2"/>
      <c r="L97" s="6">
        <f t="shared" si="62"/>
        <v>-5079</v>
      </c>
      <c r="M97" s="2"/>
      <c r="N97" s="7">
        <f t="shared" si="63"/>
        <v>-0.8551944771847112</v>
      </c>
      <c r="O97" s="11"/>
      <c r="P97" s="6">
        <v>5296</v>
      </c>
      <c r="Q97" s="2"/>
      <c r="R97" s="7">
        <f t="shared" si="64"/>
        <v>2.8965802757770854E-3</v>
      </c>
      <c r="S97" s="2"/>
      <c r="T97" s="6">
        <v>12685</v>
      </c>
      <c r="U97" s="2"/>
      <c r="V97" s="7">
        <f t="shared" si="65"/>
        <v>6.7075326109422061E-3</v>
      </c>
      <c r="W97" s="2"/>
      <c r="X97" s="6">
        <f t="shared" si="66"/>
        <v>-7389</v>
      </c>
      <c r="Y97" s="2"/>
      <c r="Z97" s="7">
        <f t="shared" si="67"/>
        <v>-0.58249901458415454</v>
      </c>
    </row>
    <row r="98" spans="1:26" s="24" customFormat="1" hidden="1" outlineLevel="2" x14ac:dyDescent="0.25">
      <c r="A98" s="28"/>
      <c r="B98" s="11" t="str">
        <f>CONCATENATE("          ", "6285", " - ", "JANITORIAL SERVICES")</f>
        <v xml:space="preserve">          6285 - JANITORIAL SERVICES</v>
      </c>
      <c r="C98" s="11"/>
      <c r="D98" s="6">
        <v>13699.69</v>
      </c>
      <c r="E98" s="2"/>
      <c r="F98" s="7">
        <f t="shared" si="60"/>
        <v>1.2299141276071067E-2</v>
      </c>
      <c r="G98" s="2"/>
      <c r="H98" s="6">
        <v>13101.91</v>
      </c>
      <c r="I98" s="2"/>
      <c r="J98" s="7">
        <f t="shared" si="61"/>
        <v>1.1685875966373596E-2</v>
      </c>
      <c r="K98" s="2"/>
      <c r="L98" s="6">
        <f t="shared" si="62"/>
        <v>597.78000000000065</v>
      </c>
      <c r="M98" s="2"/>
      <c r="N98" s="7">
        <f t="shared" si="63"/>
        <v>4.5625408814440084E-2</v>
      </c>
      <c r="O98" s="11"/>
      <c r="P98" s="6">
        <v>39986.460000000006</v>
      </c>
      <c r="Q98" s="2"/>
      <c r="R98" s="7">
        <f t="shared" si="64"/>
        <v>2.1870088998139994E-2</v>
      </c>
      <c r="S98" s="2"/>
      <c r="T98" s="6">
        <v>37710.71</v>
      </c>
      <c r="U98" s="2"/>
      <c r="V98" s="7">
        <f t="shared" si="65"/>
        <v>1.994054529813042E-2</v>
      </c>
      <c r="W98" s="2"/>
      <c r="X98" s="6">
        <f t="shared" si="66"/>
        <v>2275.7500000000073</v>
      </c>
      <c r="Y98" s="2"/>
      <c r="Z98" s="7">
        <f t="shared" si="67"/>
        <v>6.0347577651017635E-2</v>
      </c>
    </row>
    <row r="99" spans="1:26" s="24" customFormat="1" hidden="1" outlineLevel="2" x14ac:dyDescent="0.25">
      <c r="A99" s="28"/>
      <c r="B99" s="11" t="str">
        <f>CONCATENATE("          ", "6286", " - ", "LAUNDRY EXPENSE")</f>
        <v xml:space="preserve">          6286 - LAUNDRY EXPENSE</v>
      </c>
      <c r="C99" s="11"/>
      <c r="D99" s="6">
        <v>4441.7299999999996</v>
      </c>
      <c r="E99" s="2"/>
      <c r="F99" s="7">
        <f t="shared" si="60"/>
        <v>3.9876424050590293E-3</v>
      </c>
      <c r="G99" s="2"/>
      <c r="H99" s="6">
        <v>4433.37</v>
      </c>
      <c r="I99" s="2"/>
      <c r="J99" s="7">
        <f t="shared" si="61"/>
        <v>3.9542182729878092E-3</v>
      </c>
      <c r="K99" s="2"/>
      <c r="L99" s="6">
        <f t="shared" si="62"/>
        <v>8.3599999999996726</v>
      </c>
      <c r="M99" s="2"/>
      <c r="N99" s="7">
        <f t="shared" si="63"/>
        <v>1.8856986897100112E-3</v>
      </c>
      <c r="O99" s="11"/>
      <c r="P99" s="6">
        <v>11640.14</v>
      </c>
      <c r="Q99" s="2"/>
      <c r="R99" s="7">
        <f t="shared" si="64"/>
        <v>6.3664274794720315E-3</v>
      </c>
      <c r="S99" s="2"/>
      <c r="T99" s="6">
        <v>11845.17</v>
      </c>
      <c r="U99" s="2"/>
      <c r="V99" s="7">
        <f t="shared" si="65"/>
        <v>6.2634500636306106E-3</v>
      </c>
      <c r="W99" s="2"/>
      <c r="X99" s="6">
        <f t="shared" si="66"/>
        <v>-205.03000000000065</v>
      </c>
      <c r="Y99" s="2"/>
      <c r="Z99" s="7">
        <f t="shared" si="67"/>
        <v>-1.7309164832585825E-2</v>
      </c>
    </row>
    <row r="100" spans="1:26" s="29" customFormat="1" outlineLevel="1" collapsed="1" x14ac:dyDescent="0.25">
      <c r="A100" s="27"/>
      <c r="B100" s="14" t="str">
        <f>CONCATENATE("     ","Subscriptions &amp; Dues                              ")</f>
        <v xml:space="preserve">     Subscriptions &amp; Dues                              </v>
      </c>
      <c r="C100" s="14"/>
      <c r="D100" s="1">
        <f>SUM(OSRRefD22_19x_0)</f>
        <v>631.17999999999995</v>
      </c>
      <c r="E100" s="1"/>
      <c r="F100" s="5">
        <f t="shared" ref="F100:F102" si="68">IF(D$12=0,0,D100/D$12)</f>
        <v>5.6665311336464804E-4</v>
      </c>
      <c r="G100" s="1"/>
      <c r="H100" s="1">
        <f>SUM(OSRRefH22_19x_0)</f>
        <v>448.78</v>
      </c>
      <c r="I100" s="1"/>
      <c r="J100" s="5">
        <f t="shared" ref="J100:J102" si="69">IF(H$12=0,0,H100/H$12)</f>
        <v>4.0027655633332405E-4</v>
      </c>
      <c r="K100" s="1"/>
      <c r="L100" s="1">
        <f t="shared" ref="L100:L102" si="70">+D100-H100</f>
        <v>182.39999999999998</v>
      </c>
      <c r="M100" s="1"/>
      <c r="N100" s="5">
        <f t="shared" ref="N100:N102" si="71">IF(H100=0,0,L100/H100)</f>
        <v>0.40643522438611346</v>
      </c>
      <c r="O100" s="14"/>
      <c r="P100" s="1">
        <f>SUM(OSRRefP22_19x_0)</f>
        <v>1832.18</v>
      </c>
      <c r="Q100" s="1"/>
      <c r="R100" s="5">
        <f t="shared" ref="R100:R102" si="72">IF(P$12=0,0,P100/P$12)</f>
        <v>1.0020876982011443E-3</v>
      </c>
      <c r="S100" s="1"/>
      <c r="T100" s="1">
        <f>SUM(OSRRefT22_19x_0)</f>
        <v>764.96999999999991</v>
      </c>
      <c r="U100" s="1"/>
      <c r="V100" s="5">
        <f t="shared" ref="V100:V102" si="73">IF(T$12=0,0,T100/T$12)</f>
        <v>4.0449832253783676E-4</v>
      </c>
      <c r="W100" s="1"/>
      <c r="X100" s="1">
        <f t="shared" ref="X100:X102" si="74">+P100-T100</f>
        <v>1067.21</v>
      </c>
      <c r="Y100" s="1"/>
      <c r="Z100" s="5">
        <f t="shared" ref="Z100:Z102" si="75">IF(T100=0,0,X100/T100)</f>
        <v>1.395100461456005</v>
      </c>
    </row>
    <row r="101" spans="1:26" s="24" customFormat="1" hidden="1" outlineLevel="2" x14ac:dyDescent="0.25">
      <c r="A101" s="28"/>
      <c r="B101" s="11" t="str">
        <f>CONCATENATE("          ", "6258", " - ", "MEMBERSHIP DUES")</f>
        <v xml:space="preserve">          6258 - MEMBERSHIP DUES</v>
      </c>
      <c r="C101" s="11"/>
      <c r="D101" s="6"/>
      <c r="E101" s="2"/>
      <c r="F101" s="7">
        <f t="shared" si="68"/>
        <v>0</v>
      </c>
      <c r="G101" s="2"/>
      <c r="H101" s="6"/>
      <c r="I101" s="2"/>
      <c r="J101" s="7">
        <f t="shared" si="69"/>
        <v>0</v>
      </c>
      <c r="K101" s="2"/>
      <c r="L101" s="6">
        <f t="shared" si="70"/>
        <v>0</v>
      </c>
      <c r="M101" s="2"/>
      <c r="N101" s="7">
        <f t="shared" si="71"/>
        <v>0</v>
      </c>
      <c r="O101" s="11"/>
      <c r="P101" s="6"/>
      <c r="Q101" s="2"/>
      <c r="R101" s="7">
        <f t="shared" si="72"/>
        <v>0</v>
      </c>
      <c r="S101" s="2"/>
      <c r="T101" s="6">
        <v>31.8</v>
      </c>
      <c r="U101" s="2"/>
      <c r="V101" s="7">
        <f t="shared" si="73"/>
        <v>1.6815099489788109E-5</v>
      </c>
      <c r="W101" s="2"/>
      <c r="X101" s="6">
        <f t="shared" si="74"/>
        <v>-31.8</v>
      </c>
      <c r="Y101" s="2"/>
      <c r="Z101" s="7">
        <f t="shared" si="75"/>
        <v>-1</v>
      </c>
    </row>
    <row r="102" spans="1:26" s="24" customFormat="1" hidden="1" outlineLevel="2" x14ac:dyDescent="0.25">
      <c r="A102" s="28"/>
      <c r="B102" s="11" t="str">
        <f>CONCATENATE("          ", "6275", " - ", "SUBSCRIPTIONS")</f>
        <v xml:space="preserve">          6275 - SUBSCRIPTIONS</v>
      </c>
      <c r="C102" s="11"/>
      <c r="D102" s="6">
        <v>631.17999999999995</v>
      </c>
      <c r="E102" s="2"/>
      <c r="F102" s="7">
        <f t="shared" si="68"/>
        <v>5.6665311336464804E-4</v>
      </c>
      <c r="G102" s="2"/>
      <c r="H102" s="6">
        <v>448.78</v>
      </c>
      <c r="I102" s="2"/>
      <c r="J102" s="7">
        <f t="shared" si="69"/>
        <v>4.0027655633332405E-4</v>
      </c>
      <c r="K102" s="2"/>
      <c r="L102" s="6">
        <f t="shared" si="70"/>
        <v>182.39999999999998</v>
      </c>
      <c r="M102" s="2"/>
      <c r="N102" s="7">
        <f t="shared" si="71"/>
        <v>0.40643522438611346</v>
      </c>
      <c r="O102" s="11"/>
      <c r="P102" s="6">
        <v>1832.18</v>
      </c>
      <c r="Q102" s="2"/>
      <c r="R102" s="7">
        <f t="shared" si="72"/>
        <v>1.0020876982011443E-3</v>
      </c>
      <c r="S102" s="2"/>
      <c r="T102" s="6">
        <v>733.17</v>
      </c>
      <c r="U102" s="2"/>
      <c r="V102" s="7">
        <f t="shared" si="73"/>
        <v>3.8768322304804867E-4</v>
      </c>
      <c r="W102" s="2"/>
      <c r="X102" s="6">
        <f t="shared" si="74"/>
        <v>1099.0100000000002</v>
      </c>
      <c r="Y102" s="2"/>
      <c r="Z102" s="7">
        <f t="shared" si="75"/>
        <v>1.4989838645880222</v>
      </c>
    </row>
    <row r="103" spans="1:26" s="29" customFormat="1" outlineLevel="1" collapsed="1" x14ac:dyDescent="0.25">
      <c r="A103" s="27"/>
      <c r="B103" s="14" t="str">
        <f>CONCATENATE("     ","Supplies                                          ")</f>
        <v xml:space="preserve">     Supplies                                          </v>
      </c>
      <c r="C103" s="14"/>
      <c r="D103" s="1">
        <f>SUM(OSRRefD22_20x_0)</f>
        <v>33924.049999999996</v>
      </c>
      <c r="E103" s="1"/>
      <c r="F103" s="5">
        <f t="shared" ref="F103:F111" si="76">IF(D$12=0,0,D103/D$12)</f>
        <v>3.045592152862573E-2</v>
      </c>
      <c r="G103" s="1"/>
      <c r="H103" s="1">
        <f>SUM(OSRRefH22_20x_0)</f>
        <v>18940.47</v>
      </c>
      <c r="I103" s="1"/>
      <c r="J103" s="5">
        <f t="shared" ref="J103:J111" si="77">IF(H$12=0,0,H103/H$12)</f>
        <v>1.6893413491988581E-2</v>
      </c>
      <c r="K103" s="1"/>
      <c r="L103" s="1">
        <f t="shared" ref="L103:L111" si="78">+D103-H103</f>
        <v>14983.579999999994</v>
      </c>
      <c r="M103" s="1"/>
      <c r="N103" s="5">
        <f t="shared" ref="N103:N111" si="79">IF(H103=0,0,L103/H103)</f>
        <v>0.79108807753978616</v>
      </c>
      <c r="O103" s="14"/>
      <c r="P103" s="1">
        <f>SUM(OSRRefP22_20x_0)</f>
        <v>86678.720000000016</v>
      </c>
      <c r="Q103" s="1"/>
      <c r="R103" s="5">
        <f t="shared" ref="R103:R111" si="80">IF(P$12=0,0,P103/P$12)</f>
        <v>4.7407830566768276E-2</v>
      </c>
      <c r="S103" s="1"/>
      <c r="T103" s="1">
        <f>SUM(OSRRefT22_20x_0)</f>
        <v>75401.34</v>
      </c>
      <c r="U103" s="1"/>
      <c r="V103" s="5">
        <f t="shared" ref="V103:V111" si="81">IF(T$12=0,0,T103/T$12)</f>
        <v>3.9870472759853448E-2</v>
      </c>
      <c r="W103" s="1"/>
      <c r="X103" s="1">
        <f t="shared" ref="X103:X111" si="82">+P103-T103</f>
        <v>11277.380000000019</v>
      </c>
      <c r="Y103" s="1"/>
      <c r="Z103" s="5">
        <f t="shared" ref="Z103:Z111" si="83">IF(T103=0,0,X103/T103)</f>
        <v>0.14956471595862911</v>
      </c>
    </row>
    <row r="104" spans="1:26" s="24" customFormat="1" hidden="1" outlineLevel="2" x14ac:dyDescent="0.25">
      <c r="A104" s="28"/>
      <c r="B104" s="11" t="str">
        <f>CONCATENATE("          ", "6234", " - ", "EXPENDABLE SUPPLIES &amp; EQUIPMEN")</f>
        <v xml:space="preserve">          6234 - EXPENDABLE SUPPLIES &amp; EQUIPMEN</v>
      </c>
      <c r="C104" s="11"/>
      <c r="D104" s="6">
        <v>7670.09</v>
      </c>
      <c r="E104" s="2"/>
      <c r="F104" s="7">
        <f t="shared" si="76"/>
        <v>6.8859602305001008E-3</v>
      </c>
      <c r="G104" s="2"/>
      <c r="H104" s="6">
        <v>1860.17</v>
      </c>
      <c r="I104" s="2"/>
      <c r="J104" s="7">
        <f t="shared" si="77"/>
        <v>1.6591257226136627E-3</v>
      </c>
      <c r="K104" s="2"/>
      <c r="L104" s="6">
        <f t="shared" si="78"/>
        <v>5809.92</v>
      </c>
      <c r="M104" s="2"/>
      <c r="N104" s="7">
        <f t="shared" si="79"/>
        <v>3.1233274378148232</v>
      </c>
      <c r="O104" s="11"/>
      <c r="P104" s="6">
        <v>8734.33</v>
      </c>
      <c r="Q104" s="2"/>
      <c r="R104" s="7">
        <f t="shared" si="80"/>
        <v>4.7771314199637595E-3</v>
      </c>
      <c r="S104" s="2"/>
      <c r="T104" s="6">
        <v>6405.7</v>
      </c>
      <c r="U104" s="2"/>
      <c r="V104" s="7">
        <f t="shared" si="81"/>
        <v>3.3871849937652733E-3</v>
      </c>
      <c r="W104" s="2"/>
      <c r="X104" s="6">
        <f t="shared" si="82"/>
        <v>2328.63</v>
      </c>
      <c r="Y104" s="2"/>
      <c r="Z104" s="7">
        <f t="shared" si="83"/>
        <v>0.36352467333780852</v>
      </c>
    </row>
    <row r="105" spans="1:26" s="24" customFormat="1" hidden="1" outlineLevel="2" x14ac:dyDescent="0.25">
      <c r="A105" s="28"/>
      <c r="B105" s="11" t="str">
        <f>CONCATENATE("          ", "6237", " - ", "JANITORIAL SUPPLIES")</f>
        <v xml:space="preserve">          6237 - JANITORIAL SUPPLIES</v>
      </c>
      <c r="C105" s="11"/>
      <c r="D105" s="6">
        <v>4194.33</v>
      </c>
      <c r="E105" s="2"/>
      <c r="F105" s="7">
        <f t="shared" si="76"/>
        <v>3.765534638262848E-3</v>
      </c>
      <c r="G105" s="2"/>
      <c r="H105" s="6">
        <v>4391.8</v>
      </c>
      <c r="I105" s="2"/>
      <c r="J105" s="7">
        <f t="shared" si="77"/>
        <v>3.917141093864907E-3</v>
      </c>
      <c r="K105" s="2"/>
      <c r="L105" s="6">
        <f t="shared" si="78"/>
        <v>-197.47000000000025</v>
      </c>
      <c r="M105" s="2"/>
      <c r="N105" s="7">
        <f t="shared" si="79"/>
        <v>-4.4963340771437738E-2</v>
      </c>
      <c r="O105" s="11"/>
      <c r="P105" s="6">
        <v>12548.77</v>
      </c>
      <c r="Q105" s="2"/>
      <c r="R105" s="7">
        <f t="shared" si="80"/>
        <v>6.8633911758427518E-3</v>
      </c>
      <c r="S105" s="2"/>
      <c r="T105" s="6">
        <v>14720.82</v>
      </c>
      <c r="U105" s="2"/>
      <c r="V105" s="7">
        <f t="shared" si="81"/>
        <v>7.7840268198510251E-3</v>
      </c>
      <c r="W105" s="2"/>
      <c r="X105" s="6">
        <f t="shared" si="82"/>
        <v>-2172.0499999999993</v>
      </c>
      <c r="Y105" s="2"/>
      <c r="Z105" s="7">
        <f t="shared" si="83"/>
        <v>-0.14754952509439007</v>
      </c>
    </row>
    <row r="106" spans="1:26" s="24" customFormat="1" hidden="1" outlineLevel="2" x14ac:dyDescent="0.25">
      <c r="A106" s="28"/>
      <c r="B106" s="11" t="str">
        <f>CONCATENATE("          ", "6239", " - ", "KITCHEN SUPPLIES")</f>
        <v xml:space="preserve">          6239 - KITCHEN SUPPLIES</v>
      </c>
      <c r="C106" s="11"/>
      <c r="D106" s="6">
        <v>7569.78</v>
      </c>
      <c r="E106" s="2"/>
      <c r="F106" s="7">
        <f t="shared" si="76"/>
        <v>6.7959051371802746E-3</v>
      </c>
      <c r="G106" s="2"/>
      <c r="H106" s="6">
        <v>3858.17</v>
      </c>
      <c r="I106" s="2"/>
      <c r="J106" s="7">
        <f t="shared" si="77"/>
        <v>3.4411849934233726E-3</v>
      </c>
      <c r="K106" s="2"/>
      <c r="L106" s="6">
        <f t="shared" si="78"/>
        <v>3711.6099999999997</v>
      </c>
      <c r="M106" s="2"/>
      <c r="N106" s="7">
        <f t="shared" si="79"/>
        <v>0.96201307873940223</v>
      </c>
      <c r="O106" s="11"/>
      <c r="P106" s="6">
        <v>17994.36</v>
      </c>
      <c r="Q106" s="2"/>
      <c r="R106" s="7">
        <f t="shared" si="80"/>
        <v>9.841787811788549E-3</v>
      </c>
      <c r="S106" s="2"/>
      <c r="T106" s="6">
        <v>7532.74</v>
      </c>
      <c r="U106" s="2"/>
      <c r="V106" s="7">
        <f t="shared" si="81"/>
        <v>3.9831375009656122E-3</v>
      </c>
      <c r="W106" s="2"/>
      <c r="X106" s="6">
        <f t="shared" si="82"/>
        <v>10461.620000000001</v>
      </c>
      <c r="Y106" s="2"/>
      <c r="Z106" s="7">
        <f t="shared" si="83"/>
        <v>1.388820004407427</v>
      </c>
    </row>
    <row r="107" spans="1:26" s="24" customFormat="1" hidden="1" outlineLevel="2" x14ac:dyDescent="0.25">
      <c r="A107" s="28"/>
      <c r="B107" s="11" t="str">
        <f>CONCATENATE("          ", "6241", " - ", "OFFICE EXPENSE")</f>
        <v xml:space="preserve">          6241 - OFFICE EXPENSE</v>
      </c>
      <c r="C107" s="11"/>
      <c r="D107" s="6">
        <v>2065.1</v>
      </c>
      <c r="E107" s="2"/>
      <c r="F107" s="7">
        <f t="shared" si="76"/>
        <v>1.8539803929296472E-3</v>
      </c>
      <c r="G107" s="2"/>
      <c r="H107" s="6">
        <v>-2775.26</v>
      </c>
      <c r="I107" s="2"/>
      <c r="J107" s="7">
        <f t="shared" si="77"/>
        <v>-2.4753142201738515E-3</v>
      </c>
      <c r="K107" s="2"/>
      <c r="L107" s="6">
        <f t="shared" si="78"/>
        <v>4840.3600000000006</v>
      </c>
      <c r="M107" s="2"/>
      <c r="N107" s="7">
        <f t="shared" si="79"/>
        <v>-1.7441104617225054</v>
      </c>
      <c r="O107" s="11"/>
      <c r="P107" s="6">
        <v>9723.9500000000007</v>
      </c>
      <c r="Q107" s="2"/>
      <c r="R107" s="7">
        <f t="shared" si="80"/>
        <v>5.3183915733841748E-3</v>
      </c>
      <c r="S107" s="2"/>
      <c r="T107" s="6">
        <v>8469.39</v>
      </c>
      <c r="U107" s="2"/>
      <c r="V107" s="7">
        <f t="shared" si="81"/>
        <v>4.4784162096797638E-3</v>
      </c>
      <c r="W107" s="2"/>
      <c r="X107" s="6">
        <f t="shared" si="82"/>
        <v>1254.5600000000013</v>
      </c>
      <c r="Y107" s="2"/>
      <c r="Z107" s="7">
        <f t="shared" si="83"/>
        <v>0.14812873182130015</v>
      </c>
    </row>
    <row r="108" spans="1:26" s="24" customFormat="1" hidden="1" outlineLevel="2" x14ac:dyDescent="0.25">
      <c r="A108" s="28"/>
      <c r="B108" s="11" t="str">
        <f>CONCATENATE("          ", "6243", " - ", "PAPER SUPPLIES")</f>
        <v xml:space="preserve">          6243 - PAPER SUPPLIES</v>
      </c>
      <c r="C108" s="11"/>
      <c r="D108" s="6">
        <v>3986.34</v>
      </c>
      <c r="E108" s="2"/>
      <c r="F108" s="7">
        <f t="shared" si="76"/>
        <v>3.5788079025476588E-3</v>
      </c>
      <c r="G108" s="2"/>
      <c r="H108" s="6">
        <v>7893.64</v>
      </c>
      <c r="I108" s="2"/>
      <c r="J108" s="7">
        <f t="shared" si="77"/>
        <v>7.0405076788960753E-3</v>
      </c>
      <c r="K108" s="2"/>
      <c r="L108" s="6">
        <f t="shared" si="78"/>
        <v>-3907.3</v>
      </c>
      <c r="M108" s="2"/>
      <c r="N108" s="7">
        <f t="shared" si="79"/>
        <v>-0.49499343775495208</v>
      </c>
      <c r="O108" s="11"/>
      <c r="P108" s="6">
        <v>11139.8</v>
      </c>
      <c r="Q108" s="2"/>
      <c r="R108" s="7">
        <f t="shared" si="80"/>
        <v>6.0927728391430456E-3</v>
      </c>
      <c r="S108" s="2"/>
      <c r="T108" s="6">
        <v>14378.26</v>
      </c>
      <c r="U108" s="2"/>
      <c r="V108" s="7">
        <f t="shared" si="81"/>
        <v>7.602889068869207E-3</v>
      </c>
      <c r="W108" s="2"/>
      <c r="X108" s="6">
        <f t="shared" si="82"/>
        <v>-3238.4600000000009</v>
      </c>
      <c r="Y108" s="2"/>
      <c r="Z108" s="7">
        <f t="shared" si="83"/>
        <v>-0.22523309496420296</v>
      </c>
    </row>
    <row r="109" spans="1:26" s="24" customFormat="1" hidden="1" outlineLevel="2" x14ac:dyDescent="0.25">
      <c r="A109" s="28"/>
      <c r="B109" s="11" t="str">
        <f>CONCATENATE("          ", "6245", " - ", "PRINTING")</f>
        <v xml:space="preserve">          6245 - PRINTING</v>
      </c>
      <c r="C109" s="11"/>
      <c r="D109" s="6">
        <v>63.81</v>
      </c>
      <c r="E109" s="2"/>
      <c r="F109" s="7">
        <f t="shared" si="76"/>
        <v>5.7286566690640065E-5</v>
      </c>
      <c r="G109" s="2"/>
      <c r="H109" s="6"/>
      <c r="I109" s="2"/>
      <c r="J109" s="7">
        <f t="shared" si="77"/>
        <v>0</v>
      </c>
      <c r="K109" s="2"/>
      <c r="L109" s="6">
        <f t="shared" si="78"/>
        <v>63.81</v>
      </c>
      <c r="M109" s="2"/>
      <c r="N109" s="7">
        <f t="shared" si="79"/>
        <v>0</v>
      </c>
      <c r="O109" s="11"/>
      <c r="P109" s="6">
        <v>234.73</v>
      </c>
      <c r="Q109" s="2"/>
      <c r="R109" s="7">
        <f t="shared" si="80"/>
        <v>1.2838260727589788E-4</v>
      </c>
      <c r="S109" s="2"/>
      <c r="T109" s="6">
        <v>51.82</v>
      </c>
      <c r="U109" s="2"/>
      <c r="V109" s="7">
        <f t="shared" si="81"/>
        <v>2.7401209294365402E-5</v>
      </c>
      <c r="W109" s="2"/>
      <c r="X109" s="6">
        <f t="shared" si="82"/>
        <v>182.91</v>
      </c>
      <c r="Y109" s="2"/>
      <c r="Z109" s="7">
        <f t="shared" si="83"/>
        <v>3.529718255499807</v>
      </c>
    </row>
    <row r="110" spans="1:26" s="24" customFormat="1" hidden="1" outlineLevel="2" x14ac:dyDescent="0.25">
      <c r="A110" s="28"/>
      <c r="B110" s="11" t="str">
        <f>CONCATENATE("          ", "6247", " - ", "STORE SUPPLIES")</f>
        <v xml:space="preserve">          6247 - STORE SUPPLIES</v>
      </c>
      <c r="C110" s="11"/>
      <c r="D110" s="6">
        <v>7705.25</v>
      </c>
      <c r="E110" s="2"/>
      <c r="F110" s="7">
        <f t="shared" si="76"/>
        <v>6.917525748206462E-3</v>
      </c>
      <c r="G110" s="2"/>
      <c r="H110" s="6">
        <v>2784.52</v>
      </c>
      <c r="I110" s="2"/>
      <c r="J110" s="7">
        <f t="shared" si="77"/>
        <v>2.4835734137913178E-3</v>
      </c>
      <c r="K110" s="2"/>
      <c r="L110" s="6">
        <f t="shared" si="78"/>
        <v>4920.7299999999996</v>
      </c>
      <c r="M110" s="2"/>
      <c r="N110" s="7">
        <f t="shared" si="79"/>
        <v>1.7671735164408946</v>
      </c>
      <c r="O110" s="11"/>
      <c r="P110" s="6">
        <v>22958.95</v>
      </c>
      <c r="Q110" s="2"/>
      <c r="R110" s="7">
        <f t="shared" si="80"/>
        <v>1.2557107576010633E-2</v>
      </c>
      <c r="S110" s="2"/>
      <c r="T110" s="6">
        <v>15919.74</v>
      </c>
      <c r="U110" s="2"/>
      <c r="V110" s="7">
        <f t="shared" si="81"/>
        <v>8.4179877972188465E-3</v>
      </c>
      <c r="W110" s="2"/>
      <c r="X110" s="6">
        <f t="shared" si="82"/>
        <v>7039.2100000000009</v>
      </c>
      <c r="Y110" s="2"/>
      <c r="Z110" s="7">
        <f t="shared" si="83"/>
        <v>0.44216865350816037</v>
      </c>
    </row>
    <row r="111" spans="1:26" s="24" customFormat="1" hidden="1" outlineLevel="2" x14ac:dyDescent="0.25">
      <c r="A111" s="28"/>
      <c r="B111" s="11" t="str">
        <f>CONCATENATE("          ", "6248", " - ", "UNIFORMS")</f>
        <v xml:space="preserve">          6248 - UNIFORMS</v>
      </c>
      <c r="C111" s="11"/>
      <c r="D111" s="6">
        <v>669.35</v>
      </c>
      <c r="E111" s="2"/>
      <c r="F111" s="7">
        <f t="shared" si="76"/>
        <v>6.0092091230810104E-4</v>
      </c>
      <c r="G111" s="2"/>
      <c r="H111" s="6">
        <v>927.43</v>
      </c>
      <c r="I111" s="2"/>
      <c r="J111" s="7">
        <f t="shared" si="77"/>
        <v>8.2719480957309764E-4</v>
      </c>
      <c r="K111" s="2"/>
      <c r="L111" s="6">
        <f t="shared" si="78"/>
        <v>-258.07999999999993</v>
      </c>
      <c r="M111" s="2"/>
      <c r="N111" s="7">
        <f t="shared" si="79"/>
        <v>-0.27827437111156633</v>
      </c>
      <c r="O111" s="11"/>
      <c r="P111" s="6">
        <v>3343.83</v>
      </c>
      <c r="Q111" s="2"/>
      <c r="R111" s="7">
        <f t="shared" si="80"/>
        <v>1.8288655633594581E-3</v>
      </c>
      <c r="S111" s="2"/>
      <c r="T111" s="6">
        <v>7922.87</v>
      </c>
      <c r="U111" s="2"/>
      <c r="V111" s="7">
        <f t="shared" si="81"/>
        <v>4.1894291602093559E-3</v>
      </c>
      <c r="W111" s="2"/>
      <c r="X111" s="6">
        <f t="shared" si="82"/>
        <v>-4579.04</v>
      </c>
      <c r="Y111" s="2"/>
      <c r="Z111" s="7">
        <f t="shared" si="83"/>
        <v>-0.57795218146959371</v>
      </c>
    </row>
    <row r="112" spans="1:26" s="29" customFormat="1" outlineLevel="1" collapsed="1" x14ac:dyDescent="0.25">
      <c r="A112" s="27"/>
      <c r="B112" s="14" t="str">
        <f>CONCATENATE("     ","Telephone/Data Lines                              ")</f>
        <v xml:space="preserve">     Telephone/Data Lines                              </v>
      </c>
      <c r="C112" s="14"/>
      <c r="D112" s="1">
        <f>SUM(OSRRefD22_21x_0)</f>
        <v>2864.22</v>
      </c>
      <c r="E112" s="1"/>
      <c r="F112" s="5">
        <f t="shared" ref="F112:F119" si="84">IF(D$12=0,0,D112/D$12)</f>
        <v>2.5714046395026655E-3</v>
      </c>
      <c r="G112" s="1"/>
      <c r="H112" s="1">
        <f>SUM(OSRRefH22_21x_0)</f>
        <v>2927.61</v>
      </c>
      <c r="I112" s="1"/>
      <c r="J112" s="5">
        <f t="shared" ref="J112:J119" si="85">IF(H$12=0,0,H112/H$12)</f>
        <v>2.6111984693769842E-3</v>
      </c>
      <c r="K112" s="1"/>
      <c r="L112" s="1">
        <f t="shared" ref="L112:L119" si="86">+D112-H112</f>
        <v>-63.390000000000327</v>
      </c>
      <c r="M112" s="1"/>
      <c r="N112" s="5">
        <f t="shared" ref="N112:N119" si="87">IF(H112=0,0,L112/H112)</f>
        <v>-2.1652474202506593E-2</v>
      </c>
      <c r="O112" s="14"/>
      <c r="P112" s="1">
        <f>SUM(OSRRefP22_21x_0)</f>
        <v>5743.47</v>
      </c>
      <c r="Q112" s="1"/>
      <c r="R112" s="5">
        <f t="shared" ref="R112:R119" si="88">IF(P$12=0,0,P112/P$12)</f>
        <v>3.1413183377109926E-3</v>
      </c>
      <c r="S112" s="1"/>
      <c r="T112" s="1">
        <f>SUM(OSRRefT22_21x_0)</f>
        <v>6915.22</v>
      </c>
      <c r="U112" s="1"/>
      <c r="V112" s="5">
        <f t="shared" ref="V112:V119" si="89">IF(T$12=0,0,T112/T$12)</f>
        <v>3.6566073048356143E-3</v>
      </c>
      <c r="W112" s="1"/>
      <c r="X112" s="1">
        <f t="shared" ref="X112:X119" si="90">+P112-T112</f>
        <v>-1171.75</v>
      </c>
      <c r="Y112" s="1"/>
      <c r="Z112" s="5">
        <f t="shared" ref="Z112:Z119" si="91">IF(T112=0,0,X112/T112)</f>
        <v>-0.16944507911534268</v>
      </c>
    </row>
    <row r="113" spans="1:26" s="24" customFormat="1" hidden="1" outlineLevel="2" x14ac:dyDescent="0.25">
      <c r="A113" s="28"/>
      <c r="B113" s="11" t="str">
        <f>CONCATENATE("          ", "6309", " - ", "TELEPHONE")</f>
        <v xml:space="preserve">          6309 - TELEPHONE</v>
      </c>
      <c r="C113" s="11"/>
      <c r="D113" s="6">
        <v>2864.22</v>
      </c>
      <c r="E113" s="2"/>
      <c r="F113" s="7">
        <f t="shared" si="84"/>
        <v>2.5714046395026655E-3</v>
      </c>
      <c r="G113" s="2"/>
      <c r="H113" s="6">
        <v>2927.61</v>
      </c>
      <c r="I113" s="2"/>
      <c r="J113" s="7">
        <f t="shared" si="85"/>
        <v>2.6111984693769842E-3</v>
      </c>
      <c r="K113" s="2"/>
      <c r="L113" s="6">
        <f t="shared" si="86"/>
        <v>-63.390000000000327</v>
      </c>
      <c r="M113" s="2"/>
      <c r="N113" s="7">
        <f t="shared" si="87"/>
        <v>-2.1652474202506593E-2</v>
      </c>
      <c r="O113" s="11"/>
      <c r="P113" s="6">
        <v>5743.47</v>
      </c>
      <c r="Q113" s="2"/>
      <c r="R113" s="7">
        <f t="shared" si="88"/>
        <v>3.1413183377109926E-3</v>
      </c>
      <c r="S113" s="2"/>
      <c r="T113" s="6">
        <v>6915.22</v>
      </c>
      <c r="U113" s="2"/>
      <c r="V113" s="7">
        <f t="shared" si="89"/>
        <v>3.6566073048356143E-3</v>
      </c>
      <c r="W113" s="2"/>
      <c r="X113" s="6">
        <f t="shared" si="90"/>
        <v>-1171.75</v>
      </c>
      <c r="Y113" s="2"/>
      <c r="Z113" s="7">
        <f t="shared" si="91"/>
        <v>-0.16944507911534268</v>
      </c>
    </row>
    <row r="114" spans="1:26" s="29" customFormat="1" outlineLevel="1" collapsed="1" x14ac:dyDescent="0.25">
      <c r="A114" s="27"/>
      <c r="B114" s="14" t="str">
        <f>CONCATENATE("     ","Training                                          ")</f>
        <v xml:space="preserve">     Training                                          </v>
      </c>
      <c r="C114" s="14"/>
      <c r="D114" s="1">
        <f>SUM(OSRRefD22_22x_0)</f>
        <v>430.7</v>
      </c>
      <c r="E114" s="1"/>
      <c r="F114" s="5">
        <f t="shared" si="84"/>
        <v>3.8666861422439547E-4</v>
      </c>
      <c r="G114" s="1"/>
      <c r="H114" s="1">
        <f>SUM(OSRRefH22_22x_0)</f>
        <v>240</v>
      </c>
      <c r="I114" s="1"/>
      <c r="J114" s="5">
        <f t="shared" si="85"/>
        <v>2.14061173670836E-4</v>
      </c>
      <c r="K114" s="1"/>
      <c r="L114" s="1">
        <f t="shared" si="86"/>
        <v>190.7</v>
      </c>
      <c r="M114" s="1"/>
      <c r="N114" s="5">
        <f t="shared" si="87"/>
        <v>0.79458333333333331</v>
      </c>
      <c r="O114" s="14"/>
      <c r="P114" s="1">
        <f>SUM(OSRRefP22_22x_0)</f>
        <v>1474.55</v>
      </c>
      <c r="Q114" s="1"/>
      <c r="R114" s="5">
        <f t="shared" si="88"/>
        <v>8.0648648898170336E-4</v>
      </c>
      <c r="S114" s="1"/>
      <c r="T114" s="1">
        <f>SUM(OSRRefT22_22x_0)</f>
        <v>726.8</v>
      </c>
      <c r="U114" s="1"/>
      <c r="V114" s="5">
        <f t="shared" si="89"/>
        <v>3.8431491538295587E-4</v>
      </c>
      <c r="W114" s="1"/>
      <c r="X114" s="1">
        <f t="shared" si="90"/>
        <v>747.75</v>
      </c>
      <c r="Y114" s="1"/>
      <c r="Z114" s="5">
        <f t="shared" si="91"/>
        <v>1.0288249862410568</v>
      </c>
    </row>
    <row r="115" spans="1:26" s="24" customFormat="1" hidden="1" outlineLevel="2" x14ac:dyDescent="0.25">
      <c r="A115" s="28"/>
      <c r="B115" s="11" t="str">
        <f>CONCATENATE("          ", "6376", " - ", "TRAINING")</f>
        <v xml:space="preserve">          6376 - TRAINING</v>
      </c>
      <c r="C115" s="11"/>
      <c r="D115" s="6">
        <v>430.7</v>
      </c>
      <c r="E115" s="2"/>
      <c r="F115" s="7">
        <f t="shared" si="84"/>
        <v>3.8666861422439547E-4</v>
      </c>
      <c r="G115" s="2"/>
      <c r="H115" s="6">
        <v>240</v>
      </c>
      <c r="I115" s="2"/>
      <c r="J115" s="7">
        <f t="shared" si="85"/>
        <v>2.14061173670836E-4</v>
      </c>
      <c r="K115" s="2"/>
      <c r="L115" s="6">
        <f t="shared" si="86"/>
        <v>190.7</v>
      </c>
      <c r="M115" s="2"/>
      <c r="N115" s="7">
        <f t="shared" si="87"/>
        <v>0.79458333333333331</v>
      </c>
      <c r="O115" s="11"/>
      <c r="P115" s="6">
        <v>1474.55</v>
      </c>
      <c r="Q115" s="2"/>
      <c r="R115" s="7">
        <f t="shared" si="88"/>
        <v>8.0648648898170336E-4</v>
      </c>
      <c r="S115" s="2"/>
      <c r="T115" s="6">
        <v>726.8</v>
      </c>
      <c r="U115" s="2"/>
      <c r="V115" s="7">
        <f t="shared" si="89"/>
        <v>3.8431491538295587E-4</v>
      </c>
      <c r="W115" s="2"/>
      <c r="X115" s="6">
        <f t="shared" si="90"/>
        <v>747.75</v>
      </c>
      <c r="Y115" s="2"/>
      <c r="Z115" s="7">
        <f t="shared" si="91"/>
        <v>1.0288249862410568</v>
      </c>
    </row>
    <row r="116" spans="1:26" s="29" customFormat="1" outlineLevel="1" collapsed="1" x14ac:dyDescent="0.25">
      <c r="A116" s="27"/>
      <c r="B116" s="14" t="str">
        <f>CONCATENATE("     ","Travel                                            ")</f>
        <v xml:space="preserve">     Travel                                            </v>
      </c>
      <c r="C116" s="14"/>
      <c r="D116" s="1">
        <f>SUM(OSRRefD22_23x_0)</f>
        <v>249.82</v>
      </c>
      <c r="E116" s="1"/>
      <c r="F116" s="5">
        <f t="shared" si="84"/>
        <v>2.2428036500008933E-4</v>
      </c>
      <c r="G116" s="1"/>
      <c r="H116" s="1">
        <f>SUM(OSRRefH22_23x_0)</f>
        <v>78.72</v>
      </c>
      <c r="I116" s="1"/>
      <c r="J116" s="5">
        <f t="shared" si="85"/>
        <v>7.0212064964034204E-5</v>
      </c>
      <c r="K116" s="1"/>
      <c r="L116" s="1">
        <f t="shared" si="86"/>
        <v>171.1</v>
      </c>
      <c r="M116" s="1"/>
      <c r="N116" s="5">
        <f t="shared" si="87"/>
        <v>2.1735264227642275</v>
      </c>
      <c r="O116" s="14"/>
      <c r="P116" s="1">
        <f>SUM(OSRRefP22_23x_0)</f>
        <v>1101.18</v>
      </c>
      <c r="Q116" s="1"/>
      <c r="R116" s="5">
        <f t="shared" si="88"/>
        <v>6.0227648566469239E-4</v>
      </c>
      <c r="S116" s="1"/>
      <c r="T116" s="1">
        <f>SUM(OSRRefT22_23x_0)</f>
        <v>1668.02</v>
      </c>
      <c r="U116" s="1"/>
      <c r="V116" s="5">
        <f t="shared" si="89"/>
        <v>8.8201013367787294E-4</v>
      </c>
      <c r="W116" s="1"/>
      <c r="X116" s="1">
        <f t="shared" si="90"/>
        <v>-566.83999999999992</v>
      </c>
      <c r="Y116" s="1"/>
      <c r="Z116" s="5">
        <f t="shared" si="91"/>
        <v>-0.33982805961559209</v>
      </c>
    </row>
    <row r="117" spans="1:26" s="24" customFormat="1" hidden="1" outlineLevel="2" x14ac:dyDescent="0.25">
      <c r="A117" s="28"/>
      <c r="B117" s="11" t="str">
        <f>CONCATENATE("          ", "6292", " - ", "TRAVEL/CONFERENCE")</f>
        <v xml:space="preserve">          6292 - TRAVEL/CONFERENCE</v>
      </c>
      <c r="C117" s="11"/>
      <c r="D117" s="6"/>
      <c r="E117" s="2"/>
      <c r="F117" s="7">
        <f t="shared" si="84"/>
        <v>0</v>
      </c>
      <c r="G117" s="2"/>
      <c r="H117" s="6">
        <v>12.05</v>
      </c>
      <c r="I117" s="2"/>
      <c r="J117" s="7">
        <f t="shared" si="85"/>
        <v>1.0747654761389891E-5</v>
      </c>
      <c r="K117" s="2"/>
      <c r="L117" s="6">
        <f t="shared" si="86"/>
        <v>-12.05</v>
      </c>
      <c r="M117" s="2"/>
      <c r="N117" s="7">
        <f t="shared" si="87"/>
        <v>-1</v>
      </c>
      <c r="O117" s="11"/>
      <c r="P117" s="6">
        <v>545.69000000000005</v>
      </c>
      <c r="Q117" s="2"/>
      <c r="R117" s="7">
        <f t="shared" si="88"/>
        <v>2.9845824975241648E-4</v>
      </c>
      <c r="S117" s="2"/>
      <c r="T117" s="6">
        <v>190.08</v>
      </c>
      <c r="U117" s="2"/>
      <c r="V117" s="7">
        <f t="shared" si="89"/>
        <v>1.0050987770499761E-4</v>
      </c>
      <c r="W117" s="2"/>
      <c r="X117" s="6">
        <f t="shared" si="90"/>
        <v>355.61</v>
      </c>
      <c r="Y117" s="2"/>
      <c r="Z117" s="7">
        <f t="shared" si="91"/>
        <v>1.8708438552188551</v>
      </c>
    </row>
    <row r="118" spans="1:26" s="24" customFormat="1" hidden="1" outlineLevel="2" x14ac:dyDescent="0.25">
      <c r="A118" s="28"/>
      <c r="B118" s="11" t="str">
        <f>CONCATENATE("          ", "6294", " - ", "TRAVEL OPERATIONAL")</f>
        <v xml:space="preserve">          6294 - TRAVEL OPERATIONAL</v>
      </c>
      <c r="C118" s="11"/>
      <c r="D118" s="6"/>
      <c r="E118" s="2"/>
      <c r="F118" s="7">
        <f t="shared" si="84"/>
        <v>0</v>
      </c>
      <c r="G118" s="2"/>
      <c r="H118" s="6"/>
      <c r="I118" s="2"/>
      <c r="J118" s="7">
        <f t="shared" si="85"/>
        <v>0</v>
      </c>
      <c r="K118" s="2"/>
      <c r="L118" s="6">
        <f t="shared" si="86"/>
        <v>0</v>
      </c>
      <c r="M118" s="2"/>
      <c r="N118" s="7">
        <f t="shared" si="87"/>
        <v>0</v>
      </c>
      <c r="O118" s="11"/>
      <c r="P118" s="6">
        <v>45.49</v>
      </c>
      <c r="Q118" s="2"/>
      <c r="R118" s="7">
        <f t="shared" si="88"/>
        <v>2.488018065428618E-5</v>
      </c>
      <c r="S118" s="2"/>
      <c r="T118" s="6">
        <v>1258.9000000000001</v>
      </c>
      <c r="U118" s="2"/>
      <c r="V118" s="7">
        <f t="shared" si="89"/>
        <v>6.6567700464447333E-4</v>
      </c>
      <c r="W118" s="2"/>
      <c r="X118" s="6">
        <f t="shared" si="90"/>
        <v>-1213.4100000000001</v>
      </c>
      <c r="Y118" s="2"/>
      <c r="Z118" s="7">
        <f t="shared" si="91"/>
        <v>-0.96386527921201048</v>
      </c>
    </row>
    <row r="119" spans="1:26" s="24" customFormat="1" hidden="1" outlineLevel="2" x14ac:dyDescent="0.25">
      <c r="A119" s="28"/>
      <c r="B119" s="11" t="str">
        <f>CONCATENATE("          ", "6298", " - ", "VEHICLE MILEAGE")</f>
        <v xml:space="preserve">          6298 - VEHICLE MILEAGE</v>
      </c>
      <c r="C119" s="11"/>
      <c r="D119" s="6">
        <v>249.82</v>
      </c>
      <c r="E119" s="2"/>
      <c r="F119" s="7">
        <f t="shared" si="84"/>
        <v>2.2428036500008933E-4</v>
      </c>
      <c r="G119" s="2"/>
      <c r="H119" s="6">
        <v>66.67</v>
      </c>
      <c r="I119" s="2"/>
      <c r="J119" s="7">
        <f t="shared" si="85"/>
        <v>5.9464410202644318E-5</v>
      </c>
      <c r="K119" s="2"/>
      <c r="L119" s="6">
        <f t="shared" si="86"/>
        <v>183.14999999999998</v>
      </c>
      <c r="M119" s="2"/>
      <c r="N119" s="7">
        <f t="shared" si="87"/>
        <v>2.7471126443677814</v>
      </c>
      <c r="O119" s="11"/>
      <c r="P119" s="6">
        <v>510</v>
      </c>
      <c r="Q119" s="2"/>
      <c r="R119" s="7">
        <f t="shared" si="88"/>
        <v>2.789380552579897E-4</v>
      </c>
      <c r="S119" s="2"/>
      <c r="T119" s="6">
        <v>219.04</v>
      </c>
      <c r="U119" s="2"/>
      <c r="V119" s="7">
        <f t="shared" si="89"/>
        <v>1.1582325132840212E-4</v>
      </c>
      <c r="W119" s="2"/>
      <c r="X119" s="6">
        <f t="shared" si="90"/>
        <v>290.96000000000004</v>
      </c>
      <c r="Y119" s="2"/>
      <c r="Z119" s="7">
        <f t="shared" si="91"/>
        <v>1.3283418553688826</v>
      </c>
    </row>
    <row r="120" spans="1:26" s="29" customFormat="1" outlineLevel="1" collapsed="1" x14ac:dyDescent="0.25">
      <c r="A120" s="27"/>
      <c r="B120" s="14" t="str">
        <f>CONCATENATE("     ","Utilities                                         ")</f>
        <v xml:space="preserve">     Utilities                                         </v>
      </c>
      <c r="C120" s="14"/>
      <c r="D120" s="1">
        <f>SUM(OSRRefD22_24x_0)</f>
        <v>18266</v>
      </c>
      <c r="E120" s="1"/>
      <c r="F120" s="5">
        <f t="shared" ref="F120:F121" si="92">IF(D$12=0,0,D120/D$12)</f>
        <v>1.6398627600238698E-2</v>
      </c>
      <c r="G120" s="1"/>
      <c r="H120" s="1">
        <f>SUM(OSRRefH22_24x_0)</f>
        <v>11447.22</v>
      </c>
      <c r="I120" s="1"/>
      <c r="J120" s="5">
        <f t="shared" ref="J120:J121" si="93">IF(H$12=0,0,H120/H$12)</f>
        <v>1.0210022285284446E-2</v>
      </c>
      <c r="K120" s="1"/>
      <c r="L120" s="1">
        <f t="shared" ref="L120:L121" si="94">+D120-H120</f>
        <v>6818.7800000000007</v>
      </c>
      <c r="M120" s="1"/>
      <c r="N120" s="5">
        <f t="shared" ref="N120:N121" si="95">IF(H120=0,0,L120/H120)</f>
        <v>0.59567126341592114</v>
      </c>
      <c r="O120" s="14"/>
      <c r="P120" s="1">
        <f>SUM(OSRRefP22_24x_0)</f>
        <v>32013.119999999999</v>
      </c>
      <c r="Q120" s="1"/>
      <c r="R120" s="5">
        <f t="shared" ref="R120:R121" si="96">IF(P$12=0,0,P120/P$12)</f>
        <v>1.7509171442236578E-2</v>
      </c>
      <c r="S120" s="1"/>
      <c r="T120" s="1">
        <f>SUM(OSRRefT22_24x_0)</f>
        <v>44453.219999999994</v>
      </c>
      <c r="U120" s="1"/>
      <c r="V120" s="5">
        <f t="shared" ref="V120:V121" si="97">IF(T$12=0,0,T120/T$12)</f>
        <v>2.3505827576774795E-2</v>
      </c>
      <c r="W120" s="1"/>
      <c r="X120" s="1">
        <f t="shared" ref="X120:X121" si="98">+P120-T120</f>
        <v>-12440.099999999995</v>
      </c>
      <c r="Y120" s="1"/>
      <c r="Z120" s="5">
        <f t="shared" ref="Z120:Z121" si="99">IF(T120=0,0,X120/T120)</f>
        <v>-0.27984699421099296</v>
      </c>
    </row>
    <row r="121" spans="1:26" s="24" customFormat="1" hidden="1" outlineLevel="2" x14ac:dyDescent="0.25">
      <c r="A121" s="28"/>
      <c r="B121" s="11" t="str">
        <f>CONCATENATE("          ", "6274", " - ", "UTILITIES")</f>
        <v xml:space="preserve">          6274 - UTILITIES</v>
      </c>
      <c r="C121" s="11"/>
      <c r="D121" s="6">
        <v>18266</v>
      </c>
      <c r="E121" s="2"/>
      <c r="F121" s="7">
        <f t="shared" si="92"/>
        <v>1.6398627600238698E-2</v>
      </c>
      <c r="G121" s="2"/>
      <c r="H121" s="6">
        <v>11447.22</v>
      </c>
      <c r="I121" s="2"/>
      <c r="J121" s="7">
        <f t="shared" si="93"/>
        <v>1.0210022285284446E-2</v>
      </c>
      <c r="K121" s="2"/>
      <c r="L121" s="6">
        <f t="shared" si="94"/>
        <v>6818.7800000000007</v>
      </c>
      <c r="M121" s="2"/>
      <c r="N121" s="7">
        <f t="shared" si="95"/>
        <v>0.59567126341592114</v>
      </c>
      <c r="O121" s="11"/>
      <c r="P121" s="6">
        <v>32013.119999999999</v>
      </c>
      <c r="Q121" s="2"/>
      <c r="R121" s="7">
        <f t="shared" si="96"/>
        <v>1.7509171442236578E-2</v>
      </c>
      <c r="S121" s="2"/>
      <c r="T121" s="6">
        <v>44453.219999999994</v>
      </c>
      <c r="U121" s="2"/>
      <c r="V121" s="7">
        <f t="shared" si="97"/>
        <v>2.3505827576774795E-2</v>
      </c>
      <c r="W121" s="2"/>
      <c r="X121" s="6">
        <f t="shared" si="98"/>
        <v>-12440.099999999995</v>
      </c>
      <c r="Y121" s="2"/>
      <c r="Z121" s="7">
        <f t="shared" si="99"/>
        <v>-0.27984699421099296</v>
      </c>
    </row>
    <row r="122" spans="1:26" s="53" customFormat="1" x14ac:dyDescent="0.25">
      <c r="A122" s="37"/>
      <c r="B122" s="37"/>
      <c r="C122" s="37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7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collapsed="1" x14ac:dyDescent="0.25">
      <c r="A123" s="10"/>
      <c r="B123" s="25" t="s">
        <v>0</v>
      </c>
      <c r="C123" s="10"/>
      <c r="D123" s="4">
        <f>SUM(OSRRefD25x_0)</f>
        <v>237266.33000000002</v>
      </c>
      <c r="E123" s="4"/>
      <c r="F123" s="12">
        <f t="shared" ref="F123:F126" si="100">IF(D$12=0,0,D123/D$12)</f>
        <v>0.21301008363874649</v>
      </c>
      <c r="G123" s="4"/>
      <c r="H123" s="4">
        <f>SUM(OSRRefH25x_0)</f>
        <v>235134.24</v>
      </c>
      <c r="I123" s="4"/>
      <c r="J123" s="12">
        <f t="shared" ref="J123:J126" si="101">IF(H$12=0,0,H123/H$12)</f>
        <v>0.20972129743583348</v>
      </c>
      <c r="K123" s="4"/>
      <c r="L123" s="4">
        <f t="shared" ref="L123:L126" si="102">+D123-H123</f>
        <v>2132.0900000000256</v>
      </c>
      <c r="M123" s="4"/>
      <c r="N123" s="12">
        <f t="shared" ref="N123:N126" si="103">IF(H123=0,0,L123/H123)</f>
        <v>9.0675437146033079E-3</v>
      </c>
      <c r="O123" s="10"/>
      <c r="P123" s="4">
        <f>SUM(OSRRefP25x_0)</f>
        <v>302660.99</v>
      </c>
      <c r="Q123" s="4"/>
      <c r="R123" s="12">
        <f t="shared" ref="R123:R126" si="104">IF(P$12=0,0,P123/P$12)</f>
        <v>0.16553660382952523</v>
      </c>
      <c r="S123" s="4"/>
      <c r="T123" s="4">
        <f>SUM(OSRRefT25x_0)</f>
        <v>268993.36</v>
      </c>
      <c r="U123" s="4"/>
      <c r="V123" s="12">
        <f t="shared" ref="V123:V126" si="105">IF(T$12=0,0,T123/T$12)</f>
        <v>0.14223742485825122</v>
      </c>
      <c r="W123" s="4"/>
      <c r="X123" s="4">
        <f t="shared" ref="X123:X126" si="106">+P123-T123</f>
        <v>33667.630000000005</v>
      </c>
      <c r="Y123" s="4"/>
      <c r="Z123" s="12">
        <f t="shared" ref="Z123:Z126" si="107">IF(T123=0,0,X123/T123)</f>
        <v>0.1251615653263709</v>
      </c>
    </row>
    <row r="124" spans="1:26" s="24" customFormat="1" hidden="1" outlineLevel="1" x14ac:dyDescent="0.25">
      <c r="A124" s="44"/>
      <c r="B124" s="11" t="str">
        <f>CONCATENATE("          ", "9150", " - ", "MISC. INCOME")</f>
        <v xml:space="preserve">          9150 - MISC. INCOME</v>
      </c>
      <c r="C124" s="11"/>
      <c r="D124" s="2">
        <f>--18738.99</f>
        <v>18738.990000000002</v>
      </c>
      <c r="E124" s="2"/>
      <c r="F124" s="19">
        <f t="shared" si="100"/>
        <v>1.682326281696031E-2</v>
      </c>
      <c r="G124" s="2"/>
      <c r="H124" s="2">
        <f>--15780.25</f>
        <v>15780.25</v>
      </c>
      <c r="I124" s="2"/>
      <c r="J124" s="19">
        <f t="shared" si="101"/>
        <v>1.4074745149246708E-2</v>
      </c>
      <c r="K124" s="2"/>
      <c r="L124" s="2">
        <f t="shared" si="102"/>
        <v>2958.7400000000016</v>
      </c>
      <c r="M124" s="2"/>
      <c r="N124" s="19">
        <f t="shared" si="103"/>
        <v>0.18749639581121982</v>
      </c>
      <c r="O124" s="11"/>
      <c r="P124" s="2">
        <f>--66526.94</f>
        <v>66526.94</v>
      </c>
      <c r="Q124" s="2"/>
      <c r="R124" s="19">
        <f t="shared" si="104"/>
        <v>3.6386069148754835E-2</v>
      </c>
      <c r="S124" s="2"/>
      <c r="T124" s="2">
        <f>--30296.51</f>
        <v>30296.51</v>
      </c>
      <c r="U124" s="2"/>
      <c r="V124" s="19">
        <f t="shared" si="105"/>
        <v>1.6020088988784917E-2</v>
      </c>
      <c r="W124" s="2"/>
      <c r="X124" s="2">
        <f t="shared" si="106"/>
        <v>36230.430000000008</v>
      </c>
      <c r="Y124" s="2"/>
      <c r="Z124" s="19">
        <f t="shared" si="107"/>
        <v>1.1958615035197127</v>
      </c>
    </row>
    <row r="125" spans="1:26" s="24" customFormat="1" hidden="1" outlineLevel="1" x14ac:dyDescent="0.25">
      <c r="A125" s="44"/>
      <c r="B125" s="11" t="str">
        <f>CONCATENATE("          ", "9160", " - ", "MISC. INCOME")</f>
        <v xml:space="preserve">          9160 - MISC. INCOME</v>
      </c>
      <c r="C125" s="11"/>
      <c r="D125" s="2">
        <f>--20000</f>
        <v>20000</v>
      </c>
      <c r="E125" s="2"/>
      <c r="F125" s="19">
        <f t="shared" si="100"/>
        <v>1.7955357057088249E-2</v>
      </c>
      <c r="G125" s="2"/>
      <c r="H125" s="2">
        <f>--20000</f>
        <v>20000</v>
      </c>
      <c r="I125" s="2"/>
      <c r="J125" s="19">
        <f t="shared" si="101"/>
        <v>1.7838431139236333E-2</v>
      </c>
      <c r="K125" s="2"/>
      <c r="L125" s="2">
        <f t="shared" si="102"/>
        <v>0</v>
      </c>
      <c r="M125" s="2"/>
      <c r="N125" s="19">
        <f t="shared" si="103"/>
        <v>0</v>
      </c>
      <c r="O125" s="11"/>
      <c r="P125" s="2">
        <f>--30973.27</f>
        <v>30973.27</v>
      </c>
      <c r="Q125" s="2"/>
      <c r="R125" s="19">
        <f t="shared" si="104"/>
        <v>1.6940438625060068E-2</v>
      </c>
      <c r="S125" s="2"/>
      <c r="T125" s="2">
        <f>--35442.16</f>
        <v>35442.160000000003</v>
      </c>
      <c r="U125" s="2"/>
      <c r="V125" s="19">
        <f t="shared" si="105"/>
        <v>1.8740988884685176E-2</v>
      </c>
      <c r="W125" s="2"/>
      <c r="X125" s="2">
        <f t="shared" si="106"/>
        <v>-4468.8900000000031</v>
      </c>
      <c r="Y125" s="2"/>
      <c r="Z125" s="19">
        <f t="shared" si="107"/>
        <v>-0.1260896627067877</v>
      </c>
    </row>
    <row r="126" spans="1:26" s="24" customFormat="1" hidden="1" outlineLevel="1" x14ac:dyDescent="0.25">
      <c r="A126" s="44"/>
      <c r="B126" s="11" t="str">
        <f>CONCATENATE("          ", "9165", " - ", "OTHER INCOME")</f>
        <v xml:space="preserve">          9165 - OTHER INCOME</v>
      </c>
      <c r="C126" s="11"/>
      <c r="D126" s="2">
        <f>--198527.34</f>
        <v>198527.34</v>
      </c>
      <c r="E126" s="2"/>
      <c r="F126" s="19">
        <f t="shared" si="100"/>
        <v>0.17823146376469792</v>
      </c>
      <c r="G126" s="2"/>
      <c r="H126" s="2">
        <f>--199353.99</f>
        <v>199353.99</v>
      </c>
      <c r="I126" s="2"/>
      <c r="J126" s="19">
        <f t="shared" si="101"/>
        <v>0.17780812114735042</v>
      </c>
      <c r="K126" s="2"/>
      <c r="L126" s="2">
        <f t="shared" si="102"/>
        <v>-826.64999999999418</v>
      </c>
      <c r="M126" s="2"/>
      <c r="N126" s="19">
        <f t="shared" si="103"/>
        <v>-4.1466438670226475E-3</v>
      </c>
      <c r="O126" s="11"/>
      <c r="P126" s="2">
        <f>--205160.78</f>
        <v>205160.78</v>
      </c>
      <c r="Q126" s="2"/>
      <c r="R126" s="19">
        <f t="shared" si="104"/>
        <v>0.11221009605571033</v>
      </c>
      <c r="S126" s="2"/>
      <c r="T126" s="2">
        <f>--203254.69</f>
        <v>203254.69</v>
      </c>
      <c r="U126" s="2"/>
      <c r="V126" s="19">
        <f t="shared" si="105"/>
        <v>0.10747634698478115</v>
      </c>
      <c r="W126" s="2"/>
      <c r="X126" s="2">
        <f t="shared" si="106"/>
        <v>1906.0899999999965</v>
      </c>
      <c r="Y126" s="2"/>
      <c r="Z126" s="19">
        <f t="shared" si="107"/>
        <v>9.3778401866151107E-3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10"/>
      <c r="B128" s="26" t="s">
        <v>3</v>
      </c>
      <c r="C128" s="26"/>
      <c r="D128" s="21">
        <f>+D35-D37+D123</f>
        <v>248436.65999999997</v>
      </c>
      <c r="E128" s="13"/>
      <c r="F128" s="20">
        <f>IF(D$12=0,0,D128/D$12)</f>
        <v>0.2230384468185217</v>
      </c>
      <c r="G128" s="13"/>
      <c r="H128" s="21">
        <f>+H35-H37+H123</f>
        <v>396484.66999999958</v>
      </c>
      <c r="I128" s="13"/>
      <c r="J128" s="20">
        <f>IF(H$12=0,0,H128/H$12)</f>
        <v>0.35363322417789173</v>
      </c>
      <c r="K128" s="15"/>
      <c r="L128" s="21">
        <f>+D128-H128</f>
        <v>-148048.0099999996</v>
      </c>
      <c r="M128" s="15"/>
      <c r="N128" s="20">
        <f>IF(H128=0,0,L128/H128)</f>
        <v>-0.37340159961291758</v>
      </c>
      <c r="O128" s="25"/>
      <c r="P128" s="21">
        <f>+P35-P37+P123</f>
        <v>-208741.02000000002</v>
      </c>
      <c r="Q128" s="13"/>
      <c r="R128" s="20">
        <f>IF(P$12=0,0,P128/P$12)</f>
        <v>-0.11416826308111595</v>
      </c>
      <c r="S128" s="13"/>
      <c r="T128" s="21">
        <f>+T35-T37+T123</f>
        <v>-8927.9999999998836</v>
      </c>
      <c r="U128" s="13"/>
      <c r="V128" s="20">
        <f>IF(T$12=0,0,T128/T$12)</f>
        <v>-4.7209184982649772E-3</v>
      </c>
      <c r="W128" s="15"/>
      <c r="X128" s="21">
        <f>+P128-T128</f>
        <v>-199813.02000000014</v>
      </c>
      <c r="Y128" s="15"/>
      <c r="Z128" s="20">
        <f>IF(T128=0,0,X128/T128)</f>
        <v>22.380490591398157</v>
      </c>
    </row>
    <row r="129" spans="1:26" x14ac:dyDescent="0.25">
      <c r="A129" s="9"/>
      <c r="B129" s="10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51"/>
      <c r="B130" s="10" t="s">
        <v>13</v>
      </c>
      <c r="C130" s="10"/>
      <c r="D130" s="4">
        <v>107306.62000000001</v>
      </c>
      <c r="E130" s="4"/>
      <c r="F130" s="12">
        <f>IF(D$12=0,0,D130/D$12)</f>
        <v>9.6336433834464372E-2</v>
      </c>
      <c r="G130" s="4"/>
      <c r="H130" s="4">
        <v>89412.26999999999</v>
      </c>
      <c r="I130" s="4"/>
      <c r="J130" s="12">
        <f>IF(H$12=0,0,H130/H$12)</f>
        <v>7.9748731069890319E-2</v>
      </c>
      <c r="K130" s="4"/>
      <c r="L130" s="4">
        <f>+D130-H130</f>
        <v>17894.35000000002</v>
      </c>
      <c r="M130" s="4"/>
      <c r="N130" s="12">
        <f>IF(H130=0,0,L130/H130)</f>
        <v>0.20013304661653286</v>
      </c>
      <c r="O130" s="10"/>
      <c r="P130" s="4">
        <v>196390.39999999999</v>
      </c>
      <c r="Q130" s="4"/>
      <c r="R130" s="12">
        <f>IF(P$12=0,0,P130/P$12)</f>
        <v>0.10741324754380137</v>
      </c>
      <c r="S130" s="4"/>
      <c r="T130" s="4">
        <v>168023.87</v>
      </c>
      <c r="U130" s="4"/>
      <c r="V130" s="12">
        <f>IF(T$12=0,0,T130/T$12)</f>
        <v>8.8847109770730293E-2</v>
      </c>
      <c r="W130" s="4"/>
      <c r="X130" s="4">
        <f>+P130-T130</f>
        <v>28366.53</v>
      </c>
      <c r="Y130" s="4"/>
      <c r="Z130" s="12">
        <f>IF(T130=0,0,X130/T130)</f>
        <v>0.16882440572282972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6" t="s">
        <v>4</v>
      </c>
      <c r="C132" s="26"/>
      <c r="D132" s="35">
        <f>+D128-D130</f>
        <v>141130.03999999998</v>
      </c>
      <c r="E132" s="13"/>
      <c r="F132" s="30">
        <f>IF(D$12=0,0,D132/D$12)</f>
        <v>0.12670201298405734</v>
      </c>
      <c r="G132" s="13"/>
      <c r="H132" s="35">
        <f>+H128-H130</f>
        <v>307072.39999999956</v>
      </c>
      <c r="I132" s="13"/>
      <c r="J132" s="30">
        <f>IF(H$12=0,0,H132/H$12)</f>
        <v>0.27388449310800134</v>
      </c>
      <c r="K132" s="15"/>
      <c r="L132" s="35">
        <f>D132-H132</f>
        <v>-165942.35999999958</v>
      </c>
      <c r="M132" s="15"/>
      <c r="N132" s="30">
        <f>IF(H132=0,0,L132/H132)</f>
        <v>-0.54040141673429398</v>
      </c>
      <c r="O132" s="25"/>
      <c r="P132" s="35">
        <f>+P128-P130</f>
        <v>-405131.42000000004</v>
      </c>
      <c r="Q132" s="13"/>
      <c r="R132" s="30">
        <f>IF(P$12=0,0,P132/P$12)</f>
        <v>-0.22158151062491735</v>
      </c>
      <c r="S132" s="13"/>
      <c r="T132" s="35">
        <f>+T128-T130</f>
        <v>-176951.86999999988</v>
      </c>
      <c r="U132" s="13"/>
      <c r="V132" s="30">
        <f>IF(T$12=0,0,T132/T$12)</f>
        <v>-9.3568028268995268E-2</v>
      </c>
      <c r="W132" s="15"/>
      <c r="X132" s="35">
        <f>P132-T132</f>
        <v>-228179.55000000016</v>
      </c>
      <c r="Y132" s="15"/>
      <c r="Z132" s="30">
        <f>IF(T132=0,0,X132/T132)</f>
        <v>1.2895006421802737</v>
      </c>
    </row>
    <row r="133" spans="1:26" ht="15.75" thickTop="1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ht="15.75" thickBot="1" x14ac:dyDescent="0.3">
      <c r="A135" s="10"/>
      <c r="B135" s="26" t="s">
        <v>5</v>
      </c>
      <c r="C135" s="26"/>
      <c r="D135" s="36">
        <f>SUM(D132:D134)</f>
        <v>141130.03999999998</v>
      </c>
      <c r="E135" s="13"/>
      <c r="F135" s="31">
        <f>IF(D$12=0,0,D135/D$12)</f>
        <v>0.12670201298405734</v>
      </c>
      <c r="G135" s="13"/>
      <c r="H135" s="36">
        <f>SUM(H132:H134)</f>
        <v>307072.39999999956</v>
      </c>
      <c r="I135" s="13"/>
      <c r="J135" s="31">
        <f>IF(H$12=0,0,H135/H$12)</f>
        <v>0.27388449310800134</v>
      </c>
      <c r="K135" s="15"/>
      <c r="L135" s="36">
        <f>+D135-H135</f>
        <v>-165942.35999999958</v>
      </c>
      <c r="M135" s="15"/>
      <c r="N135" s="31">
        <f>IF(H135=0,0,L135/H135)</f>
        <v>-0.54040141673429398</v>
      </c>
      <c r="O135" s="25"/>
      <c r="P135" s="36">
        <f>SUM(P132:P134)</f>
        <v>-405131.42000000004</v>
      </c>
      <c r="Q135" s="13"/>
      <c r="R135" s="31">
        <f>IF(P$12=0,0,P135/P$12)</f>
        <v>-0.22158151062491735</v>
      </c>
      <c r="S135" s="13"/>
      <c r="T135" s="36">
        <f>SUM(T132:T134)</f>
        <v>-176951.86999999988</v>
      </c>
      <c r="U135" s="13"/>
      <c r="V135" s="31">
        <f>IF(T$12=0,0,T135/T$12)</f>
        <v>-9.3568028268995268E-2</v>
      </c>
      <c r="W135" s="15"/>
      <c r="X135" s="36">
        <f>+P135-T135</f>
        <v>-228179.55000000016</v>
      </c>
      <c r="Y135" s="15"/>
      <c r="Z135" s="31">
        <f>IF(T135=0,0,X135/T135)</f>
        <v>1.2895006421802737</v>
      </c>
    </row>
    <row r="136" spans="1:26" ht="15.75" thickTop="1" x14ac:dyDescent="0.25">
      <c r="A136" s="9"/>
      <c r="C136" s="9"/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  <row r="137" spans="1:26" x14ac:dyDescent="0.25">
      <c r="A137" s="9"/>
      <c r="B137" s="55">
        <v>43756.462623692132</v>
      </c>
      <c r="D137" s="18"/>
      <c r="E137" s="18"/>
      <c r="G137" s="18"/>
      <c r="H137" s="18"/>
      <c r="I137" s="18"/>
      <c r="J137" s="42"/>
      <c r="K137" s="18"/>
      <c r="L137" s="18"/>
      <c r="M137" s="18"/>
      <c r="P137" s="18"/>
      <c r="Q137" s="18"/>
      <c r="R137" s="42"/>
      <c r="S137" s="18"/>
      <c r="T137" s="18"/>
      <c r="U137" s="18"/>
      <c r="V137" s="42"/>
      <c r="W137" s="18"/>
      <c r="X137" s="18"/>
    </row>
    <row r="138" spans="1:26" x14ac:dyDescent="0.25">
      <c r="A138" s="9"/>
      <c r="B138" s="56" t="s">
        <v>313</v>
      </c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A139" s="9"/>
      <c r="B139" s="57"/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  <row r="140" spans="1:26" x14ac:dyDescent="0.25"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299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712931.16</v>
      </c>
      <c r="E12" s="4"/>
      <c r="F12" s="12"/>
      <c r="G12" s="4"/>
      <c r="H12" s="4">
        <f>SUM(OSRRefH13x_0)</f>
        <v>734046.26</v>
      </c>
      <c r="I12" s="4"/>
      <c r="J12" s="12"/>
      <c r="K12" s="4"/>
      <c r="L12" s="4">
        <f t="shared" ref="L12:L22" si="0">+D12-H12</f>
        <v>-21115.099999999977</v>
      </c>
      <c r="M12" s="4"/>
      <c r="N12" s="12">
        <f t="shared" ref="N12:N22" si="1">IF(H12=0,0,L12/H12)</f>
        <v>-2.8765353289859383E-2</v>
      </c>
      <c r="O12" s="10"/>
      <c r="P12" s="4">
        <f>SUM(OSRRefP13x_0)</f>
        <v>1239877.0900000003</v>
      </c>
      <c r="Q12" s="4"/>
      <c r="R12" s="12"/>
      <c r="S12" s="4"/>
      <c r="T12" s="4">
        <f>SUM(OSRRefT13x_0)</f>
        <v>1311179.3900000001</v>
      </c>
      <c r="U12" s="4"/>
      <c r="V12" s="12"/>
      <c r="W12" s="4"/>
      <c r="X12" s="4">
        <f t="shared" ref="X12:X22" si="2">+P12-T12</f>
        <v>-71302.299999999814</v>
      </c>
      <c r="Y12" s="4"/>
      <c r="Z12" s="12">
        <f t="shared" ref="Z12:Z22" si="3">IF(T12=0,0,X12/T12)</f>
        <v>-5.4380278201291592E-2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--82575.01</f>
        <v>82575.009999999995</v>
      </c>
      <c r="E13" s="2"/>
      <c r="F13" s="19"/>
      <c r="G13" s="2"/>
      <c r="H13" s="2">
        <f>--79276.18</f>
        <v>79276.179999999993</v>
      </c>
      <c r="I13" s="2"/>
      <c r="J13" s="19"/>
      <c r="K13" s="2"/>
      <c r="L13" s="2">
        <f t="shared" si="0"/>
        <v>3298.8300000000017</v>
      </c>
      <c r="M13" s="2"/>
      <c r="N13" s="19">
        <f t="shared" si="1"/>
        <v>4.1611868785806812E-2</v>
      </c>
      <c r="O13" s="11"/>
      <c r="P13" s="2">
        <f>--135770.76</f>
        <v>135770.76</v>
      </c>
      <c r="Q13" s="2"/>
      <c r="R13" s="19"/>
      <c r="S13" s="2"/>
      <c r="T13" s="2">
        <f>--134558.31</f>
        <v>134558.31</v>
      </c>
      <c r="U13" s="2"/>
      <c r="V13" s="19"/>
      <c r="W13" s="2"/>
      <c r="X13" s="2">
        <f t="shared" si="2"/>
        <v>1212.4500000000116</v>
      </c>
      <c r="Y13" s="2"/>
      <c r="Z13" s="19">
        <f t="shared" si="3"/>
        <v>9.0105917650125933E-3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--113975.81</f>
        <v>113975.81</v>
      </c>
      <c r="E14" s="2"/>
      <c r="F14" s="19"/>
      <c r="G14" s="2"/>
      <c r="H14" s="2">
        <f>--128269.55</f>
        <v>128269.55</v>
      </c>
      <c r="I14" s="2"/>
      <c r="J14" s="19"/>
      <c r="K14" s="2"/>
      <c r="L14" s="2">
        <f t="shared" si="0"/>
        <v>-14293.740000000005</v>
      </c>
      <c r="M14" s="2"/>
      <c r="N14" s="19">
        <f t="shared" si="1"/>
        <v>-0.11143517693794049</v>
      </c>
      <c r="O14" s="11"/>
      <c r="P14" s="2">
        <f>--253506.01</f>
        <v>253506.01</v>
      </c>
      <c r="Q14" s="2"/>
      <c r="R14" s="19"/>
      <c r="S14" s="2"/>
      <c r="T14" s="2">
        <f>--318104.17</f>
        <v>318104.17</v>
      </c>
      <c r="U14" s="2"/>
      <c r="V14" s="19"/>
      <c r="W14" s="2"/>
      <c r="X14" s="2">
        <f t="shared" si="2"/>
        <v>-64598.159999999974</v>
      </c>
      <c r="Y14" s="2"/>
      <c r="Z14" s="19">
        <f t="shared" si="3"/>
        <v>-0.20307234576648264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--1983.68</f>
        <v>1983.68</v>
      </c>
      <c r="E15" s="2"/>
      <c r="F15" s="19"/>
      <c r="G15" s="2"/>
      <c r="H15" s="2">
        <f>--3646.26</f>
        <v>3646.26</v>
      </c>
      <c r="I15" s="2"/>
      <c r="J15" s="19"/>
      <c r="K15" s="2"/>
      <c r="L15" s="2">
        <f t="shared" si="0"/>
        <v>-1662.5800000000002</v>
      </c>
      <c r="M15" s="2"/>
      <c r="N15" s="19">
        <f t="shared" si="1"/>
        <v>-0.45596858150543296</v>
      </c>
      <c r="O15" s="11"/>
      <c r="P15" s="2">
        <f>--46832.42</f>
        <v>46832.42</v>
      </c>
      <c r="Q15" s="2"/>
      <c r="R15" s="19"/>
      <c r="S15" s="2"/>
      <c r="T15" s="2">
        <f>--36217.66</f>
        <v>36217.660000000003</v>
      </c>
      <c r="U15" s="2"/>
      <c r="V15" s="19"/>
      <c r="W15" s="2"/>
      <c r="X15" s="2">
        <f t="shared" si="2"/>
        <v>10614.759999999995</v>
      </c>
      <c r="Y15" s="2"/>
      <c r="Z15" s="19">
        <f t="shared" si="3"/>
        <v>0.2930824354748483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>--66898.61</f>
        <v>66898.61</v>
      </c>
      <c r="E16" s="2"/>
      <c r="F16" s="19"/>
      <c r="G16" s="2"/>
      <c r="H16" s="2">
        <f>--76146.03</f>
        <v>76146.03</v>
      </c>
      <c r="I16" s="2"/>
      <c r="J16" s="19"/>
      <c r="K16" s="2"/>
      <c r="L16" s="2">
        <f t="shared" si="0"/>
        <v>-9247.4199999999983</v>
      </c>
      <c r="M16" s="2"/>
      <c r="N16" s="19">
        <f t="shared" si="1"/>
        <v>-0.12144323216850568</v>
      </c>
      <c r="O16" s="11"/>
      <c r="P16" s="2">
        <f>--110835.68</f>
        <v>110835.68</v>
      </c>
      <c r="Q16" s="2"/>
      <c r="R16" s="19"/>
      <c r="S16" s="2"/>
      <c r="T16" s="2">
        <f>--126311.72</f>
        <v>126311.72</v>
      </c>
      <c r="U16" s="2"/>
      <c r="V16" s="19"/>
      <c r="W16" s="2"/>
      <c r="X16" s="2">
        <f t="shared" si="2"/>
        <v>-15476.040000000008</v>
      </c>
      <c r="Y16" s="2"/>
      <c r="Z16" s="19">
        <f t="shared" si="3"/>
        <v>-0.12252259726967543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--24452.76</f>
        <v>24452.76</v>
      </c>
      <c r="E18" s="2"/>
      <c r="F18" s="19"/>
      <c r="G18" s="2"/>
      <c r="H18" s="2">
        <f>--37319.34</f>
        <v>37319.339999999997</v>
      </c>
      <c r="I18" s="2"/>
      <c r="J18" s="19"/>
      <c r="K18" s="2"/>
      <c r="L18" s="2">
        <f t="shared" si="0"/>
        <v>-12866.579999999998</v>
      </c>
      <c r="M18" s="2"/>
      <c r="N18" s="19">
        <f t="shared" si="1"/>
        <v>-0.3447697628093101</v>
      </c>
      <c r="O18" s="11"/>
      <c r="P18" s="2">
        <f>--42290.9</f>
        <v>42290.9</v>
      </c>
      <c r="Q18" s="2"/>
      <c r="R18" s="19"/>
      <c r="S18" s="2"/>
      <c r="T18" s="2">
        <f>--65691.63</f>
        <v>65691.63</v>
      </c>
      <c r="U18" s="2"/>
      <c r="V18" s="19"/>
      <c r="W18" s="2"/>
      <c r="X18" s="2">
        <f t="shared" si="2"/>
        <v>-23400.730000000003</v>
      </c>
      <c r="Y18" s="2"/>
      <c r="Z18" s="19">
        <f t="shared" si="3"/>
        <v>-0.35622087623643989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--230707.54</f>
        <v>230707.54</v>
      </c>
      <c r="E19" s="2"/>
      <c r="F19" s="19"/>
      <c r="G19" s="2"/>
      <c r="H19" s="2">
        <f>--227766.15</f>
        <v>227766.15</v>
      </c>
      <c r="I19" s="2"/>
      <c r="J19" s="19"/>
      <c r="K19" s="2"/>
      <c r="L19" s="2">
        <f t="shared" si="0"/>
        <v>2941.390000000014</v>
      </c>
      <c r="M19" s="2"/>
      <c r="N19" s="19">
        <f t="shared" si="1"/>
        <v>1.2914078760167013E-2</v>
      </c>
      <c r="O19" s="11"/>
      <c r="P19" s="2">
        <f>--339551.09</f>
        <v>339551.09</v>
      </c>
      <c r="Q19" s="2"/>
      <c r="R19" s="19"/>
      <c r="S19" s="2"/>
      <c r="T19" s="2">
        <f>--307621.85</f>
        <v>307621.84999999998</v>
      </c>
      <c r="U19" s="2"/>
      <c r="V19" s="19"/>
      <c r="W19" s="2"/>
      <c r="X19" s="2">
        <f t="shared" si="2"/>
        <v>31929.240000000049</v>
      </c>
      <c r="Y19" s="2"/>
      <c r="Z19" s="19">
        <f t="shared" si="3"/>
        <v>0.10379379748220112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--8131.54</f>
        <v>8131.54</v>
      </c>
      <c r="E20" s="2"/>
      <c r="F20" s="19"/>
      <c r="G20" s="2"/>
      <c r="H20" s="2">
        <f>--7627.39</f>
        <v>7627.39</v>
      </c>
      <c r="I20" s="2"/>
      <c r="J20" s="19"/>
      <c r="K20" s="2"/>
      <c r="L20" s="2">
        <f t="shared" si="0"/>
        <v>504.14999999999964</v>
      </c>
      <c r="M20" s="2"/>
      <c r="N20" s="19">
        <f t="shared" si="1"/>
        <v>6.6097315071079313E-2</v>
      </c>
      <c r="O20" s="11"/>
      <c r="P20" s="2">
        <f>--15789.06</f>
        <v>15789.06</v>
      </c>
      <c r="Q20" s="2"/>
      <c r="R20" s="19"/>
      <c r="S20" s="2"/>
      <c r="T20" s="2">
        <f>--15299.92</f>
        <v>15299.92</v>
      </c>
      <c r="U20" s="2"/>
      <c r="V20" s="19"/>
      <c r="W20" s="2"/>
      <c r="X20" s="2">
        <f t="shared" si="2"/>
        <v>489.13999999999942</v>
      </c>
      <c r="Y20" s="2"/>
      <c r="Z20" s="19">
        <f t="shared" si="3"/>
        <v>3.1970101804453845E-2</v>
      </c>
    </row>
    <row r="21" spans="1:26" s="24" customFormat="1" hidden="1" outlineLevel="1" x14ac:dyDescent="0.25">
      <c r="A21" s="44"/>
      <c r="B21" s="11" t="str">
        <f>CONCATENATE("          ", "4155", " - ", "NON-TAXABLE SALES-FOOD")</f>
        <v xml:space="preserve">          4155 - NON-TAXABLE SALES-FOOD</v>
      </c>
      <c r="C21" s="11"/>
      <c r="D21" s="2">
        <f>--112329.49</f>
        <v>112329.49</v>
      </c>
      <c r="E21" s="2"/>
      <c r="F21" s="19"/>
      <c r="G21" s="2"/>
      <c r="H21" s="2">
        <f>--105446.38</f>
        <v>105446.38</v>
      </c>
      <c r="I21" s="2"/>
      <c r="J21" s="19"/>
      <c r="K21" s="2"/>
      <c r="L21" s="2">
        <f t="shared" si="0"/>
        <v>6883.1100000000006</v>
      </c>
      <c r="M21" s="2"/>
      <c r="N21" s="19">
        <f t="shared" si="1"/>
        <v>6.5275925072060328E-2</v>
      </c>
      <c r="O21" s="11"/>
      <c r="P21" s="2">
        <f>--183054.54</f>
        <v>183054.54</v>
      </c>
      <c r="Q21" s="2"/>
      <c r="R21" s="19"/>
      <c r="S21" s="2"/>
      <c r="T21" s="2">
        <f>--172843.7</f>
        <v>172843.7</v>
      </c>
      <c r="U21" s="2"/>
      <c r="V21" s="19"/>
      <c r="W21" s="2"/>
      <c r="X21" s="2">
        <f t="shared" si="2"/>
        <v>10210.839999999997</v>
      </c>
      <c r="Y21" s="2"/>
      <c r="Z21" s="19">
        <f t="shared" si="3"/>
        <v>5.9075569430647436E-2</v>
      </c>
    </row>
    <row r="22" spans="1:26" s="24" customFormat="1" hidden="1" outlineLevel="1" x14ac:dyDescent="0.25">
      <c r="A22" s="44"/>
      <c r="B22" s="11" t="str">
        <f>CONCATENATE("          ", "4158", " - ", "NON-TAXABLE SALES-FOOD")</f>
        <v xml:space="preserve">          4158 - NON-TAXABLE SALES-FOOD</v>
      </c>
      <c r="C22" s="11"/>
      <c r="D22" s="2">
        <f>--71876.72</f>
        <v>71876.72</v>
      </c>
      <c r="E22" s="2"/>
      <c r="F22" s="19"/>
      <c r="G22" s="2"/>
      <c r="H22" s="2">
        <f>--68548.98</f>
        <v>68548.98</v>
      </c>
      <c r="I22" s="2"/>
      <c r="J22" s="19"/>
      <c r="K22" s="2"/>
      <c r="L22" s="2">
        <f t="shared" si="0"/>
        <v>3327.7400000000052</v>
      </c>
      <c r="M22" s="2"/>
      <c r="N22" s="19">
        <f t="shared" si="1"/>
        <v>4.8545434228197203E-2</v>
      </c>
      <c r="O22" s="11"/>
      <c r="P22" s="2">
        <f>--112246.63</f>
        <v>112246.63</v>
      </c>
      <c r="Q22" s="2"/>
      <c r="R22" s="19"/>
      <c r="S22" s="2"/>
      <c r="T22" s="2">
        <f>--123024.35</f>
        <v>123024.35</v>
      </c>
      <c r="U22" s="2"/>
      <c r="V22" s="19"/>
      <c r="W22" s="2"/>
      <c r="X22" s="2">
        <f t="shared" si="2"/>
        <v>-10777.720000000001</v>
      </c>
      <c r="Y22" s="2"/>
      <c r="Z22" s="19">
        <f t="shared" si="3"/>
        <v>-8.7606396619856156E-2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5" t="s">
        <v>8</v>
      </c>
      <c r="C24" s="10"/>
      <c r="D24" s="4">
        <f>SUM(OSRRefD16x_0)</f>
        <v>263452.11</v>
      </c>
      <c r="E24" s="4"/>
      <c r="F24" s="12">
        <f t="shared" ref="F24:F26" si="4">IF(D$12=0,0,D24/D$12)</f>
        <v>0.36953372889466629</v>
      </c>
      <c r="G24" s="4"/>
      <c r="H24" s="4">
        <f>SUM(OSRRefH16x_0)</f>
        <v>221288.26000000004</v>
      </c>
      <c r="I24" s="4"/>
      <c r="J24" s="12">
        <f t="shared" ref="J24:J26" si="5">IF(H$12=0,0,H24/H$12)</f>
        <v>0.30146364344939247</v>
      </c>
      <c r="K24" s="4"/>
      <c r="L24" s="4">
        <f t="shared" ref="L24:L26" si="6">+D24-H24</f>
        <v>42163.849999999948</v>
      </c>
      <c r="M24" s="4"/>
      <c r="N24" s="12">
        <f t="shared" ref="N24:N26" si="7">IF(H24=0,0,L24/H24)</f>
        <v>0.19053812434514122</v>
      </c>
      <c r="O24" s="10"/>
      <c r="P24" s="4">
        <f>SUM(OSRRefP16x_0)</f>
        <v>441910.93</v>
      </c>
      <c r="Q24" s="4"/>
      <c r="R24" s="12">
        <f t="shared" ref="R24:R26" si="8">IF(P$12=0,0,P24/P$12)</f>
        <v>0.35641511046873192</v>
      </c>
      <c r="S24" s="4"/>
      <c r="T24" s="4">
        <f>SUM(OSRRefT16x_0)</f>
        <v>402588.88999999996</v>
      </c>
      <c r="U24" s="4"/>
      <c r="V24" s="12">
        <f t="shared" ref="V24:V26" si="9">IF(T$12=0,0,T24/T$12)</f>
        <v>0.30704333294927699</v>
      </c>
      <c r="W24" s="4"/>
      <c r="X24" s="4">
        <f t="shared" ref="X24:X26" si="10">+P24-T24</f>
        <v>39322.040000000037</v>
      </c>
      <c r="Y24" s="4"/>
      <c r="Z24" s="12">
        <f t="shared" ref="Z24:Z26" si="11">IF(T24=0,0,X24/T24)</f>
        <v>9.7672938763908868E-2</v>
      </c>
    </row>
    <row r="25" spans="1:26" s="24" customFormat="1" hidden="1" outlineLevel="1" x14ac:dyDescent="0.25">
      <c r="A25" s="44"/>
      <c r="B25" s="11" t="str">
        <f>CONCATENATE("          ", "5053", " - ", "PURCHASES @ COST-FOOD")</f>
        <v xml:space="preserve">          5053 - PURCHASES @ COST-FOOD</v>
      </c>
      <c r="C25" s="11"/>
      <c r="D25" s="2">
        <v>246283.88</v>
      </c>
      <c r="E25" s="2"/>
      <c r="F25" s="19">
        <f t="shared" si="4"/>
        <v>0.34545253990581642</v>
      </c>
      <c r="G25" s="2"/>
      <c r="H25" s="2">
        <v>229633.84000000003</v>
      </c>
      <c r="I25" s="2"/>
      <c r="J25" s="19">
        <f t="shared" si="5"/>
        <v>0.31283292690572395</v>
      </c>
      <c r="K25" s="2"/>
      <c r="L25" s="2">
        <f t="shared" si="6"/>
        <v>16650.039999999979</v>
      </c>
      <c r="M25" s="2"/>
      <c r="N25" s="19">
        <f t="shared" si="7"/>
        <v>7.2506909260412047E-2</v>
      </c>
      <c r="O25" s="11"/>
      <c r="P25" s="2">
        <v>449767.04</v>
      </c>
      <c r="Q25" s="2"/>
      <c r="R25" s="19">
        <f t="shared" si="8"/>
        <v>0.36275131109971542</v>
      </c>
      <c r="S25" s="2"/>
      <c r="T25" s="2">
        <v>441744.72</v>
      </c>
      <c r="U25" s="2"/>
      <c r="V25" s="19">
        <f t="shared" si="9"/>
        <v>0.33690639386880533</v>
      </c>
      <c r="W25" s="2"/>
      <c r="X25" s="2">
        <f t="shared" si="10"/>
        <v>8022.320000000007</v>
      </c>
      <c r="Y25" s="2"/>
      <c r="Z25" s="19">
        <f t="shared" si="11"/>
        <v>1.8160533984424323E-2</v>
      </c>
    </row>
    <row r="26" spans="1:26" s="24" customFormat="1" hidden="1" outlineLevel="1" x14ac:dyDescent="0.25">
      <c r="A26" s="44"/>
      <c r="B26" s="11" t="str">
        <f>CONCATENATE("          ", "5059", " - ", "PURCHASES @ COST-FOOD")</f>
        <v xml:space="preserve">          5059 - PURCHASES @ COST-FOOD</v>
      </c>
      <c r="C26" s="11"/>
      <c r="D26" s="2">
        <v>17168.230000000003</v>
      </c>
      <c r="E26" s="2"/>
      <c r="F26" s="19">
        <f t="shared" si="4"/>
        <v>2.4081188988849922E-2</v>
      </c>
      <c r="G26" s="2"/>
      <c r="H26" s="2">
        <v>-8345.58</v>
      </c>
      <c r="I26" s="2"/>
      <c r="J26" s="19">
        <f t="shared" si="5"/>
        <v>-1.1369283456331486E-2</v>
      </c>
      <c r="K26" s="2"/>
      <c r="L26" s="2">
        <f t="shared" si="6"/>
        <v>25513.810000000005</v>
      </c>
      <c r="M26" s="2"/>
      <c r="N26" s="19">
        <f t="shared" si="7"/>
        <v>-3.0571643912106774</v>
      </c>
      <c r="O26" s="11"/>
      <c r="P26" s="2">
        <v>-7856.11</v>
      </c>
      <c r="Q26" s="2"/>
      <c r="R26" s="19">
        <f t="shared" si="8"/>
        <v>-6.3362006309835095E-3</v>
      </c>
      <c r="S26" s="2"/>
      <c r="T26" s="2">
        <v>-39155.83</v>
      </c>
      <c r="U26" s="2"/>
      <c r="V26" s="19">
        <f t="shared" si="9"/>
        <v>-2.9863060919528332E-2</v>
      </c>
      <c r="W26" s="2"/>
      <c r="X26" s="2">
        <f t="shared" si="10"/>
        <v>31299.72</v>
      </c>
      <c r="Y26" s="2"/>
      <c r="Z26" s="19">
        <f t="shared" si="11"/>
        <v>-0.79936295565692261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6" t="s">
        <v>6</v>
      </c>
      <c r="C28" s="26"/>
      <c r="D28" s="21">
        <f>D12-D24</f>
        <v>449479.05000000005</v>
      </c>
      <c r="E28" s="13"/>
      <c r="F28" s="20">
        <f>IF(D$12=0,0,D28/D$12)</f>
        <v>0.63046627110533371</v>
      </c>
      <c r="G28" s="13"/>
      <c r="H28" s="21">
        <f>H12-H24</f>
        <v>512758</v>
      </c>
      <c r="I28" s="13"/>
      <c r="J28" s="20">
        <f>IF(H$12=0,0,H28/H$12)</f>
        <v>0.69853635655060753</v>
      </c>
      <c r="K28" s="15"/>
      <c r="L28" s="21">
        <f>+D28-H28</f>
        <v>-63278.949999999953</v>
      </c>
      <c r="M28" s="15"/>
      <c r="N28" s="20">
        <f>IF(H28=0,0,L28/H28)</f>
        <v>-0.12340899605661922</v>
      </c>
      <c r="O28" s="25"/>
      <c r="P28" s="21">
        <f>P12-P24</f>
        <v>797966.16000000038</v>
      </c>
      <c r="Q28" s="13"/>
      <c r="R28" s="20">
        <f>IF(P$12=0,0,P28/P$12)</f>
        <v>0.64358488953126813</v>
      </c>
      <c r="S28" s="13"/>
      <c r="T28" s="21">
        <f>T12-T24</f>
        <v>908590.50000000023</v>
      </c>
      <c r="U28" s="13"/>
      <c r="V28" s="20">
        <f>IF(T$12=0,0,T28/T$12)</f>
        <v>0.69295666705072301</v>
      </c>
      <c r="W28" s="15"/>
      <c r="X28" s="21">
        <f>+P28-T28</f>
        <v>-110624.33999999985</v>
      </c>
      <c r="Y28" s="15"/>
      <c r="Z28" s="20">
        <f>IF(T28=0,0,X28/T28)</f>
        <v>-0.12175379337556338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5" t="s">
        <v>9</v>
      </c>
      <c r="C30" s="10"/>
      <c r="D30" s="22">
        <f>SUM(OSRRefD22x_0)</f>
        <v>531523.91000000027</v>
      </c>
      <c r="E30" s="22"/>
      <c r="F30" s="34">
        <f t="shared" ref="F30:F40" si="12">IF(D$12=0,0,D30/D$12)</f>
        <v>0.74554731202939739</v>
      </c>
      <c r="G30" s="22"/>
      <c r="H30" s="22">
        <f>SUM(OSRRefH22x_0)</f>
        <v>444277.39999999997</v>
      </c>
      <c r="I30" s="22"/>
      <c r="J30" s="34">
        <f t="shared" ref="J30:J40" si="13">IF(H$12=0,0,H30/H$12)</f>
        <v>0.60524441606718349</v>
      </c>
      <c r="K30" s="4"/>
      <c r="L30" s="22">
        <f t="shared" ref="L30:L40" si="14">+D30-H30</f>
        <v>87246.5100000003</v>
      </c>
      <c r="M30" s="4"/>
      <c r="N30" s="34">
        <f t="shared" ref="N30:N40" si="15">IF(H30=0,0,L30/H30)</f>
        <v>0.19637845634281714</v>
      </c>
      <c r="O30" s="10"/>
      <c r="P30" s="22">
        <f>SUM(OSRRefP22x_0)</f>
        <v>1326192.3900000001</v>
      </c>
      <c r="Q30" s="22"/>
      <c r="R30" s="34">
        <f t="shared" ref="R30:R40" si="16">IF(P$12=0,0,P30/P$12)</f>
        <v>1.0696160133098351</v>
      </c>
      <c r="S30" s="22"/>
      <c r="T30" s="22">
        <f>SUM(OSRRefT22x_0)</f>
        <v>1226457.2699999996</v>
      </c>
      <c r="U30" s="22"/>
      <c r="V30" s="34">
        <f t="shared" ref="V30:V40" si="17">IF(T$12=0,0,T30/T$12)</f>
        <v>0.93538479887180004</v>
      </c>
      <c r="W30" s="4"/>
      <c r="X30" s="22">
        <f t="shared" ref="X30:X40" si="18">+P30-T30</f>
        <v>99735.120000000577</v>
      </c>
      <c r="Y30" s="4"/>
      <c r="Z30" s="34">
        <f t="shared" ref="Z30:Z40" si="19">IF(T30=0,0,X30/T30)</f>
        <v>8.1319685927582791E-2</v>
      </c>
    </row>
    <row r="31" spans="1:26" s="29" customFormat="1" outlineLevel="1" collapsed="1" x14ac:dyDescent="0.25">
      <c r="A31" s="27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78475.53</v>
      </c>
      <c r="E31" s="1"/>
      <c r="F31" s="5">
        <f t="shared" si="12"/>
        <v>0.11007448461082833</v>
      </c>
      <c r="G31" s="1"/>
      <c r="H31" s="1">
        <f>SUM(OSRRefH22_0x_0)</f>
        <v>50729.049999999996</v>
      </c>
      <c r="I31" s="1"/>
      <c r="J31" s="5">
        <f t="shared" si="13"/>
        <v>6.9108791590328372E-2</v>
      </c>
      <c r="K31" s="1"/>
      <c r="L31" s="1">
        <f t="shared" si="14"/>
        <v>27746.480000000003</v>
      </c>
      <c r="M31" s="1"/>
      <c r="N31" s="5">
        <f t="shared" si="15"/>
        <v>0.54695445706158519</v>
      </c>
      <c r="O31" s="14"/>
      <c r="P31" s="1">
        <f>SUM(OSRRefP22_0x_0)</f>
        <v>202882.59</v>
      </c>
      <c r="Q31" s="1"/>
      <c r="R31" s="5">
        <f t="shared" si="16"/>
        <v>0.1636312112194927</v>
      </c>
      <c r="S31" s="1"/>
      <c r="T31" s="1">
        <f>SUM(OSRRefT22_0x_0)</f>
        <v>166603.18</v>
      </c>
      <c r="U31" s="1"/>
      <c r="V31" s="5">
        <f t="shared" si="17"/>
        <v>0.12706360492746913</v>
      </c>
      <c r="W31" s="1"/>
      <c r="X31" s="1">
        <f t="shared" si="18"/>
        <v>36279.410000000003</v>
      </c>
      <c r="Y31" s="1"/>
      <c r="Z31" s="5">
        <f t="shared" si="19"/>
        <v>0.21775940891404358</v>
      </c>
    </row>
    <row r="32" spans="1:26" s="24" customFormat="1" hidden="1" outlineLevel="2" x14ac:dyDescent="0.25">
      <c r="A32" s="28"/>
      <c r="B32" s="11" t="str">
        <f>CONCATENATE("          ", "6111", " - ", "F.I.C.A.")</f>
        <v xml:space="preserve">          6111 - F.I.C.A.</v>
      </c>
      <c r="C32" s="11"/>
      <c r="D32" s="6">
        <v>11176.97</v>
      </c>
      <c r="E32" s="2"/>
      <c r="F32" s="7">
        <f t="shared" si="12"/>
        <v>1.5677488412766248E-2</v>
      </c>
      <c r="G32" s="2"/>
      <c r="H32" s="6">
        <v>9380.5499999999993</v>
      </c>
      <c r="I32" s="2"/>
      <c r="J32" s="7">
        <f t="shared" si="13"/>
        <v>1.2779235466712955E-2</v>
      </c>
      <c r="K32" s="2"/>
      <c r="L32" s="6">
        <f t="shared" si="14"/>
        <v>1796.42</v>
      </c>
      <c r="M32" s="2"/>
      <c r="N32" s="7">
        <f t="shared" si="15"/>
        <v>0.19150476251392512</v>
      </c>
      <c r="O32" s="11"/>
      <c r="P32" s="6">
        <v>34411.729999999996</v>
      </c>
      <c r="Q32" s="2"/>
      <c r="R32" s="7">
        <f t="shared" si="16"/>
        <v>2.7754146179118439E-2</v>
      </c>
      <c r="S32" s="2"/>
      <c r="T32" s="6">
        <v>30906.47</v>
      </c>
      <c r="U32" s="2"/>
      <c r="V32" s="7">
        <f t="shared" si="17"/>
        <v>2.3571503819931151E-2</v>
      </c>
      <c r="W32" s="2"/>
      <c r="X32" s="6">
        <f t="shared" si="18"/>
        <v>3505.2599999999948</v>
      </c>
      <c r="Y32" s="2"/>
      <c r="Z32" s="7">
        <f t="shared" si="19"/>
        <v>0.11341508752050929</v>
      </c>
    </row>
    <row r="33" spans="1:26" s="24" customFormat="1" hidden="1" outlineLevel="2" x14ac:dyDescent="0.25">
      <c r="A33" s="28"/>
      <c r="B33" s="11" t="str">
        <f>CONCATENATE("          ", "6112", " - ", "COMPENSATION INSURANCE")</f>
        <v xml:space="preserve">          6112 - COMPENSATION INSURANCE</v>
      </c>
      <c r="C33" s="11"/>
      <c r="D33" s="6">
        <v>8784.84</v>
      </c>
      <c r="E33" s="2"/>
      <c r="F33" s="7">
        <f t="shared" si="12"/>
        <v>1.2322143417044641E-2</v>
      </c>
      <c r="G33" s="2"/>
      <c r="H33" s="6"/>
      <c r="I33" s="2"/>
      <c r="J33" s="7">
        <f t="shared" si="13"/>
        <v>0</v>
      </c>
      <c r="K33" s="2"/>
      <c r="L33" s="6">
        <f t="shared" si="14"/>
        <v>8784.84</v>
      </c>
      <c r="M33" s="2"/>
      <c r="N33" s="7">
        <f t="shared" si="15"/>
        <v>0</v>
      </c>
      <c r="O33" s="11"/>
      <c r="P33" s="6">
        <v>19972.59</v>
      </c>
      <c r="Q33" s="2"/>
      <c r="R33" s="7">
        <f t="shared" si="16"/>
        <v>1.6108524111853696E-2</v>
      </c>
      <c r="S33" s="2"/>
      <c r="T33" s="6">
        <v>11295.92</v>
      </c>
      <c r="U33" s="2"/>
      <c r="V33" s="7">
        <f t="shared" si="17"/>
        <v>8.6150835546614252E-3</v>
      </c>
      <c r="W33" s="2"/>
      <c r="X33" s="6">
        <f t="shared" si="18"/>
        <v>8676.67</v>
      </c>
      <c r="Y33" s="2"/>
      <c r="Z33" s="7">
        <f t="shared" si="19"/>
        <v>0.7681242430895403</v>
      </c>
    </row>
    <row r="34" spans="1:26" s="24" customFormat="1" hidden="1" outlineLevel="2" x14ac:dyDescent="0.25">
      <c r="A34" s="28"/>
      <c r="B34" s="11" t="str">
        <f>CONCATENATE("          ", "6113", " - ", "GROUP INSURANCE")</f>
        <v xml:space="preserve">          6113 - GROUP INSURANCE</v>
      </c>
      <c r="C34" s="11"/>
      <c r="D34" s="6">
        <v>20642.36</v>
      </c>
      <c r="E34" s="2"/>
      <c r="F34" s="7">
        <f t="shared" si="12"/>
        <v>2.8954212072873908E-2</v>
      </c>
      <c r="G34" s="2"/>
      <c r="H34" s="6">
        <v>22834.89</v>
      </c>
      <c r="I34" s="2"/>
      <c r="J34" s="7">
        <f t="shared" si="13"/>
        <v>3.110824377744258E-2</v>
      </c>
      <c r="K34" s="2"/>
      <c r="L34" s="6">
        <f t="shared" si="14"/>
        <v>-2192.5299999999988</v>
      </c>
      <c r="M34" s="2"/>
      <c r="N34" s="7">
        <f t="shared" si="15"/>
        <v>-9.6016665725124975E-2</v>
      </c>
      <c r="O34" s="11"/>
      <c r="P34" s="6">
        <v>61847.399999999994</v>
      </c>
      <c r="Q34" s="2"/>
      <c r="R34" s="7">
        <f t="shared" si="16"/>
        <v>4.9881879824071898E-2</v>
      </c>
      <c r="S34" s="2"/>
      <c r="T34" s="6">
        <v>55168.83</v>
      </c>
      <c r="U34" s="2"/>
      <c r="V34" s="7">
        <f t="shared" si="17"/>
        <v>4.207573000365724E-2</v>
      </c>
      <c r="W34" s="2"/>
      <c r="X34" s="6">
        <f t="shared" si="18"/>
        <v>6678.5699999999924</v>
      </c>
      <c r="Y34" s="2"/>
      <c r="Z34" s="7">
        <f t="shared" si="19"/>
        <v>0.12105694465516112</v>
      </c>
    </row>
    <row r="35" spans="1:26" s="24" customFormat="1" hidden="1" outlineLevel="2" x14ac:dyDescent="0.25">
      <c r="A35" s="28"/>
      <c r="B35" s="11" t="str">
        <f>CONCATENATE("          ", "6114", " - ", "STATE UNEMPLOYMENT INSURANCE")</f>
        <v xml:space="preserve">          6114 - STATE UNEMPLOYMENT INSURANCE</v>
      </c>
      <c r="C35" s="11"/>
      <c r="D35" s="6">
        <v>628.28</v>
      </c>
      <c r="E35" s="2"/>
      <c r="F35" s="7">
        <f t="shared" si="12"/>
        <v>8.8126320639428911E-4</v>
      </c>
      <c r="G35" s="2"/>
      <c r="H35" s="6">
        <v>572.41</v>
      </c>
      <c r="I35" s="2"/>
      <c r="J35" s="7">
        <f t="shared" si="13"/>
        <v>7.7980098965424872E-4</v>
      </c>
      <c r="K35" s="2"/>
      <c r="L35" s="6">
        <f t="shared" si="14"/>
        <v>55.870000000000005</v>
      </c>
      <c r="M35" s="2"/>
      <c r="N35" s="7">
        <f t="shared" si="15"/>
        <v>9.7604863646686829E-2</v>
      </c>
      <c r="O35" s="11"/>
      <c r="P35" s="6">
        <v>1413.62</v>
      </c>
      <c r="Q35" s="2"/>
      <c r="R35" s="7">
        <f t="shared" si="16"/>
        <v>1.1401291397359391E-3</v>
      </c>
      <c r="S35" s="2"/>
      <c r="T35" s="6">
        <v>1438.39</v>
      </c>
      <c r="U35" s="2"/>
      <c r="V35" s="7">
        <f t="shared" si="17"/>
        <v>1.0970199890039454E-3</v>
      </c>
      <c r="W35" s="2"/>
      <c r="X35" s="6">
        <f t="shared" si="18"/>
        <v>-24.770000000000209</v>
      </c>
      <c r="Y35" s="2"/>
      <c r="Z35" s="7">
        <f t="shared" si="19"/>
        <v>-1.7220642523933152E-2</v>
      </c>
    </row>
    <row r="36" spans="1:26" s="24" customFormat="1" hidden="1" outlineLevel="2" x14ac:dyDescent="0.25">
      <c r="A36" s="28"/>
      <c r="B36" s="11" t="str">
        <f>CONCATENATE("          ", "6115", " - ", "P.E.R.S.")</f>
        <v xml:space="preserve">          6115 - P.E.R.S.</v>
      </c>
      <c r="C36" s="11"/>
      <c r="D36" s="6">
        <v>6237.4</v>
      </c>
      <c r="E36" s="2"/>
      <c r="F36" s="7">
        <f t="shared" si="12"/>
        <v>8.7489513012729021E-3</v>
      </c>
      <c r="G36" s="2"/>
      <c r="H36" s="6">
        <v>5509.88</v>
      </c>
      <c r="I36" s="2"/>
      <c r="J36" s="7">
        <f t="shared" si="13"/>
        <v>7.5061754282352722E-3</v>
      </c>
      <c r="K36" s="2"/>
      <c r="L36" s="6">
        <f t="shared" si="14"/>
        <v>727.51999999999953</v>
      </c>
      <c r="M36" s="2"/>
      <c r="N36" s="7">
        <f t="shared" si="15"/>
        <v>0.13203917326693132</v>
      </c>
      <c r="O36" s="11"/>
      <c r="P36" s="6">
        <v>17796.560000000001</v>
      </c>
      <c r="Q36" s="2"/>
      <c r="R36" s="7">
        <f t="shared" si="16"/>
        <v>1.4353487247675491E-2</v>
      </c>
      <c r="S36" s="2"/>
      <c r="T36" s="6">
        <v>19947.929999999997</v>
      </c>
      <c r="U36" s="2"/>
      <c r="V36" s="7">
        <f t="shared" si="17"/>
        <v>1.521373059410276E-2</v>
      </c>
      <c r="W36" s="2"/>
      <c r="X36" s="6">
        <f t="shared" si="18"/>
        <v>-2151.3699999999953</v>
      </c>
      <c r="Y36" s="2"/>
      <c r="Z36" s="7">
        <f t="shared" si="19"/>
        <v>-0.1078492856150987</v>
      </c>
    </row>
    <row r="37" spans="1:26" s="24" customFormat="1" hidden="1" outlineLevel="2" x14ac:dyDescent="0.25">
      <c r="A37" s="28"/>
      <c r="B37" s="11" t="str">
        <f>CONCATENATE("          ", "6117", " - ", "RETIREMENT STAFF HOURLY")</f>
        <v xml:space="preserve">          6117 - RETIREMENT STAFF HOURLY</v>
      </c>
      <c r="C37" s="11"/>
      <c r="D37" s="6">
        <v>84</v>
      </c>
      <c r="E37" s="2"/>
      <c r="F37" s="7">
        <f t="shared" si="12"/>
        <v>1.1782343753918681E-4</v>
      </c>
      <c r="G37" s="2"/>
      <c r="H37" s="6">
        <v>84</v>
      </c>
      <c r="I37" s="2"/>
      <c r="J37" s="7">
        <f t="shared" si="13"/>
        <v>1.1443420473254642E-4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>
        <v>196</v>
      </c>
      <c r="Q37" s="2"/>
      <c r="R37" s="7">
        <f t="shared" si="16"/>
        <v>1.5808018518996908E-4</v>
      </c>
      <c r="S37" s="2"/>
      <c r="T37" s="6">
        <v>196</v>
      </c>
      <c r="U37" s="2"/>
      <c r="V37" s="7">
        <f t="shared" si="17"/>
        <v>1.4948374074122685E-4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25">
      <c r="A38" s="28"/>
      <c r="B38" s="11" t="str">
        <f>CONCATENATE("          ", "6118", " - ", "VACATION")</f>
        <v xml:space="preserve">          6118 - VACATION</v>
      </c>
      <c r="C38" s="11"/>
      <c r="D38" s="6">
        <v>9375.94</v>
      </c>
      <c r="E38" s="2"/>
      <c r="F38" s="7">
        <f t="shared" si="12"/>
        <v>1.3151255725728133E-2</v>
      </c>
      <c r="G38" s="2"/>
      <c r="H38" s="6">
        <v>4878.0600000000004</v>
      </c>
      <c r="I38" s="2"/>
      <c r="J38" s="7">
        <f t="shared" si="13"/>
        <v>6.6454394849719692E-3</v>
      </c>
      <c r="K38" s="2"/>
      <c r="L38" s="6">
        <f t="shared" si="14"/>
        <v>4497.88</v>
      </c>
      <c r="M38" s="2"/>
      <c r="N38" s="7">
        <f t="shared" si="15"/>
        <v>0.92206327925445764</v>
      </c>
      <c r="O38" s="11"/>
      <c r="P38" s="6">
        <v>23485.52</v>
      </c>
      <c r="Q38" s="2"/>
      <c r="R38" s="7">
        <f t="shared" si="16"/>
        <v>1.8941813014707768E-2</v>
      </c>
      <c r="S38" s="2"/>
      <c r="T38" s="6">
        <v>18572.52</v>
      </c>
      <c r="U38" s="2"/>
      <c r="V38" s="7">
        <f t="shared" si="17"/>
        <v>1.4164743696894137E-2</v>
      </c>
      <c r="W38" s="2"/>
      <c r="X38" s="6">
        <f t="shared" si="18"/>
        <v>4913</v>
      </c>
      <c r="Y38" s="2"/>
      <c r="Z38" s="7">
        <f t="shared" si="19"/>
        <v>0.26453060758583108</v>
      </c>
    </row>
    <row r="39" spans="1:26" s="24" customFormat="1" hidden="1" outlineLevel="2" x14ac:dyDescent="0.25">
      <c r="A39" s="28"/>
      <c r="B39" s="11" t="str">
        <f>CONCATENATE("          ", "6119", " - ", "SICK LEAVE")</f>
        <v xml:space="preserve">          6119 - SICK LEAVE</v>
      </c>
      <c r="C39" s="11"/>
      <c r="D39" s="6">
        <v>18723.14</v>
      </c>
      <c r="E39" s="2"/>
      <c r="F39" s="7">
        <f t="shared" si="12"/>
        <v>2.6262199003898215E-2</v>
      </c>
      <c r="G39" s="2"/>
      <c r="H39" s="6">
        <v>3752.97</v>
      </c>
      <c r="I39" s="2"/>
      <c r="J39" s="7">
        <f t="shared" si="13"/>
        <v>5.1127159206560083E-3</v>
      </c>
      <c r="K39" s="2"/>
      <c r="L39" s="6">
        <f t="shared" si="14"/>
        <v>14970.17</v>
      </c>
      <c r="M39" s="2"/>
      <c r="N39" s="7">
        <f t="shared" si="15"/>
        <v>3.9888861355140066</v>
      </c>
      <c r="O39" s="11"/>
      <c r="P39" s="6">
        <v>36158.82</v>
      </c>
      <c r="Q39" s="2"/>
      <c r="R39" s="7">
        <f t="shared" si="16"/>
        <v>2.9163229397197742E-2</v>
      </c>
      <c r="S39" s="2"/>
      <c r="T39" s="6">
        <v>20261.489999999998</v>
      </c>
      <c r="U39" s="2"/>
      <c r="V39" s="7">
        <f t="shared" si="17"/>
        <v>1.5452874072402858E-2</v>
      </c>
      <c r="W39" s="2"/>
      <c r="X39" s="6">
        <f t="shared" si="18"/>
        <v>15897.330000000002</v>
      </c>
      <c r="Y39" s="2"/>
      <c r="Z39" s="7">
        <f t="shared" si="19"/>
        <v>0.78460814086229602</v>
      </c>
    </row>
    <row r="40" spans="1:26" s="24" customFormat="1" hidden="1" outlineLevel="2" x14ac:dyDescent="0.25">
      <c r="A40" s="28"/>
      <c r="B40" s="11" t="str">
        <f>CONCATENATE("          ", "6156", " - ", "EMPLOYEE MEALS")</f>
        <v xml:space="preserve">          6156 - EMPLOYEE MEALS</v>
      </c>
      <c r="C40" s="11"/>
      <c r="D40" s="6">
        <v>2822.6</v>
      </c>
      <c r="E40" s="2"/>
      <c r="F40" s="7">
        <f t="shared" si="12"/>
        <v>3.9591480333108177E-3</v>
      </c>
      <c r="G40" s="2"/>
      <c r="H40" s="6">
        <v>3716.29</v>
      </c>
      <c r="I40" s="2"/>
      <c r="J40" s="7">
        <f t="shared" si="13"/>
        <v>5.0627463179227965E-3</v>
      </c>
      <c r="K40" s="2"/>
      <c r="L40" s="6">
        <f t="shared" si="14"/>
        <v>-893.69</v>
      </c>
      <c r="M40" s="2"/>
      <c r="N40" s="7">
        <f t="shared" si="15"/>
        <v>-0.24047907994263099</v>
      </c>
      <c r="O40" s="11"/>
      <c r="P40" s="6">
        <v>7600.35</v>
      </c>
      <c r="Q40" s="2"/>
      <c r="R40" s="7">
        <f t="shared" si="16"/>
        <v>6.1299221199417426E-3</v>
      </c>
      <c r="S40" s="2"/>
      <c r="T40" s="6">
        <v>8815.6299999999992</v>
      </c>
      <c r="U40" s="2"/>
      <c r="V40" s="7">
        <f t="shared" si="17"/>
        <v>6.723435456074396E-3</v>
      </c>
      <c r="W40" s="2"/>
      <c r="X40" s="6">
        <f t="shared" si="18"/>
        <v>-1215.2799999999988</v>
      </c>
      <c r="Y40" s="2"/>
      <c r="Z40" s="7">
        <f t="shared" si="19"/>
        <v>-0.13785515045436333</v>
      </c>
    </row>
    <row r="41" spans="1:26" s="29" customFormat="1" outlineLevel="1" collapsed="1" x14ac:dyDescent="0.25">
      <c r="A41" s="27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242299.64999999997</v>
      </c>
      <c r="E41" s="1"/>
      <c r="F41" s="5">
        <f t="shared" ref="F41:F48" si="20">IF(D$12=0,0,D41/D$12)</f>
        <v>0.33986401997073595</v>
      </c>
      <c r="G41" s="1"/>
      <c r="H41" s="1">
        <f>SUM(OSRRefH22_1x_0)</f>
        <v>208514.38</v>
      </c>
      <c r="I41" s="1"/>
      <c r="J41" s="5">
        <f t="shared" ref="J41:J48" si="21">IF(H$12=0,0,H41/H$12)</f>
        <v>0.2840616339357141</v>
      </c>
      <c r="K41" s="1"/>
      <c r="L41" s="1">
        <f t="shared" ref="L41:L48" si="22">+D41-H41</f>
        <v>33785.26999999996</v>
      </c>
      <c r="M41" s="1"/>
      <c r="N41" s="5">
        <f t="shared" ref="N41:N48" si="23">IF(H41=0,0,L41/H41)</f>
        <v>0.16202848935406738</v>
      </c>
      <c r="O41" s="14"/>
      <c r="P41" s="1">
        <f>SUM(OSRRefP22_1x_0)</f>
        <v>586530.5199999999</v>
      </c>
      <c r="Q41" s="1"/>
      <c r="R41" s="5">
        <f t="shared" ref="R41:R48" si="24">IF(P$12=0,0,P41/P$12)</f>
        <v>0.47305537357739208</v>
      </c>
      <c r="S41" s="1"/>
      <c r="T41" s="1">
        <f>SUM(OSRRefT22_1x_0)</f>
        <v>521690.13000000006</v>
      </c>
      <c r="U41" s="1"/>
      <c r="V41" s="5">
        <f t="shared" ref="V41:V48" si="25">IF(T$12=0,0,T41/T$12)</f>
        <v>0.39787853132743339</v>
      </c>
      <c r="W41" s="1"/>
      <c r="X41" s="1">
        <f t="shared" ref="X41:X48" si="26">+P41-T41</f>
        <v>64840.389999999839</v>
      </c>
      <c r="Y41" s="1"/>
      <c r="Z41" s="5">
        <f t="shared" ref="Z41:Z48" si="27">IF(T41=0,0,X41/T41)</f>
        <v>0.12428908708700284</v>
      </c>
    </row>
    <row r="42" spans="1:26" s="24" customFormat="1" hidden="1" outlineLevel="2" x14ac:dyDescent="0.25">
      <c r="A42" s="28"/>
      <c r="B42" s="11" t="str">
        <f>CONCATENATE("          ", "6001", " - ", "ADMINISTRATIVE SALARIES")</f>
        <v xml:space="preserve">          6001 - ADMINISTRATIVE SALARIES</v>
      </c>
      <c r="C42" s="11"/>
      <c r="D42" s="6">
        <v>16211.87</v>
      </c>
      <c r="E42" s="2"/>
      <c r="F42" s="7">
        <f t="shared" si="20"/>
        <v>2.2739741099266863E-2</v>
      </c>
      <c r="G42" s="2"/>
      <c r="H42" s="6">
        <v>16139.070000000002</v>
      </c>
      <c r="I42" s="2"/>
      <c r="J42" s="7">
        <f t="shared" si="21"/>
        <v>2.1986448102058312E-2</v>
      </c>
      <c r="K42" s="2"/>
      <c r="L42" s="6">
        <f t="shared" si="22"/>
        <v>72.799999999999272</v>
      </c>
      <c r="M42" s="2"/>
      <c r="N42" s="7">
        <f t="shared" si="23"/>
        <v>4.5107927532379048E-3</v>
      </c>
      <c r="O42" s="11"/>
      <c r="P42" s="6">
        <v>51694.77</v>
      </c>
      <c r="Q42" s="2"/>
      <c r="R42" s="7">
        <f t="shared" si="24"/>
        <v>4.169346334159621E-2</v>
      </c>
      <c r="S42" s="2"/>
      <c r="T42" s="6">
        <v>49239.77</v>
      </c>
      <c r="U42" s="2"/>
      <c r="V42" s="7">
        <f t="shared" si="25"/>
        <v>3.7553801085906321E-2</v>
      </c>
      <c r="W42" s="2"/>
      <c r="X42" s="6">
        <f t="shared" si="26"/>
        <v>2455</v>
      </c>
      <c r="Y42" s="2"/>
      <c r="Z42" s="7">
        <f t="shared" si="27"/>
        <v>4.9858072042172415E-2</v>
      </c>
    </row>
    <row r="43" spans="1:26" s="24" customFormat="1" hidden="1" outlineLevel="2" x14ac:dyDescent="0.25">
      <c r="A43" s="28"/>
      <c r="B43" s="11" t="str">
        <f>CONCATENATE("          ", "6002", " - ", "STAFF SALARIES")</f>
        <v xml:space="preserve">          6002 - STAFF SALARIES</v>
      </c>
      <c r="C43" s="11"/>
      <c r="D43" s="6">
        <v>55491.939999999995</v>
      </c>
      <c r="E43" s="2"/>
      <c r="F43" s="7">
        <f t="shared" si="20"/>
        <v>7.7836322934741686E-2</v>
      </c>
      <c r="G43" s="2"/>
      <c r="H43" s="6">
        <v>46813.82</v>
      </c>
      <c r="I43" s="2"/>
      <c r="J43" s="7">
        <f t="shared" si="21"/>
        <v>6.3775026930863996E-2</v>
      </c>
      <c r="K43" s="2"/>
      <c r="L43" s="6">
        <f t="shared" si="22"/>
        <v>8678.1199999999953</v>
      </c>
      <c r="M43" s="2"/>
      <c r="N43" s="7">
        <f t="shared" si="23"/>
        <v>0.18537517339964985</v>
      </c>
      <c r="O43" s="11"/>
      <c r="P43" s="6">
        <v>163514.31</v>
      </c>
      <c r="Q43" s="2"/>
      <c r="R43" s="7">
        <f t="shared" si="24"/>
        <v>0.13187945105107149</v>
      </c>
      <c r="S43" s="2"/>
      <c r="T43" s="6">
        <v>158971.48000000001</v>
      </c>
      <c r="U43" s="2"/>
      <c r="V43" s="7">
        <f t="shared" si="25"/>
        <v>0.12124311990596497</v>
      </c>
      <c r="W43" s="2"/>
      <c r="X43" s="6">
        <f t="shared" si="26"/>
        <v>4542.8299999999872</v>
      </c>
      <c r="Y43" s="2"/>
      <c r="Z43" s="7">
        <f t="shared" si="27"/>
        <v>2.8576383638121674E-2</v>
      </c>
    </row>
    <row r="44" spans="1:26" s="24" customFormat="1" hidden="1" outlineLevel="2" x14ac:dyDescent="0.25">
      <c r="A44" s="28"/>
      <c r="B44" s="11" t="str">
        <f>CONCATENATE("          ", "6004", " - ", "STAFF HOURLY")</f>
        <v xml:space="preserve">          6004 - STAFF HOURLY</v>
      </c>
      <c r="C44" s="11"/>
      <c r="D44" s="6">
        <v>19617.900000000001</v>
      </c>
      <c r="E44" s="2"/>
      <c r="F44" s="7">
        <f t="shared" si="20"/>
        <v>2.751724303928587E-2</v>
      </c>
      <c r="G44" s="2"/>
      <c r="H44" s="6">
        <v>12395.48</v>
      </c>
      <c r="I44" s="2"/>
      <c r="J44" s="7">
        <f t="shared" si="21"/>
        <v>1.6886510667597433E-2</v>
      </c>
      <c r="K44" s="2"/>
      <c r="L44" s="6">
        <f t="shared" si="22"/>
        <v>7222.4200000000019</v>
      </c>
      <c r="M44" s="2"/>
      <c r="N44" s="7">
        <f t="shared" si="23"/>
        <v>0.58266561682161577</v>
      </c>
      <c r="O44" s="11"/>
      <c r="P44" s="6">
        <v>52528.57</v>
      </c>
      <c r="Q44" s="2"/>
      <c r="R44" s="7">
        <f t="shared" si="24"/>
        <v>4.236594935389925E-2</v>
      </c>
      <c r="S44" s="2"/>
      <c r="T44" s="6">
        <v>34227.46</v>
      </c>
      <c r="U44" s="2"/>
      <c r="V44" s="7">
        <f t="shared" si="25"/>
        <v>2.6104330392197513E-2</v>
      </c>
      <c r="W44" s="2"/>
      <c r="X44" s="6">
        <f t="shared" si="26"/>
        <v>18301.11</v>
      </c>
      <c r="Y44" s="2"/>
      <c r="Z44" s="7">
        <f t="shared" si="27"/>
        <v>0.53469085932756921</v>
      </c>
    </row>
    <row r="45" spans="1:26" s="24" customFormat="1" hidden="1" outlineLevel="2" x14ac:dyDescent="0.25">
      <c r="A45" s="28"/>
      <c r="B45" s="11" t="str">
        <f>CONCATENATE("          ", "6005", " - ", "TEMPORARY WAGES-HOURLY")</f>
        <v xml:space="preserve">          6005 - TEMPORARY WAGES-HOURLY</v>
      </c>
      <c r="C45" s="11"/>
      <c r="D45" s="6">
        <v>50534.049999999996</v>
      </c>
      <c r="E45" s="2"/>
      <c r="F45" s="7">
        <f t="shared" si="20"/>
        <v>7.0882089092585032E-2</v>
      </c>
      <c r="G45" s="2"/>
      <c r="H45" s="6">
        <v>41069.57</v>
      </c>
      <c r="I45" s="2"/>
      <c r="J45" s="7">
        <f t="shared" si="21"/>
        <v>5.5949566448305316E-2</v>
      </c>
      <c r="K45" s="2"/>
      <c r="L45" s="6">
        <f t="shared" si="22"/>
        <v>9464.4799999999959</v>
      </c>
      <c r="M45" s="2"/>
      <c r="N45" s="7">
        <f t="shared" si="23"/>
        <v>0.23044994140430483</v>
      </c>
      <c r="O45" s="11"/>
      <c r="P45" s="6">
        <v>113898.23</v>
      </c>
      <c r="Q45" s="2"/>
      <c r="R45" s="7">
        <f t="shared" si="24"/>
        <v>9.1862516791886173E-2</v>
      </c>
      <c r="S45" s="2"/>
      <c r="T45" s="6">
        <v>93807.73000000001</v>
      </c>
      <c r="U45" s="2"/>
      <c r="V45" s="7">
        <f t="shared" si="25"/>
        <v>7.1544542810423523E-2</v>
      </c>
      <c r="W45" s="2"/>
      <c r="X45" s="6">
        <f t="shared" si="26"/>
        <v>20090.499999999985</v>
      </c>
      <c r="Y45" s="2"/>
      <c r="Z45" s="7">
        <f t="shared" si="27"/>
        <v>0.21416678561564151</v>
      </c>
    </row>
    <row r="46" spans="1:26" s="24" customFormat="1" hidden="1" outlineLevel="2" x14ac:dyDescent="0.25">
      <c r="A46" s="28"/>
      <c r="B46" s="11" t="str">
        <f>CONCATENATE("          ", "6006", " - ", "TEMPORARY PART TIME")</f>
        <v xml:space="preserve">          6006 - TEMPORARY PART TIME</v>
      </c>
      <c r="C46" s="11"/>
      <c r="D46" s="6">
        <v>2487.5</v>
      </c>
      <c r="E46" s="2"/>
      <c r="F46" s="7">
        <f t="shared" si="20"/>
        <v>3.4891166771277046E-3</v>
      </c>
      <c r="G46" s="2"/>
      <c r="H46" s="6">
        <v>921</v>
      </c>
      <c r="I46" s="2"/>
      <c r="J46" s="7">
        <f t="shared" si="21"/>
        <v>1.2546893161747054E-3</v>
      </c>
      <c r="K46" s="2"/>
      <c r="L46" s="6">
        <f t="shared" si="22"/>
        <v>1566.5</v>
      </c>
      <c r="M46" s="2"/>
      <c r="N46" s="7">
        <f t="shared" si="23"/>
        <v>1.7008686210640609</v>
      </c>
      <c r="O46" s="11"/>
      <c r="P46" s="6">
        <v>6890.52</v>
      </c>
      <c r="Q46" s="2"/>
      <c r="R46" s="7">
        <f t="shared" si="24"/>
        <v>5.5574218247713561E-3</v>
      </c>
      <c r="S46" s="2"/>
      <c r="T46" s="6">
        <v>1922</v>
      </c>
      <c r="U46" s="2"/>
      <c r="V46" s="7">
        <f t="shared" si="25"/>
        <v>1.4658558658399898E-3</v>
      </c>
      <c r="W46" s="2"/>
      <c r="X46" s="6">
        <f t="shared" si="26"/>
        <v>4968.5200000000004</v>
      </c>
      <c r="Y46" s="2"/>
      <c r="Z46" s="7">
        <f t="shared" si="27"/>
        <v>2.5850780437044749</v>
      </c>
    </row>
    <row r="47" spans="1:26" s="24" customFormat="1" hidden="1" outlineLevel="2" x14ac:dyDescent="0.25">
      <c r="A47" s="28"/>
      <c r="B47" s="11" t="str">
        <f>CONCATENATE("          ", "6007", " - ", "STUDENT HOURLY")</f>
        <v xml:space="preserve">          6007 - STUDENT HOURLY</v>
      </c>
      <c r="C47" s="11"/>
      <c r="D47" s="6">
        <v>94385.08</v>
      </c>
      <c r="E47" s="2"/>
      <c r="F47" s="7">
        <f t="shared" si="20"/>
        <v>0.13239017354775179</v>
      </c>
      <c r="G47" s="2"/>
      <c r="H47" s="6">
        <v>83922.290000000008</v>
      </c>
      <c r="I47" s="2"/>
      <c r="J47" s="7">
        <f t="shared" si="21"/>
        <v>0.11432833947004921</v>
      </c>
      <c r="K47" s="2"/>
      <c r="L47" s="6">
        <f t="shared" si="22"/>
        <v>10462.789999999994</v>
      </c>
      <c r="M47" s="2"/>
      <c r="N47" s="7">
        <f t="shared" si="23"/>
        <v>0.12467236058501255</v>
      </c>
      <c r="O47" s="11"/>
      <c r="P47" s="6">
        <v>190586.65</v>
      </c>
      <c r="Q47" s="2"/>
      <c r="R47" s="7">
        <f t="shared" si="24"/>
        <v>0.15371414758538682</v>
      </c>
      <c r="S47" s="2"/>
      <c r="T47" s="6">
        <v>169730.48</v>
      </c>
      <c r="U47" s="2"/>
      <c r="V47" s="7">
        <f t="shared" si="25"/>
        <v>0.12944870953165302</v>
      </c>
      <c r="W47" s="2"/>
      <c r="X47" s="6">
        <f t="shared" si="26"/>
        <v>20856.169999999984</v>
      </c>
      <c r="Y47" s="2"/>
      <c r="Z47" s="7">
        <f t="shared" si="27"/>
        <v>0.12287816543027501</v>
      </c>
    </row>
    <row r="48" spans="1:26" s="24" customFormat="1" hidden="1" outlineLevel="2" x14ac:dyDescent="0.25">
      <c r="A48" s="28"/>
      <c r="B48" s="11" t="str">
        <f>CONCATENATE("          ", "6008", " - ", "STUDENT HOURLY-FICA EXEMPT")</f>
        <v xml:space="preserve">          6008 - STUDENT HOURLY-FICA EXEMPT</v>
      </c>
      <c r="C48" s="11"/>
      <c r="D48" s="6">
        <v>3571.31</v>
      </c>
      <c r="E48" s="2"/>
      <c r="F48" s="7">
        <f t="shared" si="20"/>
        <v>5.0093335799770624E-3</v>
      </c>
      <c r="G48" s="2"/>
      <c r="H48" s="6">
        <v>7253.15</v>
      </c>
      <c r="I48" s="2"/>
      <c r="J48" s="7">
        <f t="shared" si="21"/>
        <v>9.8810530006651076E-3</v>
      </c>
      <c r="K48" s="2"/>
      <c r="L48" s="6">
        <f t="shared" si="22"/>
        <v>-3681.8399999999997</v>
      </c>
      <c r="M48" s="2"/>
      <c r="N48" s="7">
        <f t="shared" si="23"/>
        <v>-0.50761944810185922</v>
      </c>
      <c r="O48" s="11"/>
      <c r="P48" s="6">
        <v>7417.47</v>
      </c>
      <c r="Q48" s="2"/>
      <c r="R48" s="7">
        <f t="shared" si="24"/>
        <v>5.9824236287808162E-3</v>
      </c>
      <c r="S48" s="2"/>
      <c r="T48" s="6">
        <v>13791.21</v>
      </c>
      <c r="U48" s="2"/>
      <c r="V48" s="7">
        <f t="shared" si="25"/>
        <v>1.0518171735448036E-2</v>
      </c>
      <c r="W48" s="2"/>
      <c r="X48" s="6">
        <f t="shared" si="26"/>
        <v>-6373.7399999999989</v>
      </c>
      <c r="Y48" s="2"/>
      <c r="Z48" s="7">
        <f t="shared" si="27"/>
        <v>-0.46215959295812326</v>
      </c>
    </row>
    <row r="49" spans="1:26" s="29" customFormat="1" outlineLevel="1" collapsed="1" x14ac:dyDescent="0.25">
      <c r="A49" s="27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1455.58</v>
      </c>
      <c r="E49" s="1"/>
      <c r="F49" s="5">
        <f t="shared" ref="F49:F58" si="28">IF(D$12=0,0,D49/D$12)</f>
        <v>2.0416838001582087E-3</v>
      </c>
      <c r="G49" s="1"/>
      <c r="H49" s="1">
        <f>SUM(OSRRefH22_2x_0)</f>
        <v>1862.01</v>
      </c>
      <c r="I49" s="1"/>
      <c r="J49" s="5">
        <f t="shared" ref="J49:J58" si="29">IF(H$12=0,0,H49/H$12)</f>
        <v>2.5366384946910567E-3</v>
      </c>
      <c r="K49" s="1"/>
      <c r="L49" s="1">
        <f t="shared" ref="L49:L58" si="30">+D49-H49</f>
        <v>-406.43000000000006</v>
      </c>
      <c r="M49" s="1"/>
      <c r="N49" s="5">
        <f t="shared" ref="N49:N58" si="31">IF(H49=0,0,L49/H49)</f>
        <v>-0.21827487500067136</v>
      </c>
      <c r="O49" s="14"/>
      <c r="P49" s="1">
        <f>SUM(OSRRefP22_2x_0)</f>
        <v>6637.12</v>
      </c>
      <c r="Q49" s="1"/>
      <c r="R49" s="5">
        <f t="shared" ref="R49:R58" si="32">IF(P$12=0,0,P49/P$12)</f>
        <v>5.3530467282043243E-3</v>
      </c>
      <c r="S49" s="1"/>
      <c r="T49" s="1">
        <f>SUM(OSRRefT22_2x_0)</f>
        <v>5922.89</v>
      </c>
      <c r="U49" s="1"/>
      <c r="V49" s="5">
        <f t="shared" ref="V49:V58" si="33">IF(T$12=0,0,T49/T$12)</f>
        <v>4.5172232306061487E-3</v>
      </c>
      <c r="W49" s="1"/>
      <c r="X49" s="1">
        <f t="shared" ref="X49:X58" si="34">+P49-T49</f>
        <v>714.22999999999956</v>
      </c>
      <c r="Y49" s="1"/>
      <c r="Z49" s="5">
        <f t="shared" ref="Z49:Z58" si="35">IF(T49=0,0,X49/T49)</f>
        <v>0.12058809128651714</v>
      </c>
    </row>
    <row r="50" spans="1:26" s="24" customFormat="1" hidden="1" outlineLevel="2" x14ac:dyDescent="0.25">
      <c r="A50" s="28"/>
      <c r="B50" s="11" t="str">
        <f>CONCATENATE("          ", "6362", " - ", "ADVERTISING EXPENSE")</f>
        <v xml:space="preserve">          6362 - ADVERTISING EXPENSE</v>
      </c>
      <c r="C50" s="11"/>
      <c r="D50" s="6">
        <v>1455.58</v>
      </c>
      <c r="E50" s="2"/>
      <c r="F50" s="7">
        <f t="shared" si="28"/>
        <v>2.0416838001582087E-3</v>
      </c>
      <c r="G50" s="2"/>
      <c r="H50" s="6">
        <v>1862.01</v>
      </c>
      <c r="I50" s="2"/>
      <c r="J50" s="7">
        <f t="shared" si="29"/>
        <v>2.5366384946910567E-3</v>
      </c>
      <c r="K50" s="2"/>
      <c r="L50" s="6">
        <f t="shared" si="30"/>
        <v>-406.43000000000006</v>
      </c>
      <c r="M50" s="2"/>
      <c r="N50" s="7">
        <f t="shared" si="31"/>
        <v>-0.21827487500067136</v>
      </c>
      <c r="O50" s="11"/>
      <c r="P50" s="6">
        <v>6637.12</v>
      </c>
      <c r="Q50" s="2"/>
      <c r="R50" s="7">
        <f t="shared" si="32"/>
        <v>5.3530467282043243E-3</v>
      </c>
      <c r="S50" s="2"/>
      <c r="T50" s="6">
        <v>5922.89</v>
      </c>
      <c r="U50" s="2"/>
      <c r="V50" s="7">
        <f t="shared" si="33"/>
        <v>4.5172232306061487E-3</v>
      </c>
      <c r="W50" s="2"/>
      <c r="X50" s="6">
        <f t="shared" si="34"/>
        <v>714.22999999999956</v>
      </c>
      <c r="Y50" s="2"/>
      <c r="Z50" s="7">
        <f t="shared" si="35"/>
        <v>0.12058809128651714</v>
      </c>
    </row>
    <row r="51" spans="1:26" s="29" customFormat="1" outlineLevel="1" collapsed="1" x14ac:dyDescent="0.25">
      <c r="A51" s="27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-38.520000000000003</v>
      </c>
      <c r="E51" s="1"/>
      <c r="F51" s="5">
        <f t="shared" si="28"/>
        <v>-5.4030462071541385E-5</v>
      </c>
      <c r="G51" s="1"/>
      <c r="H51" s="1">
        <f>SUM(OSRRefH22_3x_0)</f>
        <v>242.35</v>
      </c>
      <c r="I51" s="1"/>
      <c r="J51" s="5">
        <f t="shared" si="29"/>
        <v>3.3015630377300741E-4</v>
      </c>
      <c r="K51" s="1"/>
      <c r="L51" s="1">
        <f t="shared" si="30"/>
        <v>-280.87</v>
      </c>
      <c r="M51" s="1"/>
      <c r="N51" s="5">
        <f t="shared" si="31"/>
        <v>-1.1589436765009284</v>
      </c>
      <c r="O51" s="14"/>
      <c r="P51" s="1">
        <f>SUM(OSRRefP22_3x_0)</f>
        <v>-51.26</v>
      </c>
      <c r="Q51" s="1"/>
      <c r="R51" s="5">
        <f t="shared" si="32"/>
        <v>-4.1342807616519462E-5</v>
      </c>
      <c r="S51" s="1"/>
      <c r="T51" s="1">
        <f>SUM(OSRRefT22_3x_0)</f>
        <v>497.24</v>
      </c>
      <c r="U51" s="1"/>
      <c r="V51" s="5">
        <f t="shared" si="33"/>
        <v>3.7923109819473289E-4</v>
      </c>
      <c r="W51" s="1"/>
      <c r="X51" s="1">
        <f t="shared" si="34"/>
        <v>-548.5</v>
      </c>
      <c r="Y51" s="1"/>
      <c r="Z51" s="5">
        <f t="shared" si="35"/>
        <v>-1.1030890515646368</v>
      </c>
    </row>
    <row r="52" spans="1:26" s="24" customFormat="1" hidden="1" outlineLevel="2" x14ac:dyDescent="0.25">
      <c r="A52" s="28"/>
      <c r="B52" s="11" t="str">
        <f>CONCATENATE("          ", "6272", " - ", "CASH (OVER/SHORT)")</f>
        <v xml:space="preserve">          6272 - CASH (OVER/SHORT)</v>
      </c>
      <c r="C52" s="11"/>
      <c r="D52" s="6">
        <v>-38.520000000000003</v>
      </c>
      <c r="E52" s="2"/>
      <c r="F52" s="7">
        <f t="shared" si="28"/>
        <v>-5.4030462071541385E-5</v>
      </c>
      <c r="G52" s="2"/>
      <c r="H52" s="6">
        <v>242.35</v>
      </c>
      <c r="I52" s="2"/>
      <c r="J52" s="7">
        <f t="shared" si="29"/>
        <v>3.3015630377300741E-4</v>
      </c>
      <c r="K52" s="2"/>
      <c r="L52" s="6">
        <f t="shared" si="30"/>
        <v>-280.87</v>
      </c>
      <c r="M52" s="2"/>
      <c r="N52" s="7">
        <f t="shared" si="31"/>
        <v>-1.1589436765009284</v>
      </c>
      <c r="O52" s="11"/>
      <c r="P52" s="6">
        <v>-51.26</v>
      </c>
      <c r="Q52" s="2"/>
      <c r="R52" s="7">
        <f t="shared" si="32"/>
        <v>-4.1342807616519462E-5</v>
      </c>
      <c r="S52" s="2"/>
      <c r="T52" s="6">
        <v>497.24</v>
      </c>
      <c r="U52" s="2"/>
      <c r="V52" s="7">
        <f t="shared" si="33"/>
        <v>3.7923109819473289E-4</v>
      </c>
      <c r="W52" s="2"/>
      <c r="X52" s="6">
        <f t="shared" si="34"/>
        <v>-548.5</v>
      </c>
      <c r="Y52" s="2"/>
      <c r="Z52" s="7">
        <f t="shared" si="35"/>
        <v>-1.1030890515646368</v>
      </c>
    </row>
    <row r="53" spans="1:26" s="29" customFormat="1" outlineLevel="1" collapsed="1" x14ac:dyDescent="0.25">
      <c r="A53" s="27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21139.22</v>
      </c>
      <c r="E53" s="1"/>
      <c r="F53" s="5">
        <f t="shared" si="28"/>
        <v>2.96511377059182E-2</v>
      </c>
      <c r="G53" s="1"/>
      <c r="H53" s="1">
        <f>SUM(OSRRefH22_4x_0)</f>
        <v>20699.129999999997</v>
      </c>
      <c r="I53" s="1"/>
      <c r="J53" s="5">
        <f t="shared" si="29"/>
        <v>2.819867238339992E-2</v>
      </c>
      <c r="K53" s="1"/>
      <c r="L53" s="1">
        <f t="shared" si="30"/>
        <v>440.09000000000378</v>
      </c>
      <c r="M53" s="1"/>
      <c r="N53" s="5">
        <f t="shared" si="31"/>
        <v>2.1261280063461788E-2</v>
      </c>
      <c r="O53" s="14"/>
      <c r="P53" s="1">
        <f>SUM(OSRRefP22_4x_0)</f>
        <v>34145.17</v>
      </c>
      <c r="Q53" s="1"/>
      <c r="R53" s="5">
        <f t="shared" si="32"/>
        <v>2.7539157127260083E-2</v>
      </c>
      <c r="S53" s="1"/>
      <c r="T53" s="1">
        <f>SUM(OSRRefT22_4x_0)</f>
        <v>32853.449999999997</v>
      </c>
      <c r="U53" s="1"/>
      <c r="V53" s="5">
        <f t="shared" si="33"/>
        <v>2.505641123599418E-2</v>
      </c>
      <c r="W53" s="1"/>
      <c r="X53" s="1">
        <f t="shared" si="34"/>
        <v>1291.7200000000012</v>
      </c>
      <c r="Y53" s="1"/>
      <c r="Z53" s="5">
        <f t="shared" si="35"/>
        <v>3.9317636351737829E-2</v>
      </c>
    </row>
    <row r="54" spans="1:26" s="24" customFormat="1" hidden="1" outlineLevel="2" x14ac:dyDescent="0.25">
      <c r="A54" s="28"/>
      <c r="B54" s="11" t="str">
        <f>CONCATENATE("          ", "6381", " - ", "BANK/CREDIT CARD FEES")</f>
        <v xml:space="preserve">          6381 - BANK/CREDIT CARD FEES</v>
      </c>
      <c r="C54" s="11"/>
      <c r="D54" s="6">
        <v>21139.22</v>
      </c>
      <c r="E54" s="2"/>
      <c r="F54" s="7">
        <f t="shared" si="28"/>
        <v>2.96511377059182E-2</v>
      </c>
      <c r="G54" s="2"/>
      <c r="H54" s="6">
        <v>20699.129999999997</v>
      </c>
      <c r="I54" s="2"/>
      <c r="J54" s="7">
        <f t="shared" si="29"/>
        <v>2.819867238339992E-2</v>
      </c>
      <c r="K54" s="2"/>
      <c r="L54" s="6">
        <f t="shared" si="30"/>
        <v>440.09000000000378</v>
      </c>
      <c r="M54" s="2"/>
      <c r="N54" s="7">
        <f t="shared" si="31"/>
        <v>2.1261280063461788E-2</v>
      </c>
      <c r="O54" s="11"/>
      <c r="P54" s="6">
        <v>34145.17</v>
      </c>
      <c r="Q54" s="2"/>
      <c r="R54" s="7">
        <f t="shared" si="32"/>
        <v>2.7539157127260083E-2</v>
      </c>
      <c r="S54" s="2"/>
      <c r="T54" s="6">
        <v>32853.449999999997</v>
      </c>
      <c r="U54" s="2"/>
      <c r="V54" s="7">
        <f t="shared" si="33"/>
        <v>2.505641123599418E-2</v>
      </c>
      <c r="W54" s="2"/>
      <c r="X54" s="6">
        <f t="shared" si="34"/>
        <v>1291.7200000000012</v>
      </c>
      <c r="Y54" s="2"/>
      <c r="Z54" s="7">
        <f t="shared" si="35"/>
        <v>3.9317636351737829E-2</v>
      </c>
    </row>
    <row r="55" spans="1:26" s="29" customFormat="1" outlineLevel="1" collapsed="1" x14ac:dyDescent="0.25">
      <c r="A55" s="27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39571.050000000003</v>
      </c>
      <c r="E55" s="1"/>
      <c r="F55" s="5">
        <f t="shared" si="28"/>
        <v>5.5504727833750461E-2</v>
      </c>
      <c r="G55" s="1"/>
      <c r="H55" s="1">
        <f>SUM(OSRRefH22_5x_0)</f>
        <v>41769.21</v>
      </c>
      <c r="I55" s="1"/>
      <c r="J55" s="5">
        <f t="shared" si="29"/>
        <v>5.690269438877054E-2</v>
      </c>
      <c r="K55" s="1"/>
      <c r="L55" s="1">
        <f t="shared" si="30"/>
        <v>-2198.1599999999962</v>
      </c>
      <c r="M55" s="1"/>
      <c r="N55" s="5">
        <f t="shared" si="31"/>
        <v>-5.2626324510327012E-2</v>
      </c>
      <c r="O55" s="14"/>
      <c r="P55" s="1">
        <f>SUM(OSRRefP22_5x_0)</f>
        <v>118713.15</v>
      </c>
      <c r="Q55" s="1"/>
      <c r="R55" s="5">
        <f t="shared" si="32"/>
        <v>9.5745901716758036E-2</v>
      </c>
      <c r="S55" s="1"/>
      <c r="T55" s="1">
        <f>SUM(OSRRefT22_5x_0)</f>
        <v>125307.63</v>
      </c>
      <c r="U55" s="1"/>
      <c r="V55" s="5">
        <f t="shared" si="33"/>
        <v>9.5568639162334601E-2</v>
      </c>
      <c r="W55" s="1"/>
      <c r="X55" s="1">
        <f t="shared" si="34"/>
        <v>-6594.4800000000105</v>
      </c>
      <c r="Y55" s="1"/>
      <c r="Z55" s="5">
        <f t="shared" si="35"/>
        <v>-5.2626324510327185E-2</v>
      </c>
    </row>
    <row r="56" spans="1:26" s="24" customFormat="1" hidden="1" outlineLevel="2" x14ac:dyDescent="0.25">
      <c r="A56" s="28"/>
      <c r="B56" s="11" t="str">
        <f>CONCATENATE("          ", "6321", " - ", "BUILDING DEPRECIATION")</f>
        <v xml:space="preserve">          6321 - BUILDING DEPRECIATION</v>
      </c>
      <c r="C56" s="11"/>
      <c r="D56" s="6">
        <v>24042.959999999999</v>
      </c>
      <c r="E56" s="2"/>
      <c r="F56" s="7">
        <f t="shared" si="28"/>
        <v>3.3724097569251987E-2</v>
      </c>
      <c r="G56" s="2"/>
      <c r="H56" s="6">
        <v>27841.129999999997</v>
      </c>
      <c r="I56" s="2"/>
      <c r="J56" s="7">
        <f t="shared" si="29"/>
        <v>3.7928304409588567E-2</v>
      </c>
      <c r="K56" s="2"/>
      <c r="L56" s="6">
        <f t="shared" si="30"/>
        <v>-3798.1699999999983</v>
      </c>
      <c r="M56" s="2"/>
      <c r="N56" s="7">
        <f t="shared" si="31"/>
        <v>-0.13642298283151577</v>
      </c>
      <c r="O56" s="11"/>
      <c r="P56" s="6">
        <v>72128.88</v>
      </c>
      <c r="Q56" s="2"/>
      <c r="R56" s="7">
        <f t="shared" si="32"/>
        <v>5.8174217897678862E-2</v>
      </c>
      <c r="S56" s="2"/>
      <c r="T56" s="6">
        <v>83523.39</v>
      </c>
      <c r="U56" s="2"/>
      <c r="V56" s="7">
        <f t="shared" si="33"/>
        <v>6.3700963145859088E-2</v>
      </c>
      <c r="W56" s="2"/>
      <c r="X56" s="6">
        <f t="shared" si="34"/>
        <v>-11394.509999999995</v>
      </c>
      <c r="Y56" s="2"/>
      <c r="Z56" s="7">
        <f t="shared" si="35"/>
        <v>-0.13642298283151574</v>
      </c>
    </row>
    <row r="57" spans="1:26" s="24" customFormat="1" hidden="1" outlineLevel="2" x14ac:dyDescent="0.25">
      <c r="A57" s="28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15103.84</v>
      </c>
      <c r="E57" s="2"/>
      <c r="F57" s="7">
        <f t="shared" si="28"/>
        <v>2.118555177192704E-2</v>
      </c>
      <c r="G57" s="2"/>
      <c r="H57" s="6">
        <v>13503.83</v>
      </c>
      <c r="I57" s="2"/>
      <c r="J57" s="7">
        <f t="shared" si="29"/>
        <v>1.839642912968455E-2</v>
      </c>
      <c r="K57" s="2"/>
      <c r="L57" s="6">
        <f t="shared" si="30"/>
        <v>1600.0100000000002</v>
      </c>
      <c r="M57" s="2"/>
      <c r="N57" s="7">
        <f t="shared" si="31"/>
        <v>0.11848564444309505</v>
      </c>
      <c r="O57" s="11"/>
      <c r="P57" s="6">
        <v>45311.519999999997</v>
      </c>
      <c r="Q57" s="2"/>
      <c r="R57" s="7">
        <f t="shared" si="32"/>
        <v>3.6545170779790748E-2</v>
      </c>
      <c r="S57" s="2"/>
      <c r="T57" s="6">
        <v>40511.49</v>
      </c>
      <c r="U57" s="2"/>
      <c r="V57" s="7">
        <f t="shared" si="33"/>
        <v>3.0896985041840838E-2</v>
      </c>
      <c r="W57" s="2"/>
      <c r="X57" s="6">
        <f t="shared" si="34"/>
        <v>4800.0299999999988</v>
      </c>
      <c r="Y57" s="2"/>
      <c r="Z57" s="7">
        <f t="shared" si="35"/>
        <v>0.11848564444309501</v>
      </c>
    </row>
    <row r="58" spans="1:26" s="24" customFormat="1" hidden="1" outlineLevel="2" x14ac:dyDescent="0.25">
      <c r="A58" s="28"/>
      <c r="B58" s="11" t="str">
        <f>CONCATENATE("          ", "6326", " - ", "VEHICLES DEPRECIATION EXPENSE")</f>
        <v xml:space="preserve">          6326 - VEHICLES DEPRECIATION EXPENSE</v>
      </c>
      <c r="C58" s="11"/>
      <c r="D58" s="6">
        <v>424.25</v>
      </c>
      <c r="E58" s="2"/>
      <c r="F58" s="7">
        <f t="shared" si="28"/>
        <v>5.950784925714286E-4</v>
      </c>
      <c r="G58" s="2"/>
      <c r="H58" s="6">
        <v>424.25</v>
      </c>
      <c r="I58" s="2"/>
      <c r="J58" s="7">
        <f t="shared" si="29"/>
        <v>5.7796084949741455E-4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>
        <v>1272.75</v>
      </c>
      <c r="Q58" s="2"/>
      <c r="R58" s="7">
        <f t="shared" si="32"/>
        <v>1.0265130392884344E-3</v>
      </c>
      <c r="S58" s="2"/>
      <c r="T58" s="6">
        <v>1272.75</v>
      </c>
      <c r="U58" s="2"/>
      <c r="V58" s="7">
        <f t="shared" si="33"/>
        <v>9.7069097463467599E-4</v>
      </c>
      <c r="W58" s="2"/>
      <c r="X58" s="6">
        <f t="shared" si="34"/>
        <v>0</v>
      </c>
      <c r="Y58" s="2"/>
      <c r="Z58" s="7">
        <f t="shared" si="35"/>
        <v>0</v>
      </c>
    </row>
    <row r="59" spans="1:26" s="29" customFormat="1" outlineLevel="1" collapsed="1" x14ac:dyDescent="0.25">
      <c r="A59" s="27"/>
      <c r="B59" s="14" t="str">
        <f>CONCATENATE("     ","Donations                                         ")</f>
        <v xml:space="preserve">     Donations                                         </v>
      </c>
      <c r="C59" s="14"/>
      <c r="D59" s="1">
        <f>SUM(OSRRefD22_6x_0)</f>
        <v>0</v>
      </c>
      <c r="E59" s="1"/>
      <c r="F59" s="5">
        <f t="shared" ref="F59:F67" si="36">IF(D$12=0,0,D59/D$12)</f>
        <v>0</v>
      </c>
      <c r="G59" s="1"/>
      <c r="H59" s="1">
        <f>SUM(OSRRefH22_6x_0)</f>
        <v>500</v>
      </c>
      <c r="I59" s="1"/>
      <c r="J59" s="5">
        <f t="shared" ref="J59:J67" si="37">IF(H$12=0,0,H59/H$12)</f>
        <v>6.8115598055087153E-4</v>
      </c>
      <c r="K59" s="1"/>
      <c r="L59" s="1">
        <f t="shared" ref="L59:L67" si="38">+D59-H59</f>
        <v>-500</v>
      </c>
      <c r="M59" s="1"/>
      <c r="N59" s="5">
        <f t="shared" ref="N59:N67" si="39">IF(H59=0,0,L59/H59)</f>
        <v>-1</v>
      </c>
      <c r="O59" s="14"/>
      <c r="P59" s="1">
        <f>SUM(OSRRefP22_6x_0)</f>
        <v>0</v>
      </c>
      <c r="Q59" s="1"/>
      <c r="R59" s="5">
        <f t="shared" ref="R59:R67" si="40">IF(P$12=0,0,P59/P$12)</f>
        <v>0</v>
      </c>
      <c r="S59" s="1"/>
      <c r="T59" s="1">
        <f>SUM(OSRRefT22_6x_0)</f>
        <v>500</v>
      </c>
      <c r="U59" s="1"/>
      <c r="V59" s="5">
        <f t="shared" ref="V59:V67" si="41">IF(T$12=0,0,T59/T$12)</f>
        <v>3.8133607331945627E-4</v>
      </c>
      <c r="W59" s="1"/>
      <c r="X59" s="1">
        <f t="shared" ref="X59:X67" si="42">+P59-T59</f>
        <v>-500</v>
      </c>
      <c r="Y59" s="1"/>
      <c r="Z59" s="5">
        <f t="shared" ref="Z59:Z67" si="43">IF(T59=0,0,X59/T59)</f>
        <v>-1</v>
      </c>
    </row>
    <row r="60" spans="1:26" s="24" customFormat="1" hidden="1" outlineLevel="2" x14ac:dyDescent="0.25">
      <c r="A60" s="28"/>
      <c r="B60" s="11" t="str">
        <f>CONCATENATE("          ", "6399", " - ", "DONATION-ON CAMPUS")</f>
        <v xml:space="preserve">          6399 - DONATION-ON CAMPUS</v>
      </c>
      <c r="C60" s="11"/>
      <c r="D60" s="6"/>
      <c r="E60" s="2"/>
      <c r="F60" s="7">
        <f t="shared" si="36"/>
        <v>0</v>
      </c>
      <c r="G60" s="2"/>
      <c r="H60" s="6">
        <v>500</v>
      </c>
      <c r="I60" s="2"/>
      <c r="J60" s="7">
        <f t="shared" si="37"/>
        <v>6.8115598055087153E-4</v>
      </c>
      <c r="K60" s="2"/>
      <c r="L60" s="6">
        <f t="shared" si="38"/>
        <v>-500</v>
      </c>
      <c r="M60" s="2"/>
      <c r="N60" s="7">
        <f t="shared" si="39"/>
        <v>-1</v>
      </c>
      <c r="O60" s="11"/>
      <c r="P60" s="6"/>
      <c r="Q60" s="2"/>
      <c r="R60" s="7">
        <f t="shared" si="40"/>
        <v>0</v>
      </c>
      <c r="S60" s="2"/>
      <c r="T60" s="6">
        <v>500</v>
      </c>
      <c r="U60" s="2"/>
      <c r="V60" s="7">
        <f t="shared" si="41"/>
        <v>3.8133607331945627E-4</v>
      </c>
      <c r="W60" s="2"/>
      <c r="X60" s="6">
        <f t="shared" si="42"/>
        <v>-500</v>
      </c>
      <c r="Y60" s="2"/>
      <c r="Z60" s="7">
        <f t="shared" si="43"/>
        <v>-1</v>
      </c>
    </row>
    <row r="61" spans="1:26" s="29" customFormat="1" outlineLevel="1" collapsed="1" x14ac:dyDescent="0.25">
      <c r="A61" s="27"/>
      <c r="B61" s="14" t="str">
        <f>CONCATENATE("     ","Employees' Appreciation                           ")</f>
        <v xml:space="preserve">     Employees' Appreciation                           </v>
      </c>
      <c r="C61" s="14"/>
      <c r="D61" s="1">
        <f>SUM(OSRRefD22_7x_0)</f>
        <v>19.84</v>
      </c>
      <c r="E61" s="1"/>
      <c r="F61" s="5">
        <f t="shared" si="36"/>
        <v>2.782877381877936E-5</v>
      </c>
      <c r="G61" s="1"/>
      <c r="H61" s="1">
        <f>SUM(OSRRefH22_7x_0)</f>
        <v>446.37</v>
      </c>
      <c r="I61" s="1"/>
      <c r="J61" s="5">
        <f t="shared" si="37"/>
        <v>6.0809519007698509E-4</v>
      </c>
      <c r="K61" s="1"/>
      <c r="L61" s="1">
        <f t="shared" si="38"/>
        <v>-426.53000000000003</v>
      </c>
      <c r="M61" s="1"/>
      <c r="N61" s="5">
        <f t="shared" si="39"/>
        <v>-0.95555256849698689</v>
      </c>
      <c r="O61" s="14"/>
      <c r="P61" s="1">
        <f>SUM(OSRRefP22_7x_0)</f>
        <v>419.56</v>
      </c>
      <c r="Q61" s="1"/>
      <c r="R61" s="5">
        <f t="shared" si="40"/>
        <v>3.3838838009338484E-4</v>
      </c>
      <c r="S61" s="1"/>
      <c r="T61" s="1">
        <f>SUM(OSRRefT22_7x_0)</f>
        <v>692.21</v>
      </c>
      <c r="U61" s="1"/>
      <c r="V61" s="5">
        <f t="shared" si="41"/>
        <v>5.2792928662492172E-4</v>
      </c>
      <c r="W61" s="1"/>
      <c r="X61" s="1">
        <f t="shared" si="42"/>
        <v>-272.65000000000003</v>
      </c>
      <c r="Y61" s="1"/>
      <c r="Z61" s="5">
        <f t="shared" si="43"/>
        <v>-0.39388335909622807</v>
      </c>
    </row>
    <row r="62" spans="1:26" s="24" customFormat="1" hidden="1" outlineLevel="2" x14ac:dyDescent="0.25">
      <c r="A62" s="28"/>
      <c r="B62" s="11" t="str">
        <f>CONCATENATE("          ", "6277", " - ", "EMPLOYEE APPRECIATION")</f>
        <v xml:space="preserve">          6277 - EMPLOYEE APPRECIATION</v>
      </c>
      <c r="C62" s="11"/>
      <c r="D62" s="6">
        <v>19.84</v>
      </c>
      <c r="E62" s="2"/>
      <c r="F62" s="7">
        <f t="shared" si="36"/>
        <v>2.782877381877936E-5</v>
      </c>
      <c r="G62" s="2"/>
      <c r="H62" s="6">
        <v>446.37</v>
      </c>
      <c r="I62" s="2"/>
      <c r="J62" s="7">
        <f t="shared" si="37"/>
        <v>6.0809519007698509E-4</v>
      </c>
      <c r="K62" s="2"/>
      <c r="L62" s="6">
        <f t="shared" si="38"/>
        <v>-426.53000000000003</v>
      </c>
      <c r="M62" s="2"/>
      <c r="N62" s="7">
        <f t="shared" si="39"/>
        <v>-0.95555256849698689</v>
      </c>
      <c r="O62" s="11"/>
      <c r="P62" s="6">
        <v>419.56</v>
      </c>
      <c r="Q62" s="2"/>
      <c r="R62" s="7">
        <f t="shared" si="40"/>
        <v>3.3838838009338484E-4</v>
      </c>
      <c r="S62" s="2"/>
      <c r="T62" s="6">
        <v>692.21</v>
      </c>
      <c r="U62" s="2"/>
      <c r="V62" s="7">
        <f t="shared" si="41"/>
        <v>5.2792928662492172E-4</v>
      </c>
      <c r="W62" s="2"/>
      <c r="X62" s="6">
        <f t="shared" si="42"/>
        <v>-272.65000000000003</v>
      </c>
      <c r="Y62" s="2"/>
      <c r="Z62" s="7">
        <f t="shared" si="43"/>
        <v>-0.39388335909622807</v>
      </c>
    </row>
    <row r="63" spans="1:26" s="29" customFormat="1" outlineLevel="1" collapsed="1" x14ac:dyDescent="0.25">
      <c r="A63" s="27"/>
      <c r="B63" s="14" t="str">
        <f>CONCATENATE("     ","Equipment Rental                                  ")</f>
        <v xml:space="preserve">     Equipment Rental                                  </v>
      </c>
      <c r="C63" s="14"/>
      <c r="D63" s="1">
        <f>SUM(OSRRefD22_8x_0)</f>
        <v>2203.21</v>
      </c>
      <c r="E63" s="1"/>
      <c r="F63" s="5">
        <f t="shared" si="36"/>
        <v>3.0903544740560926E-3</v>
      </c>
      <c r="G63" s="1"/>
      <c r="H63" s="1">
        <f>SUM(OSRRefH22_8x_0)</f>
        <v>1510.61</v>
      </c>
      <c r="I63" s="1"/>
      <c r="J63" s="5">
        <f t="shared" si="37"/>
        <v>2.0579220715599041E-3</v>
      </c>
      <c r="K63" s="1"/>
      <c r="L63" s="1">
        <f t="shared" si="38"/>
        <v>692.60000000000014</v>
      </c>
      <c r="M63" s="1"/>
      <c r="N63" s="5">
        <f t="shared" si="39"/>
        <v>0.45849027876156001</v>
      </c>
      <c r="O63" s="14"/>
      <c r="P63" s="1">
        <f>SUM(OSRRefP22_8x_0)</f>
        <v>6368.81</v>
      </c>
      <c r="Q63" s="1"/>
      <c r="R63" s="5">
        <f t="shared" si="40"/>
        <v>5.1366462461210557E-3</v>
      </c>
      <c r="S63" s="1"/>
      <c r="T63" s="1">
        <f>SUM(OSRRefT22_8x_0)</f>
        <v>4374.04</v>
      </c>
      <c r="U63" s="1"/>
      <c r="V63" s="5">
        <f t="shared" si="41"/>
        <v>3.3359584762844689E-3</v>
      </c>
      <c r="W63" s="1"/>
      <c r="X63" s="1">
        <f t="shared" si="42"/>
        <v>1994.7700000000004</v>
      </c>
      <c r="Y63" s="1"/>
      <c r="Z63" s="5">
        <f t="shared" si="43"/>
        <v>0.45604749842251108</v>
      </c>
    </row>
    <row r="64" spans="1:26" s="24" customFormat="1" hidden="1" outlineLevel="2" x14ac:dyDescent="0.25">
      <c r="A64" s="28"/>
      <c r="B64" s="11" t="str">
        <f>CONCATENATE("          ", "6351", " - ", "EQUIPMENT RENTAL")</f>
        <v xml:space="preserve">          6351 - EQUIPMENT RENTAL</v>
      </c>
      <c r="C64" s="11"/>
      <c r="D64" s="6">
        <v>2203.21</v>
      </c>
      <c r="E64" s="2"/>
      <c r="F64" s="7">
        <f t="shared" si="36"/>
        <v>3.0903544740560926E-3</v>
      </c>
      <c r="G64" s="2"/>
      <c r="H64" s="6">
        <v>1510.61</v>
      </c>
      <c r="I64" s="2"/>
      <c r="J64" s="7">
        <f t="shared" si="37"/>
        <v>2.0579220715599041E-3</v>
      </c>
      <c r="K64" s="2"/>
      <c r="L64" s="6">
        <f t="shared" si="38"/>
        <v>692.60000000000014</v>
      </c>
      <c r="M64" s="2"/>
      <c r="N64" s="7">
        <f t="shared" si="39"/>
        <v>0.45849027876156001</v>
      </c>
      <c r="O64" s="11"/>
      <c r="P64" s="6">
        <v>6368.81</v>
      </c>
      <c r="Q64" s="2"/>
      <c r="R64" s="7">
        <f t="shared" si="40"/>
        <v>5.1366462461210557E-3</v>
      </c>
      <c r="S64" s="2"/>
      <c r="T64" s="6">
        <v>4374.04</v>
      </c>
      <c r="U64" s="2"/>
      <c r="V64" s="7">
        <f t="shared" si="41"/>
        <v>3.3359584762844689E-3</v>
      </c>
      <c r="W64" s="2"/>
      <c r="X64" s="6">
        <f t="shared" si="42"/>
        <v>1994.7700000000004</v>
      </c>
      <c r="Y64" s="2"/>
      <c r="Z64" s="7">
        <f t="shared" si="43"/>
        <v>0.45604749842251108</v>
      </c>
    </row>
    <row r="65" spans="1:26" s="29" customFormat="1" outlineLevel="1" collapsed="1" x14ac:dyDescent="0.25">
      <c r="A65" s="27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SUM(OSRRefD22_9x_0)</f>
        <v>7452.15</v>
      </c>
      <c r="E65" s="1"/>
      <c r="F65" s="5">
        <f t="shared" si="36"/>
        <v>1.0452832500686321E-2</v>
      </c>
      <c r="G65" s="1"/>
      <c r="H65" s="1">
        <f>SUM(OSRRefH22_9x_0)</f>
        <v>3620.26</v>
      </c>
      <c r="I65" s="1"/>
      <c r="J65" s="5">
        <f t="shared" si="37"/>
        <v>4.9319235002981965E-3</v>
      </c>
      <c r="K65" s="1"/>
      <c r="L65" s="1">
        <f t="shared" si="38"/>
        <v>3831.8899999999994</v>
      </c>
      <c r="M65" s="1"/>
      <c r="N65" s="5">
        <f t="shared" si="39"/>
        <v>1.0584571273886403</v>
      </c>
      <c r="O65" s="14"/>
      <c r="P65" s="1">
        <f>SUM(OSRRefP22_9x_0)</f>
        <v>29518.129999999997</v>
      </c>
      <c r="Q65" s="1"/>
      <c r="R65" s="5">
        <f t="shared" si="40"/>
        <v>2.3807303351334599E-2</v>
      </c>
      <c r="S65" s="1"/>
      <c r="T65" s="1">
        <f>SUM(OSRRefT22_9x_0)</f>
        <v>21769.99</v>
      </c>
      <c r="U65" s="1"/>
      <c r="V65" s="5">
        <f t="shared" si="41"/>
        <v>1.6603365005607662E-2</v>
      </c>
      <c r="W65" s="1"/>
      <c r="X65" s="1">
        <f t="shared" si="42"/>
        <v>7748.1399999999958</v>
      </c>
      <c r="Y65" s="1"/>
      <c r="Z65" s="5">
        <f t="shared" si="43"/>
        <v>0.35590921263629405</v>
      </c>
    </row>
    <row r="66" spans="1:26" s="24" customFormat="1" hidden="1" outlineLevel="2" x14ac:dyDescent="0.25">
      <c r="A66" s="28"/>
      <c r="B66" s="11" t="str">
        <f>CONCATENATE("          ", "6269", " - ", "ENTERTAINMENT")</f>
        <v xml:space="preserve">          6269 - ENTERTAINMENT</v>
      </c>
      <c r="C66" s="11"/>
      <c r="D66" s="6">
        <v>1050</v>
      </c>
      <c r="E66" s="2"/>
      <c r="F66" s="7">
        <f t="shared" si="36"/>
        <v>1.472792969239835E-3</v>
      </c>
      <c r="G66" s="2"/>
      <c r="H66" s="6">
        <v>1550</v>
      </c>
      <c r="I66" s="2"/>
      <c r="J66" s="7">
        <f t="shared" si="37"/>
        <v>2.1115835397077019E-3</v>
      </c>
      <c r="K66" s="2"/>
      <c r="L66" s="6">
        <f t="shared" si="38"/>
        <v>-500</v>
      </c>
      <c r="M66" s="2"/>
      <c r="N66" s="7">
        <f t="shared" si="39"/>
        <v>-0.32258064516129031</v>
      </c>
      <c r="O66" s="11"/>
      <c r="P66" s="6">
        <v>3650</v>
      </c>
      <c r="Q66" s="2"/>
      <c r="R66" s="7">
        <f t="shared" si="40"/>
        <v>2.9438401833846283E-3</v>
      </c>
      <c r="S66" s="2"/>
      <c r="T66" s="6">
        <v>3100</v>
      </c>
      <c r="U66" s="2"/>
      <c r="V66" s="7">
        <f t="shared" si="41"/>
        <v>2.3642836545806289E-3</v>
      </c>
      <c r="W66" s="2"/>
      <c r="X66" s="6">
        <f t="shared" si="42"/>
        <v>550</v>
      </c>
      <c r="Y66" s="2"/>
      <c r="Z66" s="7">
        <f t="shared" si="43"/>
        <v>0.17741935483870969</v>
      </c>
    </row>
    <row r="67" spans="1:26" s="24" customFormat="1" hidden="1" outlineLevel="2" x14ac:dyDescent="0.25">
      <c r="A67" s="28"/>
      <c r="B67" s="11" t="str">
        <f>CONCATENATE("          ", "6279", " - ", "GENERAL EXPENSE")</f>
        <v xml:space="preserve">          6279 - GENERAL EXPENSE</v>
      </c>
      <c r="C67" s="11"/>
      <c r="D67" s="6">
        <v>6402.15</v>
      </c>
      <c r="E67" s="2"/>
      <c r="F67" s="7">
        <f t="shared" si="36"/>
        <v>8.9800395314464862E-3</v>
      </c>
      <c r="G67" s="2"/>
      <c r="H67" s="6">
        <v>2070.2600000000002</v>
      </c>
      <c r="I67" s="2"/>
      <c r="J67" s="7">
        <f t="shared" si="37"/>
        <v>2.820339960590495E-3</v>
      </c>
      <c r="K67" s="2"/>
      <c r="L67" s="6">
        <f t="shared" si="38"/>
        <v>4331.8899999999994</v>
      </c>
      <c r="M67" s="2"/>
      <c r="N67" s="7">
        <f t="shared" si="39"/>
        <v>2.0924376648343683</v>
      </c>
      <c r="O67" s="11"/>
      <c r="P67" s="6">
        <v>25868.129999999997</v>
      </c>
      <c r="Q67" s="2"/>
      <c r="R67" s="7">
        <f t="shared" si="40"/>
        <v>2.0863463167949972E-2</v>
      </c>
      <c r="S67" s="2"/>
      <c r="T67" s="6">
        <v>18669.990000000002</v>
      </c>
      <c r="U67" s="2"/>
      <c r="V67" s="7">
        <f t="shared" si="41"/>
        <v>1.4239081351027033E-2</v>
      </c>
      <c r="W67" s="2"/>
      <c r="X67" s="6">
        <f t="shared" si="42"/>
        <v>7198.1399999999958</v>
      </c>
      <c r="Y67" s="2"/>
      <c r="Z67" s="7">
        <f t="shared" si="43"/>
        <v>0.38554600189930444</v>
      </c>
    </row>
    <row r="68" spans="1:26" s="29" customFormat="1" outlineLevel="1" collapsed="1" x14ac:dyDescent="0.25">
      <c r="A68" s="27"/>
      <c r="B68" s="14" t="str">
        <f>CONCATENATE("     ","Insurance                                         ")</f>
        <v xml:space="preserve">     Insurance                                         </v>
      </c>
      <c r="C68" s="14"/>
      <c r="D68" s="1">
        <f>SUM(OSRRefD22_10x_0)</f>
        <v>4240.13</v>
      </c>
      <c r="E68" s="1"/>
      <c r="F68" s="5">
        <f t="shared" ref="F68:F79" si="44">IF(D$12=0,0,D68/D$12)</f>
        <v>5.9474606215837167E-3</v>
      </c>
      <c r="G68" s="1"/>
      <c r="H68" s="1">
        <f>SUM(OSRRefH22_10x_0)</f>
        <v>8581.18</v>
      </c>
      <c r="I68" s="1"/>
      <c r="J68" s="5">
        <f t="shared" ref="J68:J79" si="45">IF(H$12=0,0,H68/H$12)</f>
        <v>1.1690244154367056E-2</v>
      </c>
      <c r="K68" s="1"/>
      <c r="L68" s="1">
        <f t="shared" ref="L68:L79" si="46">+D68-H68</f>
        <v>-4341.05</v>
      </c>
      <c r="M68" s="1"/>
      <c r="N68" s="5">
        <f t="shared" ref="N68:N79" si="47">IF(H68=0,0,L68/H68)</f>
        <v>-0.5058803101671332</v>
      </c>
      <c r="O68" s="14"/>
      <c r="P68" s="1">
        <f>SUM(OSRRefP22_10x_0)</f>
        <v>12720.39</v>
      </c>
      <c r="Q68" s="1"/>
      <c r="R68" s="5">
        <f t="shared" ref="R68:R79" si="48">IF(P$12=0,0,P68/P$12)</f>
        <v>1.0259395953513422E-2</v>
      </c>
      <c r="S68" s="1"/>
      <c r="T68" s="1">
        <f>SUM(OSRRefT22_10x_0)</f>
        <v>16567.54</v>
      </c>
      <c r="U68" s="1"/>
      <c r="V68" s="5">
        <f t="shared" ref="V68:V79" si="49">IF(T$12=0,0,T68/T$12)</f>
        <v>1.263560129632605E-2</v>
      </c>
      <c r="W68" s="1"/>
      <c r="X68" s="1">
        <f t="shared" ref="X68:X79" si="50">+P68-T68</f>
        <v>-3847.1500000000015</v>
      </c>
      <c r="Y68" s="1"/>
      <c r="Z68" s="5">
        <f t="shared" ref="Z68:Z79" si="51">IF(T68=0,0,X68/T68)</f>
        <v>-0.23221009274762586</v>
      </c>
    </row>
    <row r="69" spans="1:26" s="24" customFormat="1" hidden="1" outlineLevel="2" x14ac:dyDescent="0.25">
      <c r="A69" s="28"/>
      <c r="B69" s="11" t="str">
        <f>CONCATENATE("          ", "6314", " - ", "LIABILITY INSURANCE")</f>
        <v xml:space="preserve">          6314 - LIABILITY INSURANCE</v>
      </c>
      <c r="C69" s="11"/>
      <c r="D69" s="6">
        <v>4240.13</v>
      </c>
      <c r="E69" s="2"/>
      <c r="F69" s="7">
        <f t="shared" si="44"/>
        <v>5.9474606215837167E-3</v>
      </c>
      <c r="G69" s="2"/>
      <c r="H69" s="6">
        <v>8581.18</v>
      </c>
      <c r="I69" s="2"/>
      <c r="J69" s="7">
        <f t="shared" si="45"/>
        <v>1.1690244154367056E-2</v>
      </c>
      <c r="K69" s="2"/>
      <c r="L69" s="6">
        <f t="shared" si="46"/>
        <v>-4341.05</v>
      </c>
      <c r="M69" s="2"/>
      <c r="N69" s="7">
        <f t="shared" si="47"/>
        <v>-0.5058803101671332</v>
      </c>
      <c r="O69" s="11"/>
      <c r="P69" s="6">
        <v>12720.39</v>
      </c>
      <c r="Q69" s="2"/>
      <c r="R69" s="7">
        <f t="shared" si="48"/>
        <v>1.0259395953513422E-2</v>
      </c>
      <c r="S69" s="2"/>
      <c r="T69" s="6">
        <v>16567.54</v>
      </c>
      <c r="U69" s="2"/>
      <c r="V69" s="7">
        <f t="shared" si="49"/>
        <v>1.263560129632605E-2</v>
      </c>
      <c r="W69" s="2"/>
      <c r="X69" s="6">
        <f t="shared" si="50"/>
        <v>-3847.1500000000015</v>
      </c>
      <c r="Y69" s="2"/>
      <c r="Z69" s="7">
        <f t="shared" si="51"/>
        <v>-0.23221009274762586</v>
      </c>
    </row>
    <row r="70" spans="1:26" s="29" customFormat="1" outlineLevel="1" collapsed="1" x14ac:dyDescent="0.25">
      <c r="A70" s="27"/>
      <c r="B70" s="14" t="str">
        <f>CONCATENATE("     ","Interest                                          ")</f>
        <v xml:space="preserve">     Interest                                          </v>
      </c>
      <c r="C70" s="14"/>
      <c r="D70" s="1">
        <f>SUM(OSRRefD22_11x_0)</f>
        <v>7630</v>
      </c>
      <c r="E70" s="1"/>
      <c r="F70" s="5">
        <f t="shared" si="44"/>
        <v>1.0702295576476135E-2</v>
      </c>
      <c r="G70" s="1"/>
      <c r="H70" s="1">
        <f>SUM(OSRRefH22_11x_0)</f>
        <v>7949</v>
      </c>
      <c r="I70" s="1"/>
      <c r="J70" s="5">
        <f t="shared" si="45"/>
        <v>1.0829017778797755E-2</v>
      </c>
      <c r="K70" s="1"/>
      <c r="L70" s="1">
        <f t="shared" si="46"/>
        <v>-319</v>
      </c>
      <c r="M70" s="1"/>
      <c r="N70" s="5">
        <f t="shared" si="47"/>
        <v>-4.013083406717826E-2</v>
      </c>
      <c r="O70" s="14"/>
      <c r="P70" s="1">
        <f>SUM(OSRRefP22_11x_0)</f>
        <v>22890</v>
      </c>
      <c r="Q70" s="1"/>
      <c r="R70" s="5">
        <f t="shared" si="48"/>
        <v>1.8461507341828529E-2</v>
      </c>
      <c r="S70" s="1"/>
      <c r="T70" s="1">
        <f>SUM(OSRRefT22_11x_0)</f>
        <v>23847</v>
      </c>
      <c r="U70" s="1"/>
      <c r="V70" s="5">
        <f t="shared" si="49"/>
        <v>1.8187442680898148E-2</v>
      </c>
      <c r="W70" s="1"/>
      <c r="X70" s="1">
        <f t="shared" si="50"/>
        <v>-957</v>
      </c>
      <c r="Y70" s="1"/>
      <c r="Z70" s="5">
        <f t="shared" si="51"/>
        <v>-4.013083406717826E-2</v>
      </c>
    </row>
    <row r="71" spans="1:26" s="24" customFormat="1" hidden="1" outlineLevel="2" x14ac:dyDescent="0.25">
      <c r="A71" s="28"/>
      <c r="B71" s="11" t="str">
        <f>CONCATENATE("          ", "6401", " - ", "INTEREST EXPENSE")</f>
        <v xml:space="preserve">          6401 - INTEREST EXPENSE</v>
      </c>
      <c r="C71" s="11"/>
      <c r="D71" s="6">
        <v>7630</v>
      </c>
      <c r="E71" s="2"/>
      <c r="F71" s="7">
        <f t="shared" si="44"/>
        <v>1.0702295576476135E-2</v>
      </c>
      <c r="G71" s="2"/>
      <c r="H71" s="6">
        <v>7949</v>
      </c>
      <c r="I71" s="2"/>
      <c r="J71" s="7">
        <f t="shared" si="45"/>
        <v>1.0829017778797755E-2</v>
      </c>
      <c r="K71" s="2"/>
      <c r="L71" s="6">
        <f t="shared" si="46"/>
        <v>-319</v>
      </c>
      <c r="M71" s="2"/>
      <c r="N71" s="7">
        <f t="shared" si="47"/>
        <v>-4.013083406717826E-2</v>
      </c>
      <c r="O71" s="11"/>
      <c r="P71" s="6">
        <v>22890</v>
      </c>
      <c r="Q71" s="2"/>
      <c r="R71" s="7">
        <f t="shared" si="48"/>
        <v>1.8461507341828529E-2</v>
      </c>
      <c r="S71" s="2"/>
      <c r="T71" s="6">
        <v>23847</v>
      </c>
      <c r="U71" s="2"/>
      <c r="V71" s="7">
        <f t="shared" si="49"/>
        <v>1.8187442680898148E-2</v>
      </c>
      <c r="W71" s="2"/>
      <c r="X71" s="6">
        <f t="shared" si="50"/>
        <v>-957</v>
      </c>
      <c r="Y71" s="2"/>
      <c r="Z71" s="7">
        <f t="shared" si="51"/>
        <v>-4.013083406717826E-2</v>
      </c>
    </row>
    <row r="72" spans="1:26" s="29" customFormat="1" outlineLevel="1" collapsed="1" x14ac:dyDescent="0.25">
      <c r="A72" s="27"/>
      <c r="B72" s="14" t="str">
        <f>CONCATENATE("     ","Professional Services                             ")</f>
        <v xml:space="preserve">     Professional Services                             </v>
      </c>
      <c r="C72" s="14"/>
      <c r="D72" s="1">
        <f>SUM(OSRRefD22_12x_0)</f>
        <v>0</v>
      </c>
      <c r="E72" s="1"/>
      <c r="F72" s="5">
        <f t="shared" si="44"/>
        <v>0</v>
      </c>
      <c r="G72" s="1"/>
      <c r="H72" s="1">
        <f>SUM(OSRRefH22_12x_0)</f>
        <v>0</v>
      </c>
      <c r="I72" s="1"/>
      <c r="J72" s="5">
        <f t="shared" si="45"/>
        <v>0</v>
      </c>
      <c r="K72" s="1"/>
      <c r="L72" s="1">
        <f t="shared" si="46"/>
        <v>0</v>
      </c>
      <c r="M72" s="1"/>
      <c r="N72" s="5">
        <f t="shared" si="47"/>
        <v>0</v>
      </c>
      <c r="O72" s="14"/>
      <c r="P72" s="1">
        <f>SUM(OSRRefP22_12x_0)</f>
        <v>125</v>
      </c>
      <c r="Q72" s="1"/>
      <c r="R72" s="5">
        <f t="shared" si="48"/>
        <v>1.0081644463645987E-4</v>
      </c>
      <c r="S72" s="1"/>
      <c r="T72" s="1">
        <f>SUM(OSRRefT22_12x_0)</f>
        <v>0</v>
      </c>
      <c r="U72" s="1"/>
      <c r="V72" s="5">
        <f t="shared" si="49"/>
        <v>0</v>
      </c>
      <c r="W72" s="1"/>
      <c r="X72" s="1">
        <f t="shared" si="50"/>
        <v>125</v>
      </c>
      <c r="Y72" s="1"/>
      <c r="Z72" s="5">
        <f t="shared" si="51"/>
        <v>0</v>
      </c>
    </row>
    <row r="73" spans="1:26" s="24" customFormat="1" hidden="1" outlineLevel="2" x14ac:dyDescent="0.25">
      <c r="A73" s="28"/>
      <c r="B73" s="11" t="str">
        <f>CONCATENATE("          ", "6336", " - ", "PROFESSIONAL SERVICES")</f>
        <v xml:space="preserve">          6336 - PROFESSIONAL SERVICES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125</v>
      </c>
      <c r="Q73" s="2"/>
      <c r="R73" s="7">
        <f t="shared" si="48"/>
        <v>1.0081644463645987E-4</v>
      </c>
      <c r="S73" s="2"/>
      <c r="T73" s="6"/>
      <c r="U73" s="2"/>
      <c r="V73" s="7">
        <f t="shared" si="49"/>
        <v>0</v>
      </c>
      <c r="W73" s="2"/>
      <c r="X73" s="6">
        <f t="shared" si="50"/>
        <v>125</v>
      </c>
      <c r="Y73" s="2"/>
      <c r="Z73" s="7">
        <f t="shared" si="51"/>
        <v>0</v>
      </c>
    </row>
    <row r="74" spans="1:26" s="29" customFormat="1" outlineLevel="1" collapsed="1" x14ac:dyDescent="0.25">
      <c r="A74" s="27"/>
      <c r="B74" s="14" t="str">
        <f>CONCATENATE("     ","Rent                                              ")</f>
        <v xml:space="preserve">     Rent                                              </v>
      </c>
      <c r="C74" s="14"/>
      <c r="D74" s="1">
        <f>SUM(OSRRefD22_13x_0)</f>
        <v>1850</v>
      </c>
      <c r="E74" s="1"/>
      <c r="F74" s="5">
        <f t="shared" si="44"/>
        <v>2.594920945803519E-3</v>
      </c>
      <c r="G74" s="1"/>
      <c r="H74" s="1">
        <f>SUM(OSRRefH22_13x_0)</f>
        <v>1850</v>
      </c>
      <c r="I74" s="1"/>
      <c r="J74" s="5">
        <f t="shared" si="45"/>
        <v>2.5202771280382246E-3</v>
      </c>
      <c r="K74" s="1"/>
      <c r="L74" s="1">
        <f t="shared" si="46"/>
        <v>0</v>
      </c>
      <c r="M74" s="1"/>
      <c r="N74" s="5">
        <f t="shared" si="47"/>
        <v>0</v>
      </c>
      <c r="O74" s="14"/>
      <c r="P74" s="1">
        <f>SUM(OSRRefP22_13x_0)</f>
        <v>5550</v>
      </c>
      <c r="Q74" s="1"/>
      <c r="R74" s="5">
        <f t="shared" si="48"/>
        <v>4.4762501418588183E-3</v>
      </c>
      <c r="S74" s="1"/>
      <c r="T74" s="1">
        <f>SUM(OSRRefT22_13x_0)</f>
        <v>5550</v>
      </c>
      <c r="U74" s="1"/>
      <c r="V74" s="5">
        <f t="shared" si="49"/>
        <v>4.2328304138459644E-3</v>
      </c>
      <c r="W74" s="1"/>
      <c r="X74" s="1">
        <f t="shared" si="50"/>
        <v>0</v>
      </c>
      <c r="Y74" s="1"/>
      <c r="Z74" s="5">
        <f t="shared" si="51"/>
        <v>0</v>
      </c>
    </row>
    <row r="75" spans="1:26" s="24" customFormat="1" hidden="1" outlineLevel="2" x14ac:dyDescent="0.25">
      <c r="A75" s="28"/>
      <c r="B75" s="11" t="str">
        <f>CONCATENATE("          ", "6273", " - ", "RENT")</f>
        <v xml:space="preserve">          6273 - RENT</v>
      </c>
      <c r="C75" s="11"/>
      <c r="D75" s="6">
        <v>1850</v>
      </c>
      <c r="E75" s="2"/>
      <c r="F75" s="7">
        <f t="shared" si="44"/>
        <v>2.594920945803519E-3</v>
      </c>
      <c r="G75" s="2"/>
      <c r="H75" s="6">
        <v>1850</v>
      </c>
      <c r="I75" s="2"/>
      <c r="J75" s="7">
        <f t="shared" si="45"/>
        <v>2.5202771280382246E-3</v>
      </c>
      <c r="K75" s="2"/>
      <c r="L75" s="6">
        <f t="shared" si="46"/>
        <v>0</v>
      </c>
      <c r="M75" s="2"/>
      <c r="N75" s="7">
        <f t="shared" si="47"/>
        <v>0</v>
      </c>
      <c r="O75" s="11"/>
      <c r="P75" s="6">
        <v>5550</v>
      </c>
      <c r="Q75" s="2"/>
      <c r="R75" s="7">
        <f t="shared" si="48"/>
        <v>4.4762501418588183E-3</v>
      </c>
      <c r="S75" s="2"/>
      <c r="T75" s="6">
        <v>5550</v>
      </c>
      <c r="U75" s="2"/>
      <c r="V75" s="7">
        <f t="shared" si="49"/>
        <v>4.2328304138459644E-3</v>
      </c>
      <c r="W75" s="2"/>
      <c r="X75" s="6">
        <f t="shared" si="50"/>
        <v>0</v>
      </c>
      <c r="Y75" s="2"/>
      <c r="Z75" s="7">
        <f t="shared" si="51"/>
        <v>0</v>
      </c>
    </row>
    <row r="76" spans="1:26" s="29" customFormat="1" outlineLevel="1" collapsed="1" x14ac:dyDescent="0.25">
      <c r="A76" s="27"/>
      <c r="B76" s="14" t="str">
        <f>CONCATENATE("     ","Repair and Maintenance                            ")</f>
        <v xml:space="preserve">     Repair and Maintenance                            </v>
      </c>
      <c r="C76" s="14"/>
      <c r="D76" s="1">
        <f>SUM(OSRRefD22_14x_0)</f>
        <v>32297.57</v>
      </c>
      <c r="E76" s="1"/>
      <c r="F76" s="5">
        <f t="shared" si="44"/>
        <v>4.5302508590029926E-2</v>
      </c>
      <c r="G76" s="1"/>
      <c r="H76" s="1">
        <f>SUM(OSRRefH22_14x_0)</f>
        <v>14920.7</v>
      </c>
      <c r="I76" s="1"/>
      <c r="J76" s="5">
        <f t="shared" si="45"/>
        <v>2.0326648078010778E-2</v>
      </c>
      <c r="K76" s="1"/>
      <c r="L76" s="1">
        <f t="shared" si="46"/>
        <v>17376.87</v>
      </c>
      <c r="M76" s="1"/>
      <c r="N76" s="5">
        <f t="shared" si="47"/>
        <v>1.1646149309348757</v>
      </c>
      <c r="O76" s="14"/>
      <c r="P76" s="1">
        <f>SUM(OSRRefP22_14x_0)</f>
        <v>80107.38</v>
      </c>
      <c r="Q76" s="1"/>
      <c r="R76" s="5">
        <f t="shared" si="48"/>
        <v>6.460912992593483E-2</v>
      </c>
      <c r="S76" s="1"/>
      <c r="T76" s="1">
        <f>SUM(OSRRefT22_14x_0)</f>
        <v>65747.489999999991</v>
      </c>
      <c r="U76" s="1"/>
      <c r="V76" s="5">
        <f t="shared" si="49"/>
        <v>5.0143779334420428E-2</v>
      </c>
      <c r="W76" s="1"/>
      <c r="X76" s="1">
        <f t="shared" si="50"/>
        <v>14359.890000000014</v>
      </c>
      <c r="Y76" s="1"/>
      <c r="Z76" s="5">
        <f t="shared" si="51"/>
        <v>0.21840970659108075</v>
      </c>
    </row>
    <row r="77" spans="1:26" s="24" customFormat="1" hidden="1" outlineLevel="2" x14ac:dyDescent="0.25">
      <c r="A77" s="28"/>
      <c r="B77" s="11" t="str">
        <f>CONCATENATE("          ", "6371", " - ", "COMPUTER SOFTWARE MAINTENANCE")</f>
        <v xml:space="preserve">          6371 - COMPUTER SOFTWARE MAINTENANCE</v>
      </c>
      <c r="C77" s="11"/>
      <c r="D77" s="6">
        <v>10932.69</v>
      </c>
      <c r="E77" s="2"/>
      <c r="F77" s="7">
        <f t="shared" si="44"/>
        <v>1.5334846635122527E-2</v>
      </c>
      <c r="G77" s="2"/>
      <c r="H77" s="6"/>
      <c r="I77" s="2"/>
      <c r="J77" s="7">
        <f t="shared" si="45"/>
        <v>0</v>
      </c>
      <c r="K77" s="2"/>
      <c r="L77" s="6">
        <f t="shared" si="46"/>
        <v>10932.69</v>
      </c>
      <c r="M77" s="2"/>
      <c r="N77" s="7">
        <f t="shared" si="47"/>
        <v>0</v>
      </c>
      <c r="O77" s="11"/>
      <c r="P77" s="6">
        <v>10932.69</v>
      </c>
      <c r="Q77" s="2"/>
      <c r="R77" s="7">
        <f t="shared" si="48"/>
        <v>8.8175594889006274E-3</v>
      </c>
      <c r="S77" s="2"/>
      <c r="T77" s="6">
        <v>249</v>
      </c>
      <c r="U77" s="2"/>
      <c r="V77" s="7">
        <f t="shared" si="49"/>
        <v>1.8990536451308923E-4</v>
      </c>
      <c r="W77" s="2"/>
      <c r="X77" s="6">
        <f t="shared" si="50"/>
        <v>10683.69</v>
      </c>
      <c r="Y77" s="2"/>
      <c r="Z77" s="7">
        <f t="shared" si="51"/>
        <v>42.906385542168678</v>
      </c>
    </row>
    <row r="78" spans="1:26" s="24" customFormat="1" hidden="1" outlineLevel="2" x14ac:dyDescent="0.25">
      <c r="A78" s="28"/>
      <c r="B78" s="11" t="str">
        <f>CONCATENATE("          ", "6373", " - ", "MAINTENANCE CONTRACTS")</f>
        <v xml:space="preserve">          6373 - MAINTENANCE CONTRACTS</v>
      </c>
      <c r="C78" s="11"/>
      <c r="D78" s="6">
        <v>8717.31</v>
      </c>
      <c r="E78" s="2"/>
      <c r="F78" s="7">
        <f t="shared" si="44"/>
        <v>1.2227421789222958E-2</v>
      </c>
      <c r="G78" s="2"/>
      <c r="H78" s="6">
        <v>7634.24</v>
      </c>
      <c r="I78" s="2"/>
      <c r="J78" s="7">
        <f t="shared" si="45"/>
        <v>1.0400216465921371E-2</v>
      </c>
      <c r="K78" s="2"/>
      <c r="L78" s="6">
        <f t="shared" si="46"/>
        <v>1083.0699999999997</v>
      </c>
      <c r="M78" s="2"/>
      <c r="N78" s="7">
        <f t="shared" si="47"/>
        <v>0.14187004862304561</v>
      </c>
      <c r="O78" s="11"/>
      <c r="P78" s="6">
        <v>24808.510000000002</v>
      </c>
      <c r="Q78" s="2"/>
      <c r="R78" s="7">
        <f t="shared" si="48"/>
        <v>2.0008846199424491E-2</v>
      </c>
      <c r="S78" s="2"/>
      <c r="T78" s="6">
        <v>29951.449999999997</v>
      </c>
      <c r="U78" s="2"/>
      <c r="V78" s="7">
        <f t="shared" si="49"/>
        <v>2.2843136666448056E-2</v>
      </c>
      <c r="W78" s="2"/>
      <c r="X78" s="6">
        <f t="shared" si="50"/>
        <v>-5142.9399999999951</v>
      </c>
      <c r="Y78" s="2"/>
      <c r="Z78" s="7">
        <f t="shared" si="51"/>
        <v>-0.1717092160813582</v>
      </c>
    </row>
    <row r="79" spans="1:26" s="24" customFormat="1" hidden="1" outlineLevel="2" x14ac:dyDescent="0.25">
      <c r="A79" s="28"/>
      <c r="B79" s="11" t="str">
        <f>CONCATENATE("          ", "6375", " - ", "OUTSIDE REPAIRS &amp; MAINTENANCE")</f>
        <v xml:space="preserve">          6375 - OUTSIDE REPAIRS &amp; MAINTENANCE</v>
      </c>
      <c r="C79" s="11"/>
      <c r="D79" s="6">
        <v>12647.57</v>
      </c>
      <c r="E79" s="2"/>
      <c r="F79" s="7">
        <f t="shared" si="44"/>
        <v>1.7740240165684439E-2</v>
      </c>
      <c r="G79" s="2"/>
      <c r="H79" s="6">
        <v>7286.46</v>
      </c>
      <c r="I79" s="2"/>
      <c r="J79" s="7">
        <f t="shared" si="45"/>
        <v>9.9264316120894064E-3</v>
      </c>
      <c r="K79" s="2"/>
      <c r="L79" s="6">
        <f t="shared" si="46"/>
        <v>5361.11</v>
      </c>
      <c r="M79" s="2"/>
      <c r="N79" s="7">
        <f t="shared" si="47"/>
        <v>0.73576331991117772</v>
      </c>
      <c r="O79" s="11"/>
      <c r="P79" s="6">
        <v>44366.18</v>
      </c>
      <c r="Q79" s="2"/>
      <c r="R79" s="7">
        <f t="shared" si="48"/>
        <v>3.5782724237609705E-2</v>
      </c>
      <c r="S79" s="2"/>
      <c r="T79" s="6">
        <v>35547.040000000001</v>
      </c>
      <c r="U79" s="2"/>
      <c r="V79" s="7">
        <f t="shared" si="49"/>
        <v>2.7110737303459292E-2</v>
      </c>
      <c r="W79" s="2"/>
      <c r="X79" s="6">
        <f t="shared" si="50"/>
        <v>8819.14</v>
      </c>
      <c r="Y79" s="2"/>
      <c r="Z79" s="7">
        <f t="shared" si="51"/>
        <v>0.24809773190679166</v>
      </c>
    </row>
    <row r="80" spans="1:26" s="29" customFormat="1" outlineLevel="1" collapsed="1" x14ac:dyDescent="0.25">
      <c r="A80" s="27"/>
      <c r="B80" s="14" t="str">
        <f>CONCATENATE("     ","Royalty &amp; Commissions                             ")</f>
        <v xml:space="preserve">     Royalty &amp; Commissions                             </v>
      </c>
      <c r="C80" s="14"/>
      <c r="D80" s="1">
        <f>SUM(OSRRefD22_15x_0)</f>
        <v>26561.729999999996</v>
      </c>
      <c r="E80" s="1"/>
      <c r="F80" s="5">
        <f t="shared" ref="F80:F82" si="52">IF(D$12=0,0,D80/D$12)</f>
        <v>3.7257075423663619E-2</v>
      </c>
      <c r="G80" s="1"/>
      <c r="H80" s="1">
        <f>SUM(OSRRefH22_15x_0)</f>
        <v>30324.32</v>
      </c>
      <c r="I80" s="1"/>
      <c r="J80" s="5">
        <f t="shared" ref="J80:J82" si="53">IF(H$12=0,0,H80/H$12)</f>
        <v>4.1311183848276811E-2</v>
      </c>
      <c r="K80" s="1"/>
      <c r="L80" s="1">
        <f t="shared" ref="L80:L82" si="54">+D80-H80</f>
        <v>-3762.5900000000038</v>
      </c>
      <c r="M80" s="1"/>
      <c r="N80" s="5">
        <f t="shared" ref="N80:N82" si="55">IF(H80=0,0,L80/H80)</f>
        <v>-0.1240782975512725</v>
      </c>
      <c r="O80" s="14"/>
      <c r="P80" s="1">
        <f>SUM(OSRRefP22_15x_0)</f>
        <v>60263.770000000004</v>
      </c>
      <c r="Q80" s="1"/>
      <c r="R80" s="5">
        <f t="shared" ref="R80:R82" si="56">IF(P$12=0,0,P80/P$12)</f>
        <v>4.8604632254314814E-2</v>
      </c>
      <c r="S80" s="1"/>
      <c r="T80" s="1">
        <f>SUM(OSRRefT22_15x_0)</f>
        <v>65967.76999999999</v>
      </c>
      <c r="U80" s="1"/>
      <c r="V80" s="5">
        <f t="shared" ref="V80:V82" si="57">IF(T$12=0,0,T80/T$12)</f>
        <v>5.0311780754882046E-2</v>
      </c>
      <c r="W80" s="1"/>
      <c r="X80" s="1">
        <f t="shared" ref="X80:X82" si="58">+P80-T80</f>
        <v>-5703.9999999999854</v>
      </c>
      <c r="Y80" s="1"/>
      <c r="Z80" s="5">
        <f t="shared" ref="Z80:Z82" si="59">IF(T80=0,0,X80/T80)</f>
        <v>-8.6466466882236373E-2</v>
      </c>
    </row>
    <row r="81" spans="1:26" s="24" customFormat="1" hidden="1" outlineLevel="2" x14ac:dyDescent="0.25">
      <c r="A81" s="28"/>
      <c r="B81" s="11" t="str">
        <f>CONCATENATE("          ", "6254", " - ", "ROYALTY &amp; COMMISSIONS")</f>
        <v xml:space="preserve">          6254 - ROYALTY &amp; COMMISSIONS</v>
      </c>
      <c r="C81" s="11"/>
      <c r="D81" s="6">
        <v>9813.9699999999993</v>
      </c>
      <c r="E81" s="2"/>
      <c r="F81" s="7">
        <f t="shared" si="52"/>
        <v>1.376566287269587E-2</v>
      </c>
      <c r="G81" s="2"/>
      <c r="H81" s="6">
        <v>12992.08</v>
      </c>
      <c r="I81" s="2"/>
      <c r="J81" s="7">
        <f t="shared" si="53"/>
        <v>1.7699265983590735E-2</v>
      </c>
      <c r="K81" s="2"/>
      <c r="L81" s="6">
        <f t="shared" si="54"/>
        <v>-3178.1100000000006</v>
      </c>
      <c r="M81" s="2"/>
      <c r="N81" s="7">
        <f t="shared" si="55"/>
        <v>-0.24461902943947395</v>
      </c>
      <c r="O81" s="11"/>
      <c r="P81" s="6">
        <v>34657.61</v>
      </c>
      <c r="Q81" s="2"/>
      <c r="R81" s="7">
        <f t="shared" si="56"/>
        <v>2.7952456158376143E-2</v>
      </c>
      <c r="S81" s="2"/>
      <c r="T81" s="6">
        <v>40145.449999999997</v>
      </c>
      <c r="U81" s="2"/>
      <c r="V81" s="7">
        <f t="shared" si="57"/>
        <v>3.0617816529285129E-2</v>
      </c>
      <c r="W81" s="2"/>
      <c r="X81" s="6">
        <f t="shared" si="58"/>
        <v>-5487.8399999999965</v>
      </c>
      <c r="Y81" s="2"/>
      <c r="Z81" s="7">
        <f t="shared" si="59"/>
        <v>-0.13669892852116483</v>
      </c>
    </row>
    <row r="82" spans="1:26" s="24" customFormat="1" hidden="1" outlineLevel="2" x14ac:dyDescent="0.25">
      <c r="A82" s="28"/>
      <c r="B82" s="11" t="str">
        <f>CONCATENATE("          ", "6259", " - ", "ROYALTY &amp; COMMISSIONS")</f>
        <v xml:space="preserve">          6259 - ROYALTY &amp; COMMISSIONS</v>
      </c>
      <c r="C82" s="11"/>
      <c r="D82" s="6">
        <v>16747.759999999998</v>
      </c>
      <c r="E82" s="2"/>
      <c r="F82" s="7">
        <f t="shared" si="52"/>
        <v>2.349141255096775E-2</v>
      </c>
      <c r="G82" s="2"/>
      <c r="H82" s="6">
        <v>17332.240000000002</v>
      </c>
      <c r="I82" s="2"/>
      <c r="J82" s="7">
        <f t="shared" si="53"/>
        <v>2.3611917864686079E-2</v>
      </c>
      <c r="K82" s="2"/>
      <c r="L82" s="6">
        <f t="shared" si="54"/>
        <v>-584.4800000000032</v>
      </c>
      <c r="M82" s="2"/>
      <c r="N82" s="7">
        <f t="shared" si="55"/>
        <v>-3.3722127088016501E-2</v>
      </c>
      <c r="O82" s="11"/>
      <c r="P82" s="6">
        <v>25606.16</v>
      </c>
      <c r="Q82" s="2"/>
      <c r="R82" s="7">
        <f t="shared" si="56"/>
        <v>2.0652176095938665E-2</v>
      </c>
      <c r="S82" s="2"/>
      <c r="T82" s="6">
        <v>25822.32</v>
      </c>
      <c r="U82" s="2"/>
      <c r="V82" s="7">
        <f t="shared" si="57"/>
        <v>1.9693964225596924E-2</v>
      </c>
      <c r="W82" s="2"/>
      <c r="X82" s="6">
        <f t="shared" si="58"/>
        <v>-216.15999999999985</v>
      </c>
      <c r="Y82" s="2"/>
      <c r="Z82" s="7">
        <f t="shared" si="59"/>
        <v>-8.3710526397318234E-3</v>
      </c>
    </row>
    <row r="83" spans="1:26" s="29" customFormat="1" outlineLevel="1" collapsed="1" x14ac:dyDescent="0.25">
      <c r="A83" s="27"/>
      <c r="B83" s="14" t="str">
        <f>CONCATENATE("     ","Services                                          ")</f>
        <v xml:space="preserve">     Services                                          </v>
      </c>
      <c r="C83" s="14"/>
      <c r="D83" s="1">
        <f>SUM(OSRRefD22_16x_0)</f>
        <v>19455.759999999998</v>
      </c>
      <c r="E83" s="1"/>
      <c r="F83" s="5">
        <f t="shared" ref="F83:F88" si="60">IF(D$12=0,0,D83/D$12)</f>
        <v>2.7289815751635822E-2</v>
      </c>
      <c r="G83" s="1"/>
      <c r="H83" s="1">
        <f>SUM(OSRRefH22_16x_0)</f>
        <v>23749.26</v>
      </c>
      <c r="I83" s="1"/>
      <c r="J83" s="5">
        <f t="shared" ref="J83:J88" si="61">IF(H$12=0,0,H83/H$12)</f>
        <v>3.235390096531518E-2</v>
      </c>
      <c r="K83" s="1"/>
      <c r="L83" s="1">
        <f t="shared" ref="L83:L88" si="62">+D83-H83</f>
        <v>-4293.5</v>
      </c>
      <c r="M83" s="1"/>
      <c r="N83" s="5">
        <f t="shared" ref="N83:N88" si="63">IF(H83=0,0,L83/H83)</f>
        <v>-0.18078458023534208</v>
      </c>
      <c r="O83" s="14"/>
      <c r="P83" s="1">
        <f>SUM(OSRRefP22_16x_0)</f>
        <v>58527.539999999994</v>
      </c>
      <c r="Q83" s="1"/>
      <c r="R83" s="5">
        <f t="shared" ref="R83:R88" si="64">IF(P$12=0,0,P83/P$12)</f>
        <v>4.7204307968945515E-2</v>
      </c>
      <c r="S83" s="1"/>
      <c r="T83" s="1">
        <f>SUM(OSRRefT22_16x_0)</f>
        <v>63410.67</v>
      </c>
      <c r="U83" s="1"/>
      <c r="V83" s="5">
        <f t="shared" ref="V83:V88" si="65">IF(T$12=0,0,T83/T$12)</f>
        <v>4.8361551808711691E-2</v>
      </c>
      <c r="W83" s="1"/>
      <c r="X83" s="1">
        <f t="shared" ref="X83:X88" si="66">+P83-T83</f>
        <v>-4883.1300000000047</v>
      </c>
      <c r="Y83" s="1"/>
      <c r="Z83" s="5">
        <f t="shared" ref="Z83:Z88" si="67">IF(T83=0,0,X83/T83)</f>
        <v>-7.7008017735816461E-2</v>
      </c>
    </row>
    <row r="84" spans="1:26" s="24" customFormat="1" hidden="1" outlineLevel="2" x14ac:dyDescent="0.25">
      <c r="A84" s="28"/>
      <c r="B84" s="11" t="str">
        <f>CONCATENATE("          ", "6282", " - ", "JANITORIAL/EXTERMINATOR EXPENS")</f>
        <v xml:space="preserve">          6282 - JANITORIAL/EXTERMINATOR EXPENS</v>
      </c>
      <c r="C84" s="11"/>
      <c r="D84" s="6">
        <v>1277.57</v>
      </c>
      <c r="E84" s="2"/>
      <c r="F84" s="7">
        <f t="shared" si="60"/>
        <v>1.7919962987730819E-3</v>
      </c>
      <c r="G84" s="2"/>
      <c r="H84" s="6">
        <v>1277.57</v>
      </c>
      <c r="I84" s="2"/>
      <c r="J84" s="7">
        <f t="shared" si="61"/>
        <v>1.7404488921447538E-3</v>
      </c>
      <c r="K84" s="2"/>
      <c r="L84" s="6">
        <f t="shared" si="62"/>
        <v>0</v>
      </c>
      <c r="M84" s="2"/>
      <c r="N84" s="7">
        <f t="shared" si="63"/>
        <v>0</v>
      </c>
      <c r="O84" s="11"/>
      <c r="P84" s="6">
        <v>3832.71</v>
      </c>
      <c r="Q84" s="2"/>
      <c r="R84" s="7">
        <f t="shared" si="64"/>
        <v>3.0912015641808488E-3</v>
      </c>
      <c r="S84" s="2"/>
      <c r="T84" s="6">
        <v>3638.79</v>
      </c>
      <c r="U84" s="2"/>
      <c r="V84" s="7">
        <f t="shared" si="65"/>
        <v>2.7752037804682087E-3</v>
      </c>
      <c r="W84" s="2"/>
      <c r="X84" s="6">
        <f t="shared" si="66"/>
        <v>193.92000000000007</v>
      </c>
      <c r="Y84" s="2"/>
      <c r="Z84" s="7">
        <f t="shared" si="67"/>
        <v>5.3292440618996996E-2</v>
      </c>
    </row>
    <row r="85" spans="1:26" s="24" customFormat="1" hidden="1" outlineLevel="2" x14ac:dyDescent="0.25">
      <c r="A85" s="28"/>
      <c r="B85" s="11" t="str">
        <f>CONCATENATE("          ", "6283", " - ", "PLANT SERVICE")</f>
        <v xml:space="preserve">          6283 - PLANT SERVICE</v>
      </c>
      <c r="C85" s="11"/>
      <c r="D85" s="6">
        <v>199.78</v>
      </c>
      <c r="E85" s="2"/>
      <c r="F85" s="7">
        <f t="shared" si="60"/>
        <v>2.8022340894736595E-4</v>
      </c>
      <c r="G85" s="2"/>
      <c r="H85" s="6">
        <v>176</v>
      </c>
      <c r="I85" s="2"/>
      <c r="J85" s="7">
        <f t="shared" si="61"/>
        <v>2.3976690515390678E-4</v>
      </c>
      <c r="K85" s="2"/>
      <c r="L85" s="6">
        <f t="shared" si="62"/>
        <v>23.78</v>
      </c>
      <c r="M85" s="2"/>
      <c r="N85" s="7">
        <f t="shared" si="63"/>
        <v>0.13511363636363638</v>
      </c>
      <c r="O85" s="11"/>
      <c r="P85" s="6">
        <v>599.34</v>
      </c>
      <c r="Q85" s="2"/>
      <c r="R85" s="7">
        <f t="shared" si="64"/>
        <v>4.8338662342732689E-4</v>
      </c>
      <c r="S85" s="2"/>
      <c r="T85" s="6">
        <v>528</v>
      </c>
      <c r="U85" s="2"/>
      <c r="V85" s="7">
        <f t="shared" si="65"/>
        <v>4.0269089342534584E-4</v>
      </c>
      <c r="W85" s="2"/>
      <c r="X85" s="6">
        <f t="shared" si="66"/>
        <v>71.340000000000032</v>
      </c>
      <c r="Y85" s="2"/>
      <c r="Z85" s="7">
        <f t="shared" si="67"/>
        <v>0.13511363636363644</v>
      </c>
    </row>
    <row r="86" spans="1:26" s="24" customFormat="1" hidden="1" outlineLevel="2" x14ac:dyDescent="0.25">
      <c r="A86" s="28"/>
      <c r="B86" s="11" t="str">
        <f>CONCATENATE("          ", "6284", " - ", "TRASH REMOVAL EXPENSE")</f>
        <v xml:space="preserve">          6284 - TRASH REMOVAL EXPENSE</v>
      </c>
      <c r="C86" s="11"/>
      <c r="D86" s="6">
        <v>623</v>
      </c>
      <c r="E86" s="2"/>
      <c r="F86" s="7">
        <f t="shared" si="60"/>
        <v>8.7385716174896884E-4</v>
      </c>
      <c r="G86" s="2"/>
      <c r="H86" s="6">
        <v>5588</v>
      </c>
      <c r="I86" s="2"/>
      <c r="J86" s="7">
        <f t="shared" si="61"/>
        <v>7.6125992386365405E-3</v>
      </c>
      <c r="K86" s="2"/>
      <c r="L86" s="6">
        <f t="shared" si="62"/>
        <v>-4965</v>
      </c>
      <c r="M86" s="2"/>
      <c r="N86" s="7">
        <f t="shared" si="63"/>
        <v>-0.88851109520400862</v>
      </c>
      <c r="O86" s="11"/>
      <c r="P86" s="6">
        <v>4822</v>
      </c>
      <c r="Q86" s="2"/>
      <c r="R86" s="7">
        <f t="shared" si="64"/>
        <v>3.8890951682960758E-3</v>
      </c>
      <c r="S86" s="2"/>
      <c r="T86" s="6">
        <v>11974</v>
      </c>
      <c r="U86" s="2"/>
      <c r="V86" s="7">
        <f t="shared" si="65"/>
        <v>9.1322362838543395E-3</v>
      </c>
      <c r="W86" s="2"/>
      <c r="X86" s="6">
        <f t="shared" si="66"/>
        <v>-7152</v>
      </c>
      <c r="Y86" s="2"/>
      <c r="Z86" s="7">
        <f t="shared" si="67"/>
        <v>-0.59729413729747782</v>
      </c>
    </row>
    <row r="87" spans="1:26" s="24" customFormat="1" hidden="1" outlineLevel="2" x14ac:dyDescent="0.25">
      <c r="A87" s="28"/>
      <c r="B87" s="11" t="str">
        <f>CONCATENATE("          ", "6285", " - ", "JANITORIAL SERVICES")</f>
        <v xml:space="preserve">          6285 - JANITORIAL SERVICES</v>
      </c>
      <c r="C87" s="11"/>
      <c r="D87" s="6">
        <v>13674.46</v>
      </c>
      <c r="E87" s="2"/>
      <c r="F87" s="7">
        <f t="shared" si="60"/>
        <v>1.918061766300129E-2</v>
      </c>
      <c r="G87" s="2"/>
      <c r="H87" s="6">
        <v>12985.66</v>
      </c>
      <c r="I87" s="2"/>
      <c r="J87" s="7">
        <f t="shared" si="61"/>
        <v>1.769051994080046E-2</v>
      </c>
      <c r="K87" s="2"/>
      <c r="L87" s="6">
        <f t="shared" si="62"/>
        <v>688.79999999999927</v>
      </c>
      <c r="M87" s="2"/>
      <c r="N87" s="7">
        <f t="shared" si="63"/>
        <v>5.304312603287005E-2</v>
      </c>
      <c r="O87" s="11"/>
      <c r="P87" s="6">
        <v>39813.379999999997</v>
      </c>
      <c r="Q87" s="2"/>
      <c r="R87" s="7">
        <f t="shared" si="64"/>
        <v>3.2110747364482703E-2</v>
      </c>
      <c r="S87" s="2"/>
      <c r="T87" s="6">
        <v>37361.96</v>
      </c>
      <c r="U87" s="2"/>
      <c r="V87" s="7">
        <f t="shared" si="65"/>
        <v>2.8494926235837183E-2</v>
      </c>
      <c r="W87" s="2"/>
      <c r="X87" s="6">
        <f t="shared" si="66"/>
        <v>2451.4199999999983</v>
      </c>
      <c r="Y87" s="2"/>
      <c r="Z87" s="7">
        <f t="shared" si="67"/>
        <v>6.561272481422277E-2</v>
      </c>
    </row>
    <row r="88" spans="1:26" s="24" customFormat="1" hidden="1" outlineLevel="2" x14ac:dyDescent="0.25">
      <c r="A88" s="28"/>
      <c r="B88" s="11" t="str">
        <f>CONCATENATE("          ", "6286", " - ", "LAUNDRY EXPENSE")</f>
        <v xml:space="preserve">          6286 - LAUNDRY EXPENSE</v>
      </c>
      <c r="C88" s="11"/>
      <c r="D88" s="6">
        <v>3680.95</v>
      </c>
      <c r="E88" s="2"/>
      <c r="F88" s="7">
        <f t="shared" si="60"/>
        <v>5.1631212191651146E-3</v>
      </c>
      <c r="G88" s="2"/>
      <c r="H88" s="6">
        <v>3722.03</v>
      </c>
      <c r="I88" s="2"/>
      <c r="J88" s="7">
        <f t="shared" si="61"/>
        <v>5.0705659885795212E-3</v>
      </c>
      <c r="K88" s="2"/>
      <c r="L88" s="6">
        <f t="shared" si="62"/>
        <v>-41.080000000000382</v>
      </c>
      <c r="M88" s="2"/>
      <c r="N88" s="7">
        <f t="shared" si="63"/>
        <v>-1.1036987880269741E-2</v>
      </c>
      <c r="O88" s="11"/>
      <c r="P88" s="6">
        <v>9460.11</v>
      </c>
      <c r="Q88" s="2"/>
      <c r="R88" s="7">
        <f t="shared" si="64"/>
        <v>7.6298772485585637E-3</v>
      </c>
      <c r="S88" s="2"/>
      <c r="T88" s="6">
        <v>9907.92</v>
      </c>
      <c r="U88" s="2"/>
      <c r="V88" s="7">
        <f t="shared" si="65"/>
        <v>7.5564946151266141E-3</v>
      </c>
      <c r="W88" s="2"/>
      <c r="X88" s="6">
        <f t="shared" si="66"/>
        <v>-447.80999999999949</v>
      </c>
      <c r="Y88" s="2"/>
      <c r="Z88" s="7">
        <f t="shared" si="67"/>
        <v>-4.5197175592858997E-2</v>
      </c>
    </row>
    <row r="89" spans="1:26" s="29" customFormat="1" outlineLevel="1" collapsed="1" x14ac:dyDescent="0.25">
      <c r="A89" s="27"/>
      <c r="B89" s="14" t="str">
        <f>CONCATENATE("     ","Subscriptions &amp; Dues                              ")</f>
        <v xml:space="preserve">     Subscriptions &amp; Dues                              </v>
      </c>
      <c r="C89" s="14"/>
      <c r="D89" s="1">
        <f>SUM(OSRRefD22_17x_0)</f>
        <v>454.78</v>
      </c>
      <c r="E89" s="1"/>
      <c r="F89" s="5">
        <f t="shared" ref="F89:F99" si="68">IF(D$12=0,0,D89/D$12)</f>
        <v>6.3790170147704015E-4</v>
      </c>
      <c r="G89" s="1"/>
      <c r="H89" s="1">
        <f>SUM(OSRRefH22_17x_0)</f>
        <v>448.78</v>
      </c>
      <c r="I89" s="1"/>
      <c r="J89" s="5">
        <f t="shared" ref="J89:J99" si="69">IF(H$12=0,0,H89/H$12)</f>
        <v>6.1137836190324022E-4</v>
      </c>
      <c r="K89" s="1"/>
      <c r="L89" s="1">
        <f t="shared" ref="L89:L99" si="70">+D89-H89</f>
        <v>6</v>
      </c>
      <c r="M89" s="1"/>
      <c r="N89" s="5">
        <f t="shared" ref="N89:N99" si="71">IF(H89=0,0,L89/H89)</f>
        <v>1.3369579749543207E-2</v>
      </c>
      <c r="O89" s="14"/>
      <c r="P89" s="1">
        <f>SUM(OSRRefP22_17x_0)</f>
        <v>1302.98</v>
      </c>
      <c r="Q89" s="1"/>
      <c r="R89" s="5">
        <f t="shared" ref="R89:R99" si="72">IF(P$12=0,0,P89/P$12)</f>
        <v>1.0508944882593159E-3</v>
      </c>
      <c r="S89" s="1"/>
      <c r="T89" s="1">
        <f>SUM(OSRRefT22_17x_0)</f>
        <v>733.17</v>
      </c>
      <c r="U89" s="1"/>
      <c r="V89" s="5">
        <f t="shared" ref="V89:V99" si="73">IF(T$12=0,0,T89/T$12)</f>
        <v>5.5916833775125152E-4</v>
      </c>
      <c r="W89" s="1"/>
      <c r="X89" s="1">
        <f t="shared" ref="X89:X99" si="74">+P89-T89</f>
        <v>569.81000000000006</v>
      </c>
      <c r="Y89" s="1"/>
      <c r="Z89" s="5">
        <f t="shared" ref="Z89:Z99" si="75">IF(T89=0,0,X89/T89)</f>
        <v>0.77718673704597852</v>
      </c>
    </row>
    <row r="90" spans="1:26" s="24" customFormat="1" hidden="1" outlineLevel="2" x14ac:dyDescent="0.25">
      <c r="A90" s="28"/>
      <c r="B90" s="11" t="str">
        <f>CONCATENATE("          ", "6275", " - ", "SUBSCRIPTIONS")</f>
        <v xml:space="preserve">          6275 - SUBSCRIPTIONS</v>
      </c>
      <c r="C90" s="11"/>
      <c r="D90" s="6">
        <v>454.78</v>
      </c>
      <c r="E90" s="2"/>
      <c r="F90" s="7">
        <f t="shared" si="68"/>
        <v>6.3790170147704015E-4</v>
      </c>
      <c r="G90" s="2"/>
      <c r="H90" s="6">
        <v>448.78</v>
      </c>
      <c r="I90" s="2"/>
      <c r="J90" s="7">
        <f t="shared" si="69"/>
        <v>6.1137836190324022E-4</v>
      </c>
      <c r="K90" s="2"/>
      <c r="L90" s="6">
        <f t="shared" si="70"/>
        <v>6</v>
      </c>
      <c r="M90" s="2"/>
      <c r="N90" s="7">
        <f t="shared" si="71"/>
        <v>1.3369579749543207E-2</v>
      </c>
      <c r="O90" s="11"/>
      <c r="P90" s="6">
        <v>1302.98</v>
      </c>
      <c r="Q90" s="2"/>
      <c r="R90" s="7">
        <f t="shared" si="72"/>
        <v>1.0508944882593159E-3</v>
      </c>
      <c r="S90" s="2"/>
      <c r="T90" s="6">
        <v>733.17</v>
      </c>
      <c r="U90" s="2"/>
      <c r="V90" s="7">
        <f t="shared" si="73"/>
        <v>5.5916833775125152E-4</v>
      </c>
      <c r="W90" s="2"/>
      <c r="X90" s="6">
        <f t="shared" si="74"/>
        <v>569.81000000000006</v>
      </c>
      <c r="Y90" s="2"/>
      <c r="Z90" s="7">
        <f t="shared" si="75"/>
        <v>0.77718673704597852</v>
      </c>
    </row>
    <row r="91" spans="1:26" s="29" customFormat="1" outlineLevel="1" collapsed="1" x14ac:dyDescent="0.25">
      <c r="A91" s="27"/>
      <c r="B91" s="14" t="str">
        <f>CONCATENATE("     ","Supplies                                          ")</f>
        <v xml:space="preserve">     Supplies                                          </v>
      </c>
      <c r="C91" s="14"/>
      <c r="D91" s="1">
        <f>SUM(OSRRefD22_18x_0)</f>
        <v>26168.499999999996</v>
      </c>
      <c r="E91" s="1"/>
      <c r="F91" s="5">
        <f t="shared" si="68"/>
        <v>3.6705507443383446E-2</v>
      </c>
      <c r="G91" s="1"/>
      <c r="H91" s="1">
        <f>SUM(OSRRefH22_18x_0)</f>
        <v>12913.47</v>
      </c>
      <c r="I91" s="1"/>
      <c r="J91" s="5">
        <f t="shared" si="69"/>
        <v>1.7592174640328525E-2</v>
      </c>
      <c r="K91" s="1"/>
      <c r="L91" s="1">
        <f t="shared" si="70"/>
        <v>13255.029999999997</v>
      </c>
      <c r="M91" s="1"/>
      <c r="N91" s="5">
        <f t="shared" si="71"/>
        <v>1.0264499007625369</v>
      </c>
      <c r="O91" s="14"/>
      <c r="P91" s="1">
        <f>SUM(OSRRefP22_18x_0)</f>
        <v>61369.920000000006</v>
      </c>
      <c r="Q91" s="1"/>
      <c r="R91" s="5">
        <f t="shared" si="72"/>
        <v>4.9496777136191772E-2</v>
      </c>
      <c r="S91" s="1"/>
      <c r="T91" s="1">
        <f>SUM(OSRRefT22_18x_0)</f>
        <v>54632.979999999996</v>
      </c>
      <c r="U91" s="1"/>
      <c r="V91" s="5">
        <f t="shared" si="73"/>
        <v>4.1667052133880771E-2</v>
      </c>
      <c r="W91" s="1"/>
      <c r="X91" s="1">
        <f t="shared" si="74"/>
        <v>6736.9400000000096</v>
      </c>
      <c r="Y91" s="1"/>
      <c r="Z91" s="5">
        <f t="shared" si="75"/>
        <v>0.12331269500583732</v>
      </c>
    </row>
    <row r="92" spans="1:26" s="24" customFormat="1" hidden="1" outlineLevel="2" x14ac:dyDescent="0.25">
      <c r="A92" s="28"/>
      <c r="B92" s="11" t="str">
        <f>CONCATENATE("          ", "6234", " - ", "EXPENDABLE SUPPLIES &amp; EQUIPMEN")</f>
        <v xml:space="preserve">          6234 - EXPENDABLE SUPPLIES &amp; EQUIPMEN</v>
      </c>
      <c r="C92" s="11"/>
      <c r="D92" s="6">
        <v>7670.09</v>
      </c>
      <c r="E92" s="2"/>
      <c r="F92" s="7">
        <f t="shared" si="68"/>
        <v>1.0758528214701683E-2</v>
      </c>
      <c r="G92" s="2"/>
      <c r="H92" s="6">
        <v>1082.9100000000001</v>
      </c>
      <c r="I92" s="2"/>
      <c r="J92" s="7">
        <f t="shared" si="69"/>
        <v>1.4752612457966886E-3</v>
      </c>
      <c r="K92" s="2"/>
      <c r="L92" s="6">
        <f t="shared" si="70"/>
        <v>6587.18</v>
      </c>
      <c r="M92" s="2"/>
      <c r="N92" s="7">
        <f t="shared" si="71"/>
        <v>6.0828508370963421</v>
      </c>
      <c r="O92" s="11"/>
      <c r="P92" s="6">
        <v>7670.09</v>
      </c>
      <c r="Q92" s="2"/>
      <c r="R92" s="7">
        <f t="shared" si="72"/>
        <v>6.1861696307333154E-3</v>
      </c>
      <c r="S92" s="2"/>
      <c r="T92" s="6">
        <v>5466.37</v>
      </c>
      <c r="U92" s="2"/>
      <c r="V92" s="7">
        <f t="shared" si="73"/>
        <v>4.1690481422225522E-3</v>
      </c>
      <c r="W92" s="2"/>
      <c r="X92" s="6">
        <f t="shared" si="74"/>
        <v>2203.7200000000003</v>
      </c>
      <c r="Y92" s="2"/>
      <c r="Z92" s="7">
        <f t="shared" si="75"/>
        <v>0.4031413899900666</v>
      </c>
    </row>
    <row r="93" spans="1:26" s="24" customFormat="1" hidden="1" outlineLevel="2" x14ac:dyDescent="0.25">
      <c r="A93" s="28"/>
      <c r="B93" s="11" t="str">
        <f>CONCATENATE("          ", "6237", " - ", "JANITORIAL SUPPLIES")</f>
        <v xml:space="preserve">          6237 - JANITORIAL SUPPLIES</v>
      </c>
      <c r="C93" s="11"/>
      <c r="D93" s="6">
        <v>4022.37</v>
      </c>
      <c r="E93" s="2"/>
      <c r="F93" s="7">
        <f t="shared" si="68"/>
        <v>5.6420173863630813E-3</v>
      </c>
      <c r="G93" s="2"/>
      <c r="H93" s="6">
        <v>3749.63</v>
      </c>
      <c r="I93" s="2"/>
      <c r="J93" s="7">
        <f t="shared" si="69"/>
        <v>5.1081657987059291E-3</v>
      </c>
      <c r="K93" s="2"/>
      <c r="L93" s="6">
        <f t="shared" si="70"/>
        <v>272.73999999999978</v>
      </c>
      <c r="M93" s="2"/>
      <c r="N93" s="7">
        <f t="shared" si="71"/>
        <v>7.2737843467222035E-2</v>
      </c>
      <c r="O93" s="11"/>
      <c r="P93" s="6">
        <v>11362.87</v>
      </c>
      <c r="Q93" s="2"/>
      <c r="R93" s="7">
        <f t="shared" si="72"/>
        <v>9.1645132341303271E-3</v>
      </c>
      <c r="S93" s="2"/>
      <c r="T93" s="6">
        <v>13462.11</v>
      </c>
      <c r="U93" s="2"/>
      <c r="V93" s="7">
        <f t="shared" si="73"/>
        <v>1.0267176331989172E-2</v>
      </c>
      <c r="W93" s="2"/>
      <c r="X93" s="6">
        <f t="shared" si="74"/>
        <v>-2099.2399999999998</v>
      </c>
      <c r="Y93" s="2"/>
      <c r="Z93" s="7">
        <f t="shared" si="75"/>
        <v>-0.1559369222209594</v>
      </c>
    </row>
    <row r="94" spans="1:26" s="24" customFormat="1" hidden="1" outlineLevel="2" x14ac:dyDescent="0.25">
      <c r="A94" s="28"/>
      <c r="B94" s="11" t="str">
        <f>CONCATENATE("          ", "6239", " - ", "KITCHEN SUPPLIES")</f>
        <v xml:space="preserve">          6239 - KITCHEN SUPPLIES</v>
      </c>
      <c r="C94" s="11"/>
      <c r="D94" s="6">
        <v>7569.78</v>
      </c>
      <c r="E94" s="2"/>
      <c r="F94" s="7">
        <f t="shared" si="68"/>
        <v>1.0617827393040303E-2</v>
      </c>
      <c r="G94" s="2"/>
      <c r="H94" s="6">
        <v>3858.17</v>
      </c>
      <c r="I94" s="2"/>
      <c r="J94" s="7">
        <f t="shared" si="69"/>
        <v>5.256031138963912E-3</v>
      </c>
      <c r="K94" s="2"/>
      <c r="L94" s="6">
        <f t="shared" si="70"/>
        <v>3711.6099999999997</v>
      </c>
      <c r="M94" s="2"/>
      <c r="N94" s="7">
        <f t="shared" si="71"/>
        <v>0.96201307873940223</v>
      </c>
      <c r="O94" s="11"/>
      <c r="P94" s="6">
        <v>17994.36</v>
      </c>
      <c r="Q94" s="2"/>
      <c r="R94" s="7">
        <f t="shared" si="72"/>
        <v>1.4513019189668224E-2</v>
      </c>
      <c r="S94" s="2"/>
      <c r="T94" s="6">
        <v>7532.74</v>
      </c>
      <c r="U94" s="2"/>
      <c r="V94" s="7">
        <f t="shared" si="73"/>
        <v>5.7450109858728018E-3</v>
      </c>
      <c r="W94" s="2"/>
      <c r="X94" s="6">
        <f t="shared" si="74"/>
        <v>10461.620000000001</v>
      </c>
      <c r="Y94" s="2"/>
      <c r="Z94" s="7">
        <f t="shared" si="75"/>
        <v>1.388820004407427</v>
      </c>
    </row>
    <row r="95" spans="1:26" s="24" customFormat="1" hidden="1" outlineLevel="2" x14ac:dyDescent="0.25">
      <c r="A95" s="28"/>
      <c r="B95" s="11" t="str">
        <f>CONCATENATE("          ", "6241", " - ", "OFFICE EXPENSE")</f>
        <v xml:space="preserve">          6241 - OFFICE EXPENSE</v>
      </c>
      <c r="C95" s="11"/>
      <c r="D95" s="6">
        <v>1837.41</v>
      </c>
      <c r="E95" s="2"/>
      <c r="F95" s="7">
        <f t="shared" si="68"/>
        <v>2.5772614567723482E-3</v>
      </c>
      <c r="G95" s="2"/>
      <c r="H95" s="6">
        <v>-3070.25</v>
      </c>
      <c r="I95" s="2"/>
      <c r="J95" s="7">
        <f t="shared" si="69"/>
        <v>-4.1826382985726265E-3</v>
      </c>
      <c r="K95" s="2"/>
      <c r="L95" s="6">
        <f t="shared" si="70"/>
        <v>4907.66</v>
      </c>
      <c r="M95" s="2"/>
      <c r="N95" s="7">
        <f t="shared" si="71"/>
        <v>-1.5984561517791711</v>
      </c>
      <c r="O95" s="11"/>
      <c r="P95" s="6">
        <v>8765.69</v>
      </c>
      <c r="Q95" s="2"/>
      <c r="R95" s="7">
        <f t="shared" si="72"/>
        <v>7.0698056046829593E-3</v>
      </c>
      <c r="S95" s="2"/>
      <c r="T95" s="6">
        <v>5468.14</v>
      </c>
      <c r="U95" s="2"/>
      <c r="V95" s="7">
        <f t="shared" si="73"/>
        <v>4.1703980719221033E-3</v>
      </c>
      <c r="W95" s="2"/>
      <c r="X95" s="6">
        <f t="shared" si="74"/>
        <v>3297.55</v>
      </c>
      <c r="Y95" s="2"/>
      <c r="Z95" s="7">
        <f t="shared" si="75"/>
        <v>0.60304783710731624</v>
      </c>
    </row>
    <row r="96" spans="1:26" s="24" customFormat="1" hidden="1" outlineLevel="2" x14ac:dyDescent="0.25">
      <c r="A96" s="28"/>
      <c r="B96" s="11" t="str">
        <f>CONCATENATE("          ", "6243", " - ", "PAPER SUPPLIES")</f>
        <v xml:space="preserve">          6243 - PAPER SUPPLIES</v>
      </c>
      <c r="C96" s="11"/>
      <c r="D96" s="6">
        <v>3788.95</v>
      </c>
      <c r="E96" s="2"/>
      <c r="F96" s="7">
        <f t="shared" si="68"/>
        <v>5.3146084960012125E-3</v>
      </c>
      <c r="G96" s="2"/>
      <c r="H96" s="6">
        <v>5840.55</v>
      </c>
      <c r="I96" s="2"/>
      <c r="J96" s="7">
        <f t="shared" si="69"/>
        <v>7.956651124412786E-3</v>
      </c>
      <c r="K96" s="2"/>
      <c r="L96" s="6">
        <f t="shared" si="70"/>
        <v>-2051.6000000000004</v>
      </c>
      <c r="M96" s="2"/>
      <c r="N96" s="7">
        <f t="shared" si="71"/>
        <v>-0.35126828808930671</v>
      </c>
      <c r="O96" s="11"/>
      <c r="P96" s="6">
        <v>10340.74</v>
      </c>
      <c r="Q96" s="2"/>
      <c r="R96" s="7">
        <f t="shared" si="72"/>
        <v>8.3401331336802071E-3</v>
      </c>
      <c r="S96" s="2"/>
      <c r="T96" s="6">
        <v>11242.95</v>
      </c>
      <c r="U96" s="2"/>
      <c r="V96" s="7">
        <f t="shared" si="73"/>
        <v>8.5746848110539627E-3</v>
      </c>
      <c r="W96" s="2"/>
      <c r="X96" s="6">
        <f t="shared" si="74"/>
        <v>-902.21000000000095</v>
      </c>
      <c r="Y96" s="2"/>
      <c r="Z96" s="7">
        <f t="shared" si="75"/>
        <v>-8.0246732396746484E-2</v>
      </c>
    </row>
    <row r="97" spans="1:26" s="24" customFormat="1" hidden="1" outlineLevel="2" x14ac:dyDescent="0.25">
      <c r="A97" s="28"/>
      <c r="B97" s="11" t="str">
        <f>CONCATENATE("          ", "6245", " - ", "PRINTING")</f>
        <v xml:space="preserve">          6245 - PRINTING</v>
      </c>
      <c r="C97" s="11"/>
      <c r="D97" s="6">
        <v>28.27</v>
      </c>
      <c r="E97" s="2"/>
      <c r="F97" s="7">
        <f t="shared" si="68"/>
        <v>3.965319737181918E-5</v>
      </c>
      <c r="G97" s="2"/>
      <c r="H97" s="6"/>
      <c r="I97" s="2"/>
      <c r="J97" s="7">
        <f t="shared" si="69"/>
        <v>0</v>
      </c>
      <c r="K97" s="2"/>
      <c r="L97" s="6">
        <f t="shared" si="70"/>
        <v>28.27</v>
      </c>
      <c r="M97" s="2"/>
      <c r="N97" s="7">
        <f t="shared" si="71"/>
        <v>0</v>
      </c>
      <c r="O97" s="11"/>
      <c r="P97" s="6">
        <v>199.19</v>
      </c>
      <c r="Q97" s="2"/>
      <c r="R97" s="7">
        <f t="shared" si="72"/>
        <v>1.6065302085709152E-4</v>
      </c>
      <c r="S97" s="2"/>
      <c r="T97" s="6"/>
      <c r="U97" s="2"/>
      <c r="V97" s="7">
        <f t="shared" si="73"/>
        <v>0</v>
      </c>
      <c r="W97" s="2"/>
      <c r="X97" s="6">
        <f t="shared" si="74"/>
        <v>199.19</v>
      </c>
      <c r="Y97" s="2"/>
      <c r="Z97" s="7">
        <f t="shared" si="75"/>
        <v>0</v>
      </c>
    </row>
    <row r="98" spans="1:26" s="24" customFormat="1" hidden="1" outlineLevel="2" x14ac:dyDescent="0.25">
      <c r="A98" s="28"/>
      <c r="B98" s="11" t="str">
        <f>CONCATENATE("          ", "6247", " - ", "STORE SUPPLIES")</f>
        <v xml:space="preserve">          6247 - STORE SUPPLIES</v>
      </c>
      <c r="C98" s="11"/>
      <c r="D98" s="6">
        <v>582.28</v>
      </c>
      <c r="E98" s="2"/>
      <c r="F98" s="7">
        <f t="shared" si="68"/>
        <v>8.1674084774187728E-4</v>
      </c>
      <c r="G98" s="2"/>
      <c r="H98" s="6">
        <v>525.03</v>
      </c>
      <c r="I98" s="2"/>
      <c r="J98" s="7">
        <f t="shared" si="69"/>
        <v>7.1525464893724814E-4</v>
      </c>
      <c r="K98" s="2"/>
      <c r="L98" s="6">
        <f t="shared" si="70"/>
        <v>57.25</v>
      </c>
      <c r="M98" s="2"/>
      <c r="N98" s="7">
        <f t="shared" si="71"/>
        <v>0.10904138811115556</v>
      </c>
      <c r="O98" s="11"/>
      <c r="P98" s="6">
        <v>1693.15</v>
      </c>
      <c r="Q98" s="2"/>
      <c r="R98" s="7">
        <f t="shared" si="72"/>
        <v>1.3655789058897763E-3</v>
      </c>
      <c r="S98" s="2"/>
      <c r="T98" s="6">
        <v>4688.9799999999996</v>
      </c>
      <c r="U98" s="2"/>
      <c r="V98" s="7">
        <f t="shared" si="73"/>
        <v>3.5761544421469278E-3</v>
      </c>
      <c r="W98" s="2"/>
      <c r="X98" s="6">
        <f t="shared" si="74"/>
        <v>-2995.8299999999995</v>
      </c>
      <c r="Y98" s="2"/>
      <c r="Z98" s="7">
        <f t="shared" si="75"/>
        <v>-0.63890867523427264</v>
      </c>
    </row>
    <row r="99" spans="1:26" s="24" customFormat="1" hidden="1" outlineLevel="2" x14ac:dyDescent="0.25">
      <c r="A99" s="28"/>
      <c r="B99" s="11" t="str">
        <f>CONCATENATE("          ", "6248", " - ", "UNIFORMS")</f>
        <v xml:space="preserve">          6248 - UNIFORMS</v>
      </c>
      <c r="C99" s="11"/>
      <c r="D99" s="6">
        <v>669.35</v>
      </c>
      <c r="E99" s="2"/>
      <c r="F99" s="7">
        <f t="shared" si="68"/>
        <v>9.3887045139112724E-4</v>
      </c>
      <c r="G99" s="2"/>
      <c r="H99" s="6">
        <v>927.43</v>
      </c>
      <c r="I99" s="2"/>
      <c r="J99" s="7">
        <f t="shared" si="69"/>
        <v>1.2634489820845896E-3</v>
      </c>
      <c r="K99" s="2"/>
      <c r="L99" s="6">
        <f t="shared" si="70"/>
        <v>-258.07999999999993</v>
      </c>
      <c r="M99" s="2"/>
      <c r="N99" s="7">
        <f t="shared" si="71"/>
        <v>-0.27827437111156633</v>
      </c>
      <c r="O99" s="11"/>
      <c r="P99" s="6">
        <v>3343.83</v>
      </c>
      <c r="Q99" s="2"/>
      <c r="R99" s="7">
        <f t="shared" si="72"/>
        <v>2.6969044165498688E-3</v>
      </c>
      <c r="S99" s="2"/>
      <c r="T99" s="6">
        <v>6771.69</v>
      </c>
      <c r="U99" s="2"/>
      <c r="V99" s="7">
        <f t="shared" si="73"/>
        <v>5.1645793486732577E-3</v>
      </c>
      <c r="W99" s="2"/>
      <c r="X99" s="6">
        <f t="shared" si="74"/>
        <v>-3427.8599999999997</v>
      </c>
      <c r="Y99" s="2"/>
      <c r="Z99" s="7">
        <f t="shared" si="75"/>
        <v>-0.50620450729433863</v>
      </c>
    </row>
    <row r="100" spans="1:26" s="29" customFormat="1" outlineLevel="1" collapsed="1" x14ac:dyDescent="0.25">
      <c r="A100" s="27"/>
      <c r="B100" s="14" t="str">
        <f>CONCATENATE("     ","Telephone/Data Lines                              ")</f>
        <v xml:space="preserve">     Telephone/Data Lines                              </v>
      </c>
      <c r="C100" s="14"/>
      <c r="D100" s="1">
        <f>SUM(OSRRefD22_19x_0)</f>
        <v>2436.21</v>
      </c>
      <c r="E100" s="1"/>
      <c r="F100" s="5">
        <f t="shared" ref="F100:F107" si="76">IF(D$12=0,0,D100/D$12)</f>
        <v>3.4171742472302656E-3</v>
      </c>
      <c r="G100" s="1"/>
      <c r="H100" s="1">
        <f>SUM(OSRRefH22_19x_0)</f>
        <v>2464.6</v>
      </c>
      <c r="I100" s="1"/>
      <c r="J100" s="5">
        <f t="shared" ref="J100:J107" si="77">IF(H$12=0,0,H100/H$12)</f>
        <v>3.3575540593313558E-3</v>
      </c>
      <c r="K100" s="1"/>
      <c r="L100" s="1">
        <f t="shared" ref="L100:L107" si="78">+D100-H100</f>
        <v>-28.389999999999873</v>
      </c>
      <c r="M100" s="1"/>
      <c r="N100" s="5">
        <f t="shared" ref="N100:N107" si="79">IF(H100=0,0,L100/H100)</f>
        <v>-1.1519110606183509E-2</v>
      </c>
      <c r="O100" s="14"/>
      <c r="P100" s="1">
        <f>SUM(OSRRefP22_19x_0)</f>
        <v>4733.8900000000003</v>
      </c>
      <c r="Q100" s="1"/>
      <c r="R100" s="5">
        <f t="shared" ref="R100:R107" si="80">IF(P$12=0,0,P100/P$12)</f>
        <v>3.8180316728007283E-3</v>
      </c>
      <c r="S100" s="1"/>
      <c r="T100" s="1">
        <f>SUM(OSRRefT22_19x_0)</f>
        <v>5797.89</v>
      </c>
      <c r="U100" s="1"/>
      <c r="V100" s="5">
        <f t="shared" ref="V100:V107" si="81">IF(T$12=0,0,T100/T$12)</f>
        <v>4.4218892122762851E-3</v>
      </c>
      <c r="W100" s="1"/>
      <c r="X100" s="1">
        <f t="shared" ref="X100:X107" si="82">+P100-T100</f>
        <v>-1064</v>
      </c>
      <c r="Y100" s="1"/>
      <c r="Z100" s="5">
        <f t="shared" ref="Z100:Z107" si="83">IF(T100=0,0,X100/T100)</f>
        <v>-0.18351503736704214</v>
      </c>
    </row>
    <row r="101" spans="1:26" s="24" customFormat="1" hidden="1" outlineLevel="2" x14ac:dyDescent="0.25">
      <c r="A101" s="28"/>
      <c r="B101" s="11" t="str">
        <f>CONCATENATE("          ", "6309", " - ", "TELEPHONE")</f>
        <v xml:space="preserve">          6309 - TELEPHONE</v>
      </c>
      <c r="C101" s="11"/>
      <c r="D101" s="6">
        <v>2436.21</v>
      </c>
      <c r="E101" s="2"/>
      <c r="F101" s="7">
        <f t="shared" si="76"/>
        <v>3.4171742472302656E-3</v>
      </c>
      <c r="G101" s="2"/>
      <c r="H101" s="6">
        <v>2464.6</v>
      </c>
      <c r="I101" s="2"/>
      <c r="J101" s="7">
        <f t="shared" si="77"/>
        <v>3.3575540593313558E-3</v>
      </c>
      <c r="K101" s="2"/>
      <c r="L101" s="6">
        <f t="shared" si="78"/>
        <v>-28.389999999999873</v>
      </c>
      <c r="M101" s="2"/>
      <c r="N101" s="7">
        <f t="shared" si="79"/>
        <v>-1.1519110606183509E-2</v>
      </c>
      <c r="O101" s="11"/>
      <c r="P101" s="6">
        <v>4733.8900000000003</v>
      </c>
      <c r="Q101" s="2"/>
      <c r="R101" s="7">
        <f t="shared" si="80"/>
        <v>3.8180316728007283E-3</v>
      </c>
      <c r="S101" s="2"/>
      <c r="T101" s="6">
        <v>5797.89</v>
      </c>
      <c r="U101" s="2"/>
      <c r="V101" s="7">
        <f t="shared" si="81"/>
        <v>4.4218892122762851E-3</v>
      </c>
      <c r="W101" s="2"/>
      <c r="X101" s="6">
        <f t="shared" si="82"/>
        <v>-1064</v>
      </c>
      <c r="Y101" s="2"/>
      <c r="Z101" s="7">
        <f t="shared" si="83"/>
        <v>-0.18351503736704214</v>
      </c>
    </row>
    <row r="102" spans="1:26" s="29" customFormat="1" outlineLevel="1" collapsed="1" x14ac:dyDescent="0.25">
      <c r="A102" s="27"/>
      <c r="B102" s="14" t="str">
        <f>CONCATENATE("     ","Training                                          ")</f>
        <v xml:space="preserve">     Training                                          </v>
      </c>
      <c r="C102" s="14"/>
      <c r="D102" s="1">
        <f>SUM(OSRRefD22_20x_0)</f>
        <v>334.7</v>
      </c>
      <c r="E102" s="1"/>
      <c r="F102" s="5">
        <f t="shared" si="76"/>
        <v>4.6947029219483125E-4</v>
      </c>
      <c r="G102" s="1"/>
      <c r="H102" s="1">
        <f>SUM(OSRRefH22_20x_0)</f>
        <v>240</v>
      </c>
      <c r="I102" s="1"/>
      <c r="J102" s="5">
        <f t="shared" si="77"/>
        <v>3.2695487066441834E-4</v>
      </c>
      <c r="K102" s="1"/>
      <c r="L102" s="1">
        <f t="shared" si="78"/>
        <v>94.699999999999989</v>
      </c>
      <c r="M102" s="1"/>
      <c r="N102" s="5">
        <f t="shared" si="79"/>
        <v>0.39458333333333329</v>
      </c>
      <c r="O102" s="14"/>
      <c r="P102" s="1">
        <f>SUM(OSRRefP22_20x_0)</f>
        <v>1378.55</v>
      </c>
      <c r="Q102" s="1"/>
      <c r="R102" s="5">
        <f t="shared" si="80"/>
        <v>1.1118440780287339E-3</v>
      </c>
      <c r="S102" s="1"/>
      <c r="T102" s="1">
        <f>SUM(OSRRefT22_20x_0)</f>
        <v>627.98</v>
      </c>
      <c r="U102" s="1"/>
      <c r="V102" s="5">
        <f t="shared" si="81"/>
        <v>4.789428546463043E-4</v>
      </c>
      <c r="W102" s="1"/>
      <c r="X102" s="1">
        <f t="shared" si="82"/>
        <v>750.56999999999994</v>
      </c>
      <c r="Y102" s="1"/>
      <c r="Z102" s="5">
        <f t="shared" si="83"/>
        <v>1.1952132233510619</v>
      </c>
    </row>
    <row r="103" spans="1:26" s="24" customFormat="1" hidden="1" outlineLevel="2" x14ac:dyDescent="0.25">
      <c r="A103" s="28"/>
      <c r="B103" s="11" t="str">
        <f>CONCATENATE("          ", "6376", " - ", "TRAINING")</f>
        <v xml:space="preserve">          6376 - TRAINING</v>
      </c>
      <c r="C103" s="11"/>
      <c r="D103" s="6">
        <v>334.7</v>
      </c>
      <c r="E103" s="2"/>
      <c r="F103" s="7">
        <f t="shared" si="76"/>
        <v>4.6947029219483125E-4</v>
      </c>
      <c r="G103" s="2"/>
      <c r="H103" s="6">
        <v>240</v>
      </c>
      <c r="I103" s="2"/>
      <c r="J103" s="7">
        <f t="shared" si="77"/>
        <v>3.2695487066441834E-4</v>
      </c>
      <c r="K103" s="2"/>
      <c r="L103" s="6">
        <f t="shared" si="78"/>
        <v>94.699999999999989</v>
      </c>
      <c r="M103" s="2"/>
      <c r="N103" s="7">
        <f t="shared" si="79"/>
        <v>0.39458333333333329</v>
      </c>
      <c r="O103" s="11"/>
      <c r="P103" s="6">
        <v>1378.55</v>
      </c>
      <c r="Q103" s="2"/>
      <c r="R103" s="7">
        <f t="shared" si="80"/>
        <v>1.1118440780287339E-3</v>
      </c>
      <c r="S103" s="2"/>
      <c r="T103" s="6">
        <v>627.98</v>
      </c>
      <c r="U103" s="2"/>
      <c r="V103" s="7">
        <f t="shared" si="81"/>
        <v>4.789428546463043E-4</v>
      </c>
      <c r="W103" s="2"/>
      <c r="X103" s="6">
        <f t="shared" si="82"/>
        <v>750.56999999999994</v>
      </c>
      <c r="Y103" s="2"/>
      <c r="Z103" s="7">
        <f t="shared" si="83"/>
        <v>1.1952132233510619</v>
      </c>
    </row>
    <row r="104" spans="1:26" s="29" customFormat="1" outlineLevel="1" collapsed="1" x14ac:dyDescent="0.25">
      <c r="A104" s="27"/>
      <c r="B104" s="14" t="str">
        <f>CONCATENATE("     ","Travel                                            ")</f>
        <v xml:space="preserve">     Travel                                            </v>
      </c>
      <c r="C104" s="14"/>
      <c r="D104" s="1">
        <f>SUM(OSRRefD22_21x_0)</f>
        <v>249.82</v>
      </c>
      <c r="E104" s="1"/>
      <c r="F104" s="5">
        <f t="shared" si="76"/>
        <v>3.5041251388142437E-4</v>
      </c>
      <c r="G104" s="1"/>
      <c r="H104" s="1">
        <f>SUM(OSRRefH22_21x_0)</f>
        <v>78.72</v>
      </c>
      <c r="I104" s="1"/>
      <c r="J104" s="5">
        <f t="shared" si="77"/>
        <v>1.0724119757792921E-4</v>
      </c>
      <c r="K104" s="1"/>
      <c r="L104" s="1">
        <f t="shared" si="78"/>
        <v>171.1</v>
      </c>
      <c r="M104" s="1"/>
      <c r="N104" s="5">
        <f t="shared" si="79"/>
        <v>2.1735264227642275</v>
      </c>
      <c r="O104" s="14"/>
      <c r="P104" s="1">
        <f>SUM(OSRRefP22_21x_0)</f>
        <v>1101.18</v>
      </c>
      <c r="Q104" s="1"/>
      <c r="R104" s="5">
        <f t="shared" si="80"/>
        <v>8.8813642003821502E-4</v>
      </c>
      <c r="S104" s="1"/>
      <c r="T104" s="1">
        <f>SUM(OSRRefT22_21x_0)</f>
        <v>1668.02</v>
      </c>
      <c r="U104" s="1"/>
      <c r="V104" s="5">
        <f t="shared" si="81"/>
        <v>1.272152394036639E-3</v>
      </c>
      <c r="W104" s="1"/>
      <c r="X104" s="1">
        <f t="shared" si="82"/>
        <v>-566.83999999999992</v>
      </c>
      <c r="Y104" s="1"/>
      <c r="Z104" s="5">
        <f t="shared" si="83"/>
        <v>-0.33982805961559209</v>
      </c>
    </row>
    <row r="105" spans="1:26" s="24" customFormat="1" hidden="1" outlineLevel="2" x14ac:dyDescent="0.25">
      <c r="A105" s="28"/>
      <c r="B105" s="11" t="str">
        <f>CONCATENATE("          ", "6292", " - ", "TRAVEL/CONFERENCE")</f>
        <v xml:space="preserve">          6292 - TRAVEL/CONFERENCE</v>
      </c>
      <c r="C105" s="11"/>
      <c r="D105" s="6"/>
      <c r="E105" s="2"/>
      <c r="F105" s="7">
        <f t="shared" si="76"/>
        <v>0</v>
      </c>
      <c r="G105" s="2"/>
      <c r="H105" s="6">
        <v>12.05</v>
      </c>
      <c r="I105" s="2"/>
      <c r="J105" s="7">
        <f t="shared" si="77"/>
        <v>1.6415859131276006E-5</v>
      </c>
      <c r="K105" s="2"/>
      <c r="L105" s="6">
        <f t="shared" si="78"/>
        <v>-12.05</v>
      </c>
      <c r="M105" s="2"/>
      <c r="N105" s="7">
        <f t="shared" si="79"/>
        <v>-1</v>
      </c>
      <c r="O105" s="11"/>
      <c r="P105" s="6">
        <v>545.69000000000005</v>
      </c>
      <c r="Q105" s="2"/>
      <c r="R105" s="7">
        <f t="shared" si="80"/>
        <v>4.401162053893583E-4</v>
      </c>
      <c r="S105" s="2"/>
      <c r="T105" s="6">
        <v>190.08</v>
      </c>
      <c r="U105" s="2"/>
      <c r="V105" s="7">
        <f t="shared" si="81"/>
        <v>1.449687216331245E-4</v>
      </c>
      <c r="W105" s="2"/>
      <c r="X105" s="6">
        <f t="shared" si="82"/>
        <v>355.61</v>
      </c>
      <c r="Y105" s="2"/>
      <c r="Z105" s="7">
        <f t="shared" si="83"/>
        <v>1.8708438552188551</v>
      </c>
    </row>
    <row r="106" spans="1:26" s="24" customFormat="1" hidden="1" outlineLevel="2" x14ac:dyDescent="0.25">
      <c r="A106" s="28"/>
      <c r="B106" s="11" t="str">
        <f>CONCATENATE("          ", "6294", " - ", "TRAVEL OPERATIONAL")</f>
        <v xml:space="preserve">          6294 - TRAVEL OPERATIONAL</v>
      </c>
      <c r="C106" s="11"/>
      <c r="D106" s="6"/>
      <c r="E106" s="2"/>
      <c r="F106" s="7">
        <f t="shared" si="76"/>
        <v>0</v>
      </c>
      <c r="G106" s="2"/>
      <c r="H106" s="6"/>
      <c r="I106" s="2"/>
      <c r="J106" s="7">
        <f t="shared" si="77"/>
        <v>0</v>
      </c>
      <c r="K106" s="2"/>
      <c r="L106" s="6">
        <f t="shared" si="78"/>
        <v>0</v>
      </c>
      <c r="M106" s="2"/>
      <c r="N106" s="7">
        <f t="shared" si="79"/>
        <v>0</v>
      </c>
      <c r="O106" s="11"/>
      <c r="P106" s="6">
        <v>45.49</v>
      </c>
      <c r="Q106" s="2"/>
      <c r="R106" s="7">
        <f t="shared" si="80"/>
        <v>3.6689120532100475E-5</v>
      </c>
      <c r="S106" s="2"/>
      <c r="T106" s="6">
        <v>1258.9000000000001</v>
      </c>
      <c r="U106" s="2"/>
      <c r="V106" s="7">
        <f t="shared" si="81"/>
        <v>9.6012796540372708E-4</v>
      </c>
      <c r="W106" s="2"/>
      <c r="X106" s="6">
        <f t="shared" si="82"/>
        <v>-1213.4100000000001</v>
      </c>
      <c r="Y106" s="2"/>
      <c r="Z106" s="7">
        <f t="shared" si="83"/>
        <v>-0.96386527921201048</v>
      </c>
    </row>
    <row r="107" spans="1:26" s="24" customFormat="1" hidden="1" outlineLevel="2" x14ac:dyDescent="0.25">
      <c r="A107" s="28"/>
      <c r="B107" s="11" t="str">
        <f>CONCATENATE("          ", "6298", " - ", "VEHICLE MILEAGE")</f>
        <v xml:space="preserve">          6298 - VEHICLE MILEAGE</v>
      </c>
      <c r="C107" s="11"/>
      <c r="D107" s="6">
        <v>249.82</v>
      </c>
      <c r="E107" s="2"/>
      <c r="F107" s="7">
        <f t="shared" si="76"/>
        <v>3.5041251388142437E-4</v>
      </c>
      <c r="G107" s="2"/>
      <c r="H107" s="6">
        <v>66.67</v>
      </c>
      <c r="I107" s="2"/>
      <c r="J107" s="7">
        <f t="shared" si="77"/>
        <v>9.0825338446653216E-5</v>
      </c>
      <c r="K107" s="2"/>
      <c r="L107" s="6">
        <f t="shared" si="78"/>
        <v>183.14999999999998</v>
      </c>
      <c r="M107" s="2"/>
      <c r="N107" s="7">
        <f t="shared" si="79"/>
        <v>2.7471126443677814</v>
      </c>
      <c r="O107" s="11"/>
      <c r="P107" s="6">
        <v>510</v>
      </c>
      <c r="Q107" s="2"/>
      <c r="R107" s="7">
        <f t="shared" si="80"/>
        <v>4.1133109411675624E-4</v>
      </c>
      <c r="S107" s="2"/>
      <c r="T107" s="6">
        <v>219.04</v>
      </c>
      <c r="U107" s="2"/>
      <c r="V107" s="7">
        <f t="shared" si="81"/>
        <v>1.670557069997874E-4</v>
      </c>
      <c r="W107" s="2"/>
      <c r="X107" s="6">
        <f t="shared" si="82"/>
        <v>290.96000000000004</v>
      </c>
      <c r="Y107" s="2"/>
      <c r="Z107" s="7">
        <f t="shared" si="83"/>
        <v>1.3283418553688826</v>
      </c>
    </row>
    <row r="108" spans="1:26" s="29" customFormat="1" outlineLevel="1" collapsed="1" x14ac:dyDescent="0.25">
      <c r="A108" s="27"/>
      <c r="B108" s="14" t="str">
        <f>CONCATENATE("     ","Utilities                                         ")</f>
        <v xml:space="preserve">     Utilities                                         </v>
      </c>
      <c r="C108" s="14"/>
      <c r="D108" s="1">
        <f>SUM(OSRRefD22_22x_0)</f>
        <v>17267</v>
      </c>
      <c r="E108" s="1"/>
      <c r="F108" s="5">
        <f t="shared" ref="F108:F109" si="84">IF(D$12=0,0,D108/D$12)</f>
        <v>2.4219729714156413E-2</v>
      </c>
      <c r="G108" s="1"/>
      <c r="H108" s="1">
        <f>SUM(OSRRefH22_22x_0)</f>
        <v>10864</v>
      </c>
      <c r="I108" s="1"/>
      <c r="J108" s="5">
        <f t="shared" ref="J108:J109" si="85">IF(H$12=0,0,H108/H$12)</f>
        <v>1.4800157145409337E-2</v>
      </c>
      <c r="K108" s="1"/>
      <c r="L108" s="1">
        <f t="shared" ref="L108:L109" si="86">+D108-H108</f>
        <v>6403</v>
      </c>
      <c r="M108" s="1"/>
      <c r="N108" s="5">
        <f t="shared" ref="N108:N109" si="87">IF(H108=0,0,L108/H108)</f>
        <v>0.5893777614138439</v>
      </c>
      <c r="O108" s="14"/>
      <c r="P108" s="1">
        <f>SUM(OSRRefP22_22x_0)</f>
        <v>30958</v>
      </c>
      <c r="Q108" s="1"/>
      <c r="R108" s="5">
        <f t="shared" ref="R108:R109" si="88">IF(P$12=0,0,P108/P$12)</f>
        <v>2.4968603944444195E-2</v>
      </c>
      <c r="S108" s="1"/>
      <c r="T108" s="1">
        <f>SUM(OSRRefT22_22x_0)</f>
        <v>41696</v>
      </c>
      <c r="U108" s="1"/>
      <c r="V108" s="5">
        <f t="shared" ref="V108:V109" si="89">IF(T$12=0,0,T108/T$12)</f>
        <v>3.1800377826256096E-2</v>
      </c>
      <c r="W108" s="1"/>
      <c r="X108" s="1">
        <f t="shared" ref="X108:X109" si="90">+P108-T108</f>
        <v>-10738</v>
      </c>
      <c r="Y108" s="1"/>
      <c r="Z108" s="5">
        <f t="shared" ref="Z108:Z109" si="91">IF(T108=0,0,X108/T108)</f>
        <v>-0.25753069838833459</v>
      </c>
    </row>
    <row r="109" spans="1:26" s="24" customFormat="1" hidden="1" outlineLevel="2" x14ac:dyDescent="0.25">
      <c r="A109" s="28"/>
      <c r="B109" s="11" t="str">
        <f>CONCATENATE("          ", "6274", " - ", "UTILITIES")</f>
        <v xml:space="preserve">          6274 - UTILITIES</v>
      </c>
      <c r="C109" s="11"/>
      <c r="D109" s="6">
        <v>17267</v>
      </c>
      <c r="E109" s="2"/>
      <c r="F109" s="7">
        <f t="shared" si="84"/>
        <v>2.4219729714156413E-2</v>
      </c>
      <c r="G109" s="2"/>
      <c r="H109" s="6">
        <v>10864</v>
      </c>
      <c r="I109" s="2"/>
      <c r="J109" s="7">
        <f t="shared" si="85"/>
        <v>1.4800157145409337E-2</v>
      </c>
      <c r="K109" s="2"/>
      <c r="L109" s="6">
        <f t="shared" si="86"/>
        <v>6403</v>
      </c>
      <c r="M109" s="2"/>
      <c r="N109" s="7">
        <f t="shared" si="87"/>
        <v>0.5893777614138439</v>
      </c>
      <c r="O109" s="11"/>
      <c r="P109" s="6">
        <v>30958</v>
      </c>
      <c r="Q109" s="2"/>
      <c r="R109" s="7">
        <f t="shared" si="88"/>
        <v>2.4968603944444195E-2</v>
      </c>
      <c r="S109" s="2"/>
      <c r="T109" s="6">
        <v>41696</v>
      </c>
      <c r="U109" s="2"/>
      <c r="V109" s="7">
        <f t="shared" si="89"/>
        <v>3.1800377826256096E-2</v>
      </c>
      <c r="W109" s="2"/>
      <c r="X109" s="6">
        <f t="shared" si="90"/>
        <v>-10738</v>
      </c>
      <c r="Y109" s="2"/>
      <c r="Z109" s="7">
        <f t="shared" si="91"/>
        <v>-0.25753069838833459</v>
      </c>
    </row>
    <row r="110" spans="1:26" s="53" customFormat="1" x14ac:dyDescent="0.25">
      <c r="A110" s="37"/>
      <c r="B110" s="37"/>
      <c r="C110" s="37"/>
      <c r="D110" s="1"/>
      <c r="E110" s="1"/>
      <c r="F110" s="5"/>
      <c r="G110" s="1"/>
      <c r="H110" s="1"/>
      <c r="I110" s="1"/>
      <c r="J110" s="5"/>
      <c r="K110" s="1"/>
      <c r="L110" s="1"/>
      <c r="M110" s="1"/>
      <c r="N110" s="5"/>
      <c r="O110" s="37"/>
      <c r="P110" s="1"/>
      <c r="Q110" s="1"/>
      <c r="R110" s="5"/>
      <c r="S110" s="1"/>
      <c r="T110" s="1"/>
      <c r="U110" s="1"/>
      <c r="V110" s="5"/>
      <c r="W110" s="1"/>
      <c r="X110" s="1"/>
      <c r="Y110" s="1"/>
      <c r="Z110" s="5"/>
    </row>
    <row r="111" spans="1:26" s="23" customFormat="1" collapsed="1" x14ac:dyDescent="0.25">
      <c r="A111" s="10"/>
      <c r="B111" s="25" t="s">
        <v>0</v>
      </c>
      <c r="C111" s="10"/>
      <c r="D111" s="4">
        <f>SUM(OSRRefD25x_0)</f>
        <v>237266.33000000002</v>
      </c>
      <c r="E111" s="4"/>
      <c r="F111" s="12">
        <f t="shared" ref="F111:F114" si="92">IF(D$12=0,0,D111/D$12)</f>
        <v>0.33280398348698914</v>
      </c>
      <c r="G111" s="4"/>
      <c r="H111" s="4">
        <f>SUM(OSRRefH25x_0)</f>
        <v>235134.24</v>
      </c>
      <c r="I111" s="4"/>
      <c r="J111" s="12">
        <f t="shared" ref="J111:J114" si="93">IF(H$12=0,0,H111/H$12)</f>
        <v>0.32032618761656789</v>
      </c>
      <c r="K111" s="4"/>
      <c r="L111" s="4">
        <f t="shared" ref="L111:L114" si="94">+D111-H111</f>
        <v>2132.0900000000256</v>
      </c>
      <c r="M111" s="4"/>
      <c r="N111" s="12">
        <f t="shared" ref="N111:N114" si="95">IF(H111=0,0,L111/H111)</f>
        <v>9.0675437146033079E-3</v>
      </c>
      <c r="O111" s="10"/>
      <c r="P111" s="4">
        <f>SUM(OSRRefP25x_0)</f>
        <v>302660.99</v>
      </c>
      <c r="Q111" s="4"/>
      <c r="R111" s="12">
        <f t="shared" ref="R111:R114" si="96">IF(P$12=0,0,P111/P$12)</f>
        <v>0.24410563953560907</v>
      </c>
      <c r="S111" s="4"/>
      <c r="T111" s="4">
        <f>SUM(OSRRefT25x_0)</f>
        <v>268993.36</v>
      </c>
      <c r="U111" s="4"/>
      <c r="V111" s="12">
        <f t="shared" ref="V111:V114" si="97">IF(T$12=0,0,T111/T$12)</f>
        <v>0.20515374330281377</v>
      </c>
      <c r="W111" s="4"/>
      <c r="X111" s="4">
        <f t="shared" ref="X111:X114" si="98">+P111-T111</f>
        <v>33667.630000000005</v>
      </c>
      <c r="Y111" s="4"/>
      <c r="Z111" s="12">
        <f t="shared" ref="Z111:Z114" si="99">IF(T111=0,0,X111/T111)</f>
        <v>0.1251615653263709</v>
      </c>
    </row>
    <row r="112" spans="1:26" s="24" customFormat="1" hidden="1" outlineLevel="1" x14ac:dyDescent="0.25">
      <c r="A112" s="44"/>
      <c r="B112" s="11" t="str">
        <f>CONCATENATE("          ", "9150", " - ", "MISC. INCOME")</f>
        <v xml:space="preserve">          9150 - MISC. INCOME</v>
      </c>
      <c r="C112" s="11"/>
      <c r="D112" s="2">
        <f>--18738.99</f>
        <v>18738.990000000002</v>
      </c>
      <c r="E112" s="2"/>
      <c r="F112" s="19">
        <f t="shared" si="92"/>
        <v>2.6284431164433887E-2</v>
      </c>
      <c r="G112" s="2"/>
      <c r="H112" s="2">
        <f>--15780.25</f>
        <v>15780.25</v>
      </c>
      <c r="I112" s="2"/>
      <c r="J112" s="19">
        <f t="shared" si="93"/>
        <v>2.149762332417578E-2</v>
      </c>
      <c r="K112" s="2"/>
      <c r="L112" s="2">
        <f t="shared" si="94"/>
        <v>2958.7400000000016</v>
      </c>
      <c r="M112" s="2"/>
      <c r="N112" s="19">
        <f t="shared" si="95"/>
        <v>0.18749639581121982</v>
      </c>
      <c r="O112" s="11"/>
      <c r="P112" s="2">
        <f>--66526.94</f>
        <v>66526.94</v>
      </c>
      <c r="Q112" s="2"/>
      <c r="R112" s="19">
        <f t="shared" si="96"/>
        <v>5.3656076506744699E-2</v>
      </c>
      <c r="S112" s="2"/>
      <c r="T112" s="2">
        <f>--30296.51</f>
        <v>30296.51</v>
      </c>
      <c r="U112" s="2"/>
      <c r="V112" s="19">
        <f t="shared" si="97"/>
        <v>2.3106304317367279E-2</v>
      </c>
      <c r="W112" s="2"/>
      <c r="X112" s="2">
        <f t="shared" si="98"/>
        <v>36230.430000000008</v>
      </c>
      <c r="Y112" s="2"/>
      <c r="Z112" s="19">
        <f t="shared" si="99"/>
        <v>1.1958615035197127</v>
      </c>
    </row>
    <row r="113" spans="1:26" s="24" customFormat="1" hidden="1" outlineLevel="1" x14ac:dyDescent="0.25">
      <c r="A113" s="44"/>
      <c r="B113" s="11" t="str">
        <f>CONCATENATE("          ", "9160", " - ", "MISC. INCOME")</f>
        <v xml:space="preserve">          9160 - MISC. INCOME</v>
      </c>
      <c r="C113" s="11"/>
      <c r="D113" s="2">
        <f>--20000</f>
        <v>20000</v>
      </c>
      <c r="E113" s="2"/>
      <c r="F113" s="19">
        <f t="shared" si="92"/>
        <v>2.8053199414092098E-2</v>
      </c>
      <c r="G113" s="2"/>
      <c r="H113" s="2">
        <f>--20000</f>
        <v>20000</v>
      </c>
      <c r="I113" s="2"/>
      <c r="J113" s="19">
        <f t="shared" si="93"/>
        <v>2.7246239222034861E-2</v>
      </c>
      <c r="K113" s="2"/>
      <c r="L113" s="2">
        <f t="shared" si="94"/>
        <v>0</v>
      </c>
      <c r="M113" s="2"/>
      <c r="N113" s="19">
        <f t="shared" si="95"/>
        <v>0</v>
      </c>
      <c r="O113" s="11"/>
      <c r="P113" s="2">
        <f>--30973.27</f>
        <v>30973.27</v>
      </c>
      <c r="Q113" s="2"/>
      <c r="R113" s="19">
        <f t="shared" si="96"/>
        <v>2.4980919681320986E-2</v>
      </c>
      <c r="S113" s="2"/>
      <c r="T113" s="2">
        <f>--35442.16</f>
        <v>35442.160000000003</v>
      </c>
      <c r="U113" s="2"/>
      <c r="V113" s="19">
        <f t="shared" si="97"/>
        <v>2.7030748248719802E-2</v>
      </c>
      <c r="W113" s="2"/>
      <c r="X113" s="2">
        <f t="shared" si="98"/>
        <v>-4468.8900000000031</v>
      </c>
      <c r="Y113" s="2"/>
      <c r="Z113" s="19">
        <f t="shared" si="99"/>
        <v>-0.1260896627067877</v>
      </c>
    </row>
    <row r="114" spans="1:26" s="24" customFormat="1" hidden="1" outlineLevel="1" x14ac:dyDescent="0.25">
      <c r="A114" s="44"/>
      <c r="B114" s="11" t="str">
        <f>CONCATENATE("          ", "9165", " - ", "OTHER INCOME")</f>
        <v xml:space="preserve">          9165 - OTHER INCOME</v>
      </c>
      <c r="C114" s="11"/>
      <c r="D114" s="2">
        <f>--198527.34</f>
        <v>198527.34</v>
      </c>
      <c r="E114" s="2"/>
      <c r="F114" s="19">
        <f t="shared" si="92"/>
        <v>0.27846635290846311</v>
      </c>
      <c r="G114" s="2"/>
      <c r="H114" s="2">
        <f>--199353.99</f>
        <v>199353.99</v>
      </c>
      <c r="I114" s="2"/>
      <c r="J114" s="19">
        <f t="shared" si="93"/>
        <v>0.27158232507035729</v>
      </c>
      <c r="K114" s="2"/>
      <c r="L114" s="2">
        <f t="shared" si="94"/>
        <v>-826.64999999999418</v>
      </c>
      <c r="M114" s="2"/>
      <c r="N114" s="19">
        <f t="shared" si="95"/>
        <v>-4.1466438670226475E-3</v>
      </c>
      <c r="O114" s="11"/>
      <c r="P114" s="2">
        <f>--205160.78</f>
        <v>205160.78</v>
      </c>
      <c r="Q114" s="2"/>
      <c r="R114" s="19">
        <f t="shared" si="96"/>
        <v>0.16546864334754338</v>
      </c>
      <c r="S114" s="2"/>
      <c r="T114" s="2">
        <f>--203254.69</f>
        <v>203254.69</v>
      </c>
      <c r="U114" s="2"/>
      <c r="V114" s="19">
        <f t="shared" si="97"/>
        <v>0.15501669073672672</v>
      </c>
      <c r="W114" s="2"/>
      <c r="X114" s="2">
        <f t="shared" si="98"/>
        <v>1906.0899999999965</v>
      </c>
      <c r="Y114" s="2"/>
      <c r="Z114" s="19">
        <f t="shared" si="99"/>
        <v>9.3778401866151107E-3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10"/>
      <c r="B116" s="26" t="s">
        <v>3</v>
      </c>
      <c r="C116" s="26"/>
      <c r="D116" s="21">
        <f>+D28-D30+D111</f>
        <v>155221.4699999998</v>
      </c>
      <c r="E116" s="13"/>
      <c r="F116" s="20">
        <f>IF(D$12=0,0,D116/D$12)</f>
        <v>0.2177229425629254</v>
      </c>
      <c r="G116" s="13"/>
      <c r="H116" s="21">
        <f>+H28-H30+H111</f>
        <v>303614.84000000003</v>
      </c>
      <c r="I116" s="13"/>
      <c r="J116" s="20">
        <f>IF(H$12=0,0,H116/H$12)</f>
        <v>0.41361812809999199</v>
      </c>
      <c r="K116" s="15"/>
      <c r="L116" s="21">
        <f>+D116-H116</f>
        <v>-148393.37000000023</v>
      </c>
      <c r="M116" s="15"/>
      <c r="N116" s="20">
        <f>IF(H116=0,0,L116/H116)</f>
        <v>-0.48875532566194796</v>
      </c>
      <c r="O116" s="25"/>
      <c r="P116" s="21">
        <f>+P28-P30+P111</f>
        <v>-225565.23999999976</v>
      </c>
      <c r="Q116" s="13"/>
      <c r="R116" s="20">
        <f>IF(P$12=0,0,P116/P$12)</f>
        <v>-0.18192548424295807</v>
      </c>
      <c r="S116" s="13"/>
      <c r="T116" s="21">
        <f>+T28-T30+T111</f>
        <v>-48873.409999999334</v>
      </c>
      <c r="U116" s="13"/>
      <c r="V116" s="20">
        <f>IF(T$12=0,0,T116/T$12)</f>
        <v>-3.7274388518263188E-2</v>
      </c>
      <c r="W116" s="15"/>
      <c r="X116" s="21">
        <f>+P116-T116</f>
        <v>-176691.83000000042</v>
      </c>
      <c r="Y116" s="15"/>
      <c r="Z116" s="20">
        <f>IF(T116=0,0,X116/T116)</f>
        <v>3.6152957201063489</v>
      </c>
    </row>
    <row r="117" spans="1:26" x14ac:dyDescent="0.25">
      <c r="A117" s="9"/>
      <c r="B117" s="10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51"/>
      <c r="B118" s="10" t="s">
        <v>13</v>
      </c>
      <c r="C118" s="10"/>
      <c r="D118" s="4">
        <v>67478.680000000008</v>
      </c>
      <c r="E118" s="4"/>
      <c r="F118" s="12">
        <f>IF(D$12=0,0,D118/D$12)</f>
        <v>9.4649643311985415E-2</v>
      </c>
      <c r="G118" s="4"/>
      <c r="H118" s="4">
        <v>57571.92</v>
      </c>
      <c r="I118" s="4"/>
      <c r="J118" s="12">
        <f>IF(H$12=0,0,H118/H$12)</f>
        <v>7.8430915239592669E-2</v>
      </c>
      <c r="K118" s="4"/>
      <c r="L118" s="4">
        <f>+D118-H118</f>
        <v>9906.7600000000093</v>
      </c>
      <c r="M118" s="4"/>
      <c r="N118" s="12">
        <f>IF(H118=0,0,L118/H118)</f>
        <v>0.17207624828214882</v>
      </c>
      <c r="O118" s="10"/>
      <c r="P118" s="4">
        <v>133179.23000000001</v>
      </c>
      <c r="Q118" s="4"/>
      <c r="R118" s="12">
        <f>IF(P$12=0,0,P118/P$12)</f>
        <v>0.10741325174417085</v>
      </c>
      <c r="S118" s="4"/>
      <c r="T118" s="4">
        <v>116494.5</v>
      </c>
      <c r="U118" s="4"/>
      <c r="V118" s="12">
        <f>IF(T$12=0,0,T118/T$12)</f>
        <v>8.8847110386626793E-2</v>
      </c>
      <c r="W118" s="4"/>
      <c r="X118" s="4">
        <f>+P118-T118</f>
        <v>16684.73000000001</v>
      </c>
      <c r="Y118" s="4"/>
      <c r="Z118" s="12">
        <f>IF(T118=0,0,X118/T118)</f>
        <v>0.1432233281399552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ht="15.75" thickBot="1" x14ac:dyDescent="0.3">
      <c r="A120" s="10"/>
      <c r="B120" s="26" t="s">
        <v>4</v>
      </c>
      <c r="C120" s="26"/>
      <c r="D120" s="35">
        <f>+D116-D118</f>
        <v>87742.78999999979</v>
      </c>
      <c r="E120" s="13"/>
      <c r="F120" s="30">
        <f>IF(D$12=0,0,D120/D$12)</f>
        <v>0.12307329925094</v>
      </c>
      <c r="G120" s="13"/>
      <c r="H120" s="35">
        <f>+H116-H118</f>
        <v>246042.92000000004</v>
      </c>
      <c r="I120" s="13"/>
      <c r="J120" s="30">
        <f>IF(H$12=0,0,H120/H$12)</f>
        <v>0.33518721286039932</v>
      </c>
      <c r="K120" s="15"/>
      <c r="L120" s="35">
        <f>D120-H120</f>
        <v>-158300.13000000024</v>
      </c>
      <c r="M120" s="15"/>
      <c r="N120" s="30">
        <f>IF(H120=0,0,L120/H120)</f>
        <v>-0.64338421117746536</v>
      </c>
      <c r="O120" s="25"/>
      <c r="P120" s="35">
        <f>+P116-P118</f>
        <v>-358744.46999999974</v>
      </c>
      <c r="Q120" s="13"/>
      <c r="R120" s="30">
        <f>IF(P$12=0,0,P120/P$12)</f>
        <v>-0.28933873598712889</v>
      </c>
      <c r="S120" s="13"/>
      <c r="T120" s="35">
        <f>+T116-T118</f>
        <v>-165367.90999999933</v>
      </c>
      <c r="U120" s="13"/>
      <c r="V120" s="30">
        <f>IF(T$12=0,0,T120/T$12)</f>
        <v>-0.12612149890488999</v>
      </c>
      <c r="W120" s="15"/>
      <c r="X120" s="35">
        <f>P120-T120</f>
        <v>-193376.56000000041</v>
      </c>
      <c r="Y120" s="15"/>
      <c r="Z120" s="30">
        <f>IF(T120=0,0,X120/T120)</f>
        <v>1.1693717360278737</v>
      </c>
    </row>
    <row r="121" spans="1:26" ht="15.75" thickTop="1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6" t="s">
        <v>5</v>
      </c>
      <c r="C123" s="26"/>
      <c r="D123" s="36">
        <f>SUM(D120:D122)</f>
        <v>87742.78999999979</v>
      </c>
      <c r="E123" s="13"/>
      <c r="F123" s="31">
        <f>IF(D$12=0,0,D123/D$12)</f>
        <v>0.12307329925094</v>
      </c>
      <c r="G123" s="13"/>
      <c r="H123" s="36">
        <f>SUM(H120:H122)</f>
        <v>246042.92000000004</v>
      </c>
      <c r="I123" s="13"/>
      <c r="J123" s="31">
        <f>IF(H$12=0,0,H123/H$12)</f>
        <v>0.33518721286039932</v>
      </c>
      <c r="K123" s="15"/>
      <c r="L123" s="36">
        <f>+D123-H123</f>
        <v>-158300.13000000024</v>
      </c>
      <c r="M123" s="15"/>
      <c r="N123" s="31">
        <f>IF(H123=0,0,L123/H123)</f>
        <v>-0.64338421117746536</v>
      </c>
      <c r="O123" s="25"/>
      <c r="P123" s="36">
        <f>SUM(P120:P122)</f>
        <v>-358744.46999999974</v>
      </c>
      <c r="Q123" s="13"/>
      <c r="R123" s="31">
        <f>IF(P$12=0,0,P123/P$12)</f>
        <v>-0.28933873598712889</v>
      </c>
      <c r="S123" s="13"/>
      <c r="T123" s="36">
        <f>SUM(T120:T122)</f>
        <v>-165367.90999999933</v>
      </c>
      <c r="U123" s="13"/>
      <c r="V123" s="31">
        <f>IF(T$12=0,0,T123/T$12)</f>
        <v>-0.12612149890488999</v>
      </c>
      <c r="W123" s="15"/>
      <c r="X123" s="36">
        <f>+P123-T123</f>
        <v>-193376.56000000041</v>
      </c>
      <c r="Y123" s="15"/>
      <c r="Z123" s="31">
        <f>IF(T123=0,0,X123/T123)</f>
        <v>1.1693717360278737</v>
      </c>
    </row>
    <row r="124" spans="1:26" ht="15.75" thickTop="1" x14ac:dyDescent="0.25">
      <c r="A124" s="9"/>
      <c r="C124" s="9"/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A125" s="9"/>
      <c r="B125" s="55">
        <v>43756.462647569446</v>
      </c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A126" s="9"/>
      <c r="B126" s="56" t="s">
        <v>313</v>
      </c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A127" s="9"/>
      <c r="B127" s="57"/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  <row r="128" spans="1:26" x14ac:dyDescent="0.25"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","405", " - ", "Library Starbucks")</f>
        <v>Department 405 - Library Starbucks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118599.85</v>
      </c>
      <c r="E12" s="4"/>
      <c r="F12" s="12"/>
      <c r="G12" s="4"/>
      <c r="H12" s="4">
        <f>SUM(OSRRefH13x_0)</f>
        <v>110784.59</v>
      </c>
      <c r="I12" s="4"/>
      <c r="J12" s="12"/>
      <c r="K12" s="4"/>
      <c r="L12" s="4">
        <f t="shared" ref="L12:L14" si="0">+D12-H12</f>
        <v>7815.2600000000093</v>
      </c>
      <c r="M12" s="4"/>
      <c r="N12" s="12">
        <f t="shared" ref="N12:N14" si="1">IF(H12=0,0,L12/H12)</f>
        <v>7.0544648854141259E-2</v>
      </c>
      <c r="O12" s="10"/>
      <c r="P12" s="4">
        <f>SUM(OSRRefP13x_0)</f>
        <v>171121.77</v>
      </c>
      <c r="Q12" s="4"/>
      <c r="R12" s="12"/>
      <c r="S12" s="4"/>
      <c r="T12" s="4">
        <f>SUM(OSRRefT13x_0)</f>
        <v>134063.04999999999</v>
      </c>
      <c r="U12" s="4"/>
      <c r="V12" s="12"/>
      <c r="W12" s="4"/>
      <c r="X12" s="4">
        <f t="shared" ref="X12:X14" si="2">+P12-T12</f>
        <v>37058.720000000001</v>
      </c>
      <c r="Y12" s="4"/>
      <c r="Z12" s="12">
        <f t="shared" ref="Z12:Z14" si="3">IF(T12=0,0,X12/T12)</f>
        <v>0.27642754659095109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--29470.66</f>
        <v>29470.66</v>
      </c>
      <c r="E13" s="2"/>
      <c r="F13" s="19"/>
      <c r="G13" s="2"/>
      <c r="H13" s="2">
        <f>--20793.86</f>
        <v>20793.86</v>
      </c>
      <c r="I13" s="2"/>
      <c r="J13" s="19"/>
      <c r="K13" s="2"/>
      <c r="L13" s="2">
        <f t="shared" si="0"/>
        <v>8676.7999999999993</v>
      </c>
      <c r="M13" s="2"/>
      <c r="N13" s="19">
        <f t="shared" si="1"/>
        <v>0.41727702312124826</v>
      </c>
      <c r="O13" s="11"/>
      <c r="P13" s="2">
        <f>--43328.4</f>
        <v>43328.4</v>
      </c>
      <c r="Q13" s="2"/>
      <c r="R13" s="19"/>
      <c r="S13" s="2"/>
      <c r="T13" s="2">
        <f>--25728.29</f>
        <v>25728.29</v>
      </c>
      <c r="U13" s="2"/>
      <c r="V13" s="19"/>
      <c r="W13" s="2"/>
      <c r="X13" s="2">
        <f t="shared" si="2"/>
        <v>17600.11</v>
      </c>
      <c r="Y13" s="2"/>
      <c r="Z13" s="19">
        <f t="shared" si="3"/>
        <v>0.68407616674096883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--89129.19</f>
        <v>89129.19</v>
      </c>
      <c r="E14" s="2"/>
      <c r="F14" s="19"/>
      <c r="G14" s="2"/>
      <c r="H14" s="2">
        <f>--89990.73</f>
        <v>89990.73</v>
      </c>
      <c r="I14" s="2"/>
      <c r="J14" s="19"/>
      <c r="K14" s="2"/>
      <c r="L14" s="2">
        <f t="shared" si="0"/>
        <v>-861.5399999999936</v>
      </c>
      <c r="M14" s="2"/>
      <c r="N14" s="19">
        <f t="shared" si="1"/>
        <v>-9.5736527529001452E-3</v>
      </c>
      <c r="O14" s="11"/>
      <c r="P14" s="2">
        <f>--127793.37</f>
        <v>127793.37</v>
      </c>
      <c r="Q14" s="2"/>
      <c r="R14" s="19"/>
      <c r="S14" s="2"/>
      <c r="T14" s="2">
        <f>--108334.76</f>
        <v>108334.76</v>
      </c>
      <c r="U14" s="2"/>
      <c r="V14" s="19"/>
      <c r="W14" s="2"/>
      <c r="X14" s="2">
        <f t="shared" si="2"/>
        <v>19458.61</v>
      </c>
      <c r="Y14" s="2"/>
      <c r="Z14" s="19">
        <f t="shared" si="3"/>
        <v>0.17961557306260706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59749.149999999994</v>
      </c>
      <c r="E16" s="4"/>
      <c r="F16" s="12">
        <f t="shared" ref="F16:F18" si="4">IF(D$12=0,0,D16/D$12)</f>
        <v>0.50378773666239873</v>
      </c>
      <c r="G16" s="4"/>
      <c r="H16" s="4">
        <f>SUM(OSRRefH16x_0)</f>
        <v>35451.46</v>
      </c>
      <c r="I16" s="4"/>
      <c r="J16" s="12">
        <f t="shared" ref="J16:J18" si="5">IF(H$12=0,0,H16/H$12)</f>
        <v>0.32000353117703462</v>
      </c>
      <c r="K16" s="4"/>
      <c r="L16" s="4">
        <f t="shared" ref="L16:L18" si="6">+D16-H16</f>
        <v>24297.689999999995</v>
      </c>
      <c r="M16" s="4"/>
      <c r="N16" s="12">
        <f t="shared" ref="N16:N18" si="7">IF(H16=0,0,L16/H16)</f>
        <v>0.68537910709460192</v>
      </c>
      <c r="O16" s="10"/>
      <c r="P16" s="4">
        <f>SUM(OSRRefP16x_0)</f>
        <v>80997.67</v>
      </c>
      <c r="Q16" s="4"/>
      <c r="R16" s="12">
        <f t="shared" ref="R16:R18" si="8">IF(P$12=0,0,P16/P$12)</f>
        <v>0.47333352150343</v>
      </c>
      <c r="S16" s="4"/>
      <c r="T16" s="4">
        <f>SUM(OSRRefT16x_0)</f>
        <v>41270.33</v>
      </c>
      <c r="U16" s="4"/>
      <c r="V16" s="12">
        <f t="shared" ref="V16:V18" si="9">IF(T$12=0,0,T16/T$12)</f>
        <v>0.30784269043558238</v>
      </c>
      <c r="W16" s="4"/>
      <c r="X16" s="4">
        <f t="shared" ref="X16:X18" si="10">+P16-T16</f>
        <v>39727.339999999997</v>
      </c>
      <c r="Y16" s="4"/>
      <c r="Z16" s="12">
        <f t="shared" ref="Z16:Z18" si="11">IF(T16=0,0,X16/T16)</f>
        <v>0.96261260813761351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60901.149999999994</v>
      </c>
      <c r="E17" s="2"/>
      <c r="F17" s="19">
        <f t="shared" si="4"/>
        <v>0.51350107103845399</v>
      </c>
      <c r="G17" s="2"/>
      <c r="H17" s="2">
        <v>41007.46</v>
      </c>
      <c r="I17" s="2"/>
      <c r="J17" s="19">
        <f t="shared" si="5"/>
        <v>0.37015491053403726</v>
      </c>
      <c r="K17" s="2"/>
      <c r="L17" s="2">
        <f t="shared" si="6"/>
        <v>19893.689999999995</v>
      </c>
      <c r="M17" s="2"/>
      <c r="N17" s="19">
        <f t="shared" si="7"/>
        <v>0.48512368237388992</v>
      </c>
      <c r="O17" s="11"/>
      <c r="P17" s="2">
        <v>84681.67</v>
      </c>
      <c r="Q17" s="2"/>
      <c r="R17" s="19">
        <f t="shared" si="8"/>
        <v>0.49486205057369381</v>
      </c>
      <c r="S17" s="2"/>
      <c r="T17" s="2">
        <v>66229.33</v>
      </c>
      <c r="U17" s="2"/>
      <c r="V17" s="19">
        <f t="shared" si="9"/>
        <v>0.49401628562083294</v>
      </c>
      <c r="W17" s="2"/>
      <c r="X17" s="2">
        <f t="shared" si="10"/>
        <v>18452.339999999997</v>
      </c>
      <c r="Y17" s="2"/>
      <c r="Z17" s="19">
        <f t="shared" si="11"/>
        <v>0.27861281399041776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-1152</v>
      </c>
      <c r="E18" s="2"/>
      <c r="F18" s="19">
        <f t="shared" si="4"/>
        <v>-9.7133343760552812E-3</v>
      </c>
      <c r="G18" s="2"/>
      <c r="H18" s="2">
        <v>-5556</v>
      </c>
      <c r="I18" s="2"/>
      <c r="J18" s="19">
        <f t="shared" si="5"/>
        <v>-5.0151379357002632E-2</v>
      </c>
      <c r="K18" s="2"/>
      <c r="L18" s="2">
        <f t="shared" si="6"/>
        <v>4404</v>
      </c>
      <c r="M18" s="2"/>
      <c r="N18" s="19">
        <f t="shared" si="7"/>
        <v>-0.79265658747300216</v>
      </c>
      <c r="O18" s="11"/>
      <c r="P18" s="2">
        <v>-3684</v>
      </c>
      <c r="Q18" s="2"/>
      <c r="R18" s="19">
        <f t="shared" si="8"/>
        <v>-2.1528529070263827E-2</v>
      </c>
      <c r="S18" s="2"/>
      <c r="T18" s="2">
        <v>-24959</v>
      </c>
      <c r="U18" s="2"/>
      <c r="V18" s="19">
        <f t="shared" si="9"/>
        <v>-0.18617359518525053</v>
      </c>
      <c r="W18" s="2"/>
      <c r="X18" s="2">
        <f t="shared" si="10"/>
        <v>21275</v>
      </c>
      <c r="Y18" s="2"/>
      <c r="Z18" s="19">
        <f t="shared" si="11"/>
        <v>-0.85239793260947949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1">
        <f>D12-D16</f>
        <v>58850.700000000012</v>
      </c>
      <c r="E20" s="13"/>
      <c r="F20" s="20">
        <f>IF(D$12=0,0,D20/D$12)</f>
        <v>0.49621226333760127</v>
      </c>
      <c r="G20" s="13"/>
      <c r="H20" s="21">
        <f>H12-H16</f>
        <v>75333.13</v>
      </c>
      <c r="I20" s="13"/>
      <c r="J20" s="20">
        <f>IF(H$12=0,0,H20/H$12)</f>
        <v>0.67999646882296538</v>
      </c>
      <c r="K20" s="15"/>
      <c r="L20" s="21">
        <f>+D20-H20</f>
        <v>-16482.429999999993</v>
      </c>
      <c r="M20" s="15"/>
      <c r="N20" s="20">
        <f>IF(H20=0,0,L20/H20)</f>
        <v>-0.21879390913400243</v>
      </c>
      <c r="O20" s="25"/>
      <c r="P20" s="21">
        <f>P12-P16</f>
        <v>90124.099999999991</v>
      </c>
      <c r="Q20" s="13"/>
      <c r="R20" s="20">
        <f>IF(P$12=0,0,P20/P$12)</f>
        <v>0.52666647849657</v>
      </c>
      <c r="S20" s="13"/>
      <c r="T20" s="21">
        <f>T12-T16</f>
        <v>92792.719999999987</v>
      </c>
      <c r="U20" s="13"/>
      <c r="V20" s="20">
        <f>IF(T$12=0,0,T20/T$12)</f>
        <v>0.69215730956441757</v>
      </c>
      <c r="W20" s="15"/>
      <c r="X20" s="21">
        <f>+P20-T20</f>
        <v>-2668.6199999999953</v>
      </c>
      <c r="Y20" s="15"/>
      <c r="Z20" s="20">
        <f>IF(T20=0,0,X20/T20)</f>
        <v>-2.8758937123515679E-2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63563.870000000017</v>
      </c>
      <c r="E22" s="22"/>
      <c r="F22" s="34">
        <f t="shared" ref="F22:F31" si="12">IF(D$12=0,0,D22/D$12)</f>
        <v>0.5359523641893309</v>
      </c>
      <c r="G22" s="22"/>
      <c r="H22" s="22">
        <f>SUM(OSRRefH22x_0)</f>
        <v>48591.18</v>
      </c>
      <c r="I22" s="22"/>
      <c r="J22" s="34">
        <f t="shared" ref="J22:J31" si="13">IF(H$12=0,0,H22/H$12)</f>
        <v>0.43860955752059022</v>
      </c>
      <c r="K22" s="4"/>
      <c r="L22" s="22">
        <f t="shared" ref="L22:L31" si="14">+D22-H22</f>
        <v>14972.690000000017</v>
      </c>
      <c r="M22" s="4"/>
      <c r="N22" s="34">
        <f t="shared" ref="N22:N31" si="15">IF(H22=0,0,L22/H22)</f>
        <v>0.30813596212316757</v>
      </c>
      <c r="O22" s="10"/>
      <c r="P22" s="22">
        <f>SUM(OSRRefP22x_0)</f>
        <v>149187.78000000003</v>
      </c>
      <c r="Q22" s="22"/>
      <c r="R22" s="34">
        <f t="shared" ref="R22:R31" si="16">IF(P$12=0,0,P22/P$12)</f>
        <v>0.87182232862598397</v>
      </c>
      <c r="S22" s="22"/>
      <c r="T22" s="22">
        <f>SUM(OSRRefT22x_0)</f>
        <v>104684.56000000001</v>
      </c>
      <c r="U22" s="22"/>
      <c r="V22" s="34">
        <f t="shared" ref="V22:V31" si="17">IF(T$12=0,0,T22/T$12)</f>
        <v>0.78086064728499027</v>
      </c>
      <c r="W22" s="4"/>
      <c r="X22" s="22">
        <f t="shared" ref="X22:X31" si="18">+P22-T22</f>
        <v>44503.220000000016</v>
      </c>
      <c r="Y22" s="4"/>
      <c r="Z22" s="34">
        <f t="shared" ref="Z22:Z31" si="19">IF(T22=0,0,X22/T22)</f>
        <v>0.42511732389189016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5245.57</v>
      </c>
      <c r="E23" s="1"/>
      <c r="F23" s="5">
        <f t="shared" si="12"/>
        <v>4.4229145315107896E-2</v>
      </c>
      <c r="G23" s="1"/>
      <c r="H23" s="1">
        <f>SUM(OSRRefH22_0x_0)</f>
        <v>1919.32</v>
      </c>
      <c r="I23" s="1"/>
      <c r="J23" s="5">
        <f t="shared" si="13"/>
        <v>1.7324792193571328E-2</v>
      </c>
      <c r="K23" s="1"/>
      <c r="L23" s="1">
        <f t="shared" si="14"/>
        <v>3326.25</v>
      </c>
      <c r="M23" s="1"/>
      <c r="N23" s="5">
        <f t="shared" si="15"/>
        <v>1.7330356584623721</v>
      </c>
      <c r="O23" s="14"/>
      <c r="P23" s="1">
        <f>SUM(OSRRefP22_0x_0)</f>
        <v>15272.449999999997</v>
      </c>
      <c r="Q23" s="1"/>
      <c r="R23" s="5">
        <f t="shared" si="16"/>
        <v>8.9249018403678257E-2</v>
      </c>
      <c r="S23" s="1"/>
      <c r="T23" s="1">
        <f>SUM(OSRRefT22_0x_0)</f>
        <v>10566.300000000001</v>
      </c>
      <c r="U23" s="1"/>
      <c r="V23" s="5">
        <f t="shared" si="17"/>
        <v>7.8815900428939975E-2</v>
      </c>
      <c r="W23" s="1"/>
      <c r="X23" s="1">
        <f t="shared" si="18"/>
        <v>4706.149999999996</v>
      </c>
      <c r="Y23" s="1"/>
      <c r="Z23" s="5">
        <f t="shared" si="19"/>
        <v>0.44539242686654701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>
        <v>761.34</v>
      </c>
      <c r="E24" s="2"/>
      <c r="F24" s="7">
        <f t="shared" si="12"/>
        <v>6.4194010363419511E-3</v>
      </c>
      <c r="G24" s="2"/>
      <c r="H24" s="6">
        <v>275.8</v>
      </c>
      <c r="I24" s="2"/>
      <c r="J24" s="7">
        <f t="shared" si="13"/>
        <v>2.4895159155257965E-3</v>
      </c>
      <c r="K24" s="2"/>
      <c r="L24" s="6">
        <f t="shared" si="14"/>
        <v>485.54</v>
      </c>
      <c r="M24" s="2"/>
      <c r="N24" s="7">
        <f t="shared" si="15"/>
        <v>1.7604786076867296</v>
      </c>
      <c r="O24" s="11"/>
      <c r="P24" s="6">
        <v>3138.5</v>
      </c>
      <c r="Q24" s="2"/>
      <c r="R24" s="7">
        <f t="shared" si="16"/>
        <v>1.8340740631656628E-2</v>
      </c>
      <c r="S24" s="2"/>
      <c r="T24" s="6">
        <v>2026.95</v>
      </c>
      <c r="U24" s="2"/>
      <c r="V24" s="7">
        <f t="shared" si="17"/>
        <v>1.5119378531220945E-2</v>
      </c>
      <c r="W24" s="2"/>
      <c r="X24" s="6">
        <f t="shared" si="18"/>
        <v>1111.55</v>
      </c>
      <c r="Y24" s="2"/>
      <c r="Z24" s="7">
        <f t="shared" si="19"/>
        <v>0.5483855053158686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>
        <v>1161.49</v>
      </c>
      <c r="E25" s="2"/>
      <c r="F25" s="7">
        <f t="shared" si="12"/>
        <v>9.7933513406635846E-3</v>
      </c>
      <c r="G25" s="2"/>
      <c r="H25" s="6"/>
      <c r="I25" s="2"/>
      <c r="J25" s="7">
        <f t="shared" si="13"/>
        <v>0</v>
      </c>
      <c r="K25" s="2"/>
      <c r="L25" s="6">
        <f t="shared" si="14"/>
        <v>1161.49</v>
      </c>
      <c r="M25" s="2"/>
      <c r="N25" s="7">
        <f t="shared" si="15"/>
        <v>0</v>
      </c>
      <c r="O25" s="11"/>
      <c r="P25" s="6">
        <v>2345.79</v>
      </c>
      <c r="Q25" s="2"/>
      <c r="R25" s="7">
        <f t="shared" si="16"/>
        <v>1.3708308416865956E-2</v>
      </c>
      <c r="S25" s="2"/>
      <c r="T25" s="6">
        <v>946.64</v>
      </c>
      <c r="U25" s="2"/>
      <c r="V25" s="7">
        <f t="shared" si="17"/>
        <v>7.0611551803423838E-3</v>
      </c>
      <c r="W25" s="2"/>
      <c r="X25" s="6">
        <f t="shared" si="18"/>
        <v>1399.15</v>
      </c>
      <c r="Y25" s="2"/>
      <c r="Z25" s="7">
        <f t="shared" si="19"/>
        <v>1.4780169863939832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>
        <v>1376.23</v>
      </c>
      <c r="E26" s="2"/>
      <c r="F26" s="7">
        <f t="shared" si="12"/>
        <v>1.1603977576700139E-2</v>
      </c>
      <c r="G26" s="2"/>
      <c r="H26" s="6">
        <v>726.68</v>
      </c>
      <c r="I26" s="2"/>
      <c r="J26" s="7">
        <f t="shared" si="13"/>
        <v>6.5593960315238784E-3</v>
      </c>
      <c r="K26" s="2"/>
      <c r="L26" s="6">
        <f t="shared" si="14"/>
        <v>649.55000000000007</v>
      </c>
      <c r="M26" s="2"/>
      <c r="N26" s="7">
        <f t="shared" si="15"/>
        <v>0.89385974569273974</v>
      </c>
      <c r="O26" s="11"/>
      <c r="P26" s="6">
        <v>4128.6899999999996</v>
      </c>
      <c r="Q26" s="2"/>
      <c r="R26" s="7">
        <f t="shared" si="16"/>
        <v>2.4127204855349495E-2</v>
      </c>
      <c r="S26" s="2"/>
      <c r="T26" s="6">
        <v>2652.64</v>
      </c>
      <c r="U26" s="2"/>
      <c r="V26" s="7">
        <f t="shared" si="17"/>
        <v>1.9786510899162744E-2</v>
      </c>
      <c r="W26" s="2"/>
      <c r="X26" s="6">
        <f t="shared" si="18"/>
        <v>1476.0499999999997</v>
      </c>
      <c r="Y26" s="2"/>
      <c r="Z26" s="7">
        <f t="shared" si="19"/>
        <v>0.5564456541407804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77.83</v>
      </c>
      <c r="E27" s="2"/>
      <c r="F27" s="7">
        <f t="shared" si="12"/>
        <v>6.5624029035449868E-4</v>
      </c>
      <c r="G27" s="2"/>
      <c r="H27" s="6">
        <v>72.489999999999995</v>
      </c>
      <c r="I27" s="2"/>
      <c r="J27" s="7">
        <f t="shared" si="13"/>
        <v>6.5433288149552207E-4</v>
      </c>
      <c r="K27" s="2"/>
      <c r="L27" s="6">
        <f t="shared" si="14"/>
        <v>5.3400000000000034</v>
      </c>
      <c r="M27" s="2"/>
      <c r="N27" s="7">
        <f t="shared" si="15"/>
        <v>7.3665333149399964E-2</v>
      </c>
      <c r="O27" s="11"/>
      <c r="P27" s="6">
        <v>159.13</v>
      </c>
      <c r="Q27" s="2"/>
      <c r="R27" s="7">
        <f t="shared" si="16"/>
        <v>9.2992259254915375E-4</v>
      </c>
      <c r="S27" s="2"/>
      <c r="T27" s="6">
        <v>142.81</v>
      </c>
      <c r="U27" s="2"/>
      <c r="V27" s="7">
        <f t="shared" si="17"/>
        <v>1.0652450470133271E-3</v>
      </c>
      <c r="W27" s="2"/>
      <c r="X27" s="6">
        <f t="shared" si="18"/>
        <v>16.319999999999993</v>
      </c>
      <c r="Y27" s="2"/>
      <c r="Z27" s="7">
        <f t="shared" si="19"/>
        <v>0.11427771164484275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>
        <v>696.67</v>
      </c>
      <c r="E28" s="2"/>
      <c r="F28" s="7">
        <f t="shared" si="12"/>
        <v>5.8741221004916947E-3</v>
      </c>
      <c r="G28" s="2"/>
      <c r="H28" s="6">
        <v>248.06</v>
      </c>
      <c r="I28" s="2"/>
      <c r="J28" s="7">
        <f t="shared" si="13"/>
        <v>2.2391200797872699E-3</v>
      </c>
      <c r="K28" s="2"/>
      <c r="L28" s="6">
        <f t="shared" si="14"/>
        <v>448.60999999999996</v>
      </c>
      <c r="M28" s="2"/>
      <c r="N28" s="7">
        <f t="shared" si="15"/>
        <v>1.8084737563492701</v>
      </c>
      <c r="O28" s="11"/>
      <c r="P28" s="6">
        <v>2090.0100000000002</v>
      </c>
      <c r="Q28" s="2"/>
      <c r="R28" s="7">
        <f t="shared" si="16"/>
        <v>1.2213583344772558E-2</v>
      </c>
      <c r="S28" s="2"/>
      <c r="T28" s="6">
        <v>1631.06</v>
      </c>
      <c r="U28" s="2"/>
      <c r="V28" s="7">
        <f t="shared" si="17"/>
        <v>1.216636500512259E-2</v>
      </c>
      <c r="W28" s="2"/>
      <c r="X28" s="6">
        <f t="shared" si="18"/>
        <v>458.95000000000027</v>
      </c>
      <c r="Y28" s="2"/>
      <c r="Z28" s="7">
        <f t="shared" si="19"/>
        <v>0.28138143293318474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>
        <v>384</v>
      </c>
      <c r="E29" s="2"/>
      <c r="F29" s="7">
        <f t="shared" si="12"/>
        <v>3.2377781253517604E-3</v>
      </c>
      <c r="G29" s="2"/>
      <c r="H29" s="6">
        <v>139.58000000000001</v>
      </c>
      <c r="I29" s="2"/>
      <c r="J29" s="7">
        <f t="shared" si="13"/>
        <v>1.2599225217153399E-3</v>
      </c>
      <c r="K29" s="2"/>
      <c r="L29" s="6">
        <f t="shared" si="14"/>
        <v>244.42</v>
      </c>
      <c r="M29" s="2"/>
      <c r="N29" s="7">
        <f t="shared" si="15"/>
        <v>1.7511104742799826</v>
      </c>
      <c r="O29" s="11"/>
      <c r="P29" s="6">
        <v>1152</v>
      </c>
      <c r="Q29" s="2"/>
      <c r="R29" s="7">
        <f t="shared" si="16"/>
        <v>6.7320481783235417E-3</v>
      </c>
      <c r="S29" s="2"/>
      <c r="T29" s="6">
        <v>1035.82</v>
      </c>
      <c r="U29" s="2"/>
      <c r="V29" s="7">
        <f t="shared" si="17"/>
        <v>7.7263645724903324E-3</v>
      </c>
      <c r="W29" s="2"/>
      <c r="X29" s="6">
        <f t="shared" si="18"/>
        <v>116.18000000000006</v>
      </c>
      <c r="Y29" s="2"/>
      <c r="Z29" s="7">
        <f t="shared" si="19"/>
        <v>0.1121623448089437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>
        <v>460.04</v>
      </c>
      <c r="E30" s="2"/>
      <c r="F30" s="7">
        <f t="shared" si="12"/>
        <v>3.8789256478823537E-3</v>
      </c>
      <c r="G30" s="2"/>
      <c r="H30" s="6">
        <v>167.24</v>
      </c>
      <c r="I30" s="2"/>
      <c r="J30" s="7">
        <f t="shared" si="13"/>
        <v>1.5095962353608929E-3</v>
      </c>
      <c r="K30" s="2"/>
      <c r="L30" s="6">
        <f t="shared" si="14"/>
        <v>292.8</v>
      </c>
      <c r="M30" s="2"/>
      <c r="N30" s="7">
        <f t="shared" si="15"/>
        <v>1.7507773259985648</v>
      </c>
      <c r="O30" s="11"/>
      <c r="P30" s="6">
        <v>1380.12</v>
      </c>
      <c r="Q30" s="2"/>
      <c r="R30" s="7">
        <f t="shared" si="16"/>
        <v>8.0651339686353164E-3</v>
      </c>
      <c r="S30" s="2"/>
      <c r="T30" s="6">
        <v>1246.5999999999999</v>
      </c>
      <c r="U30" s="2"/>
      <c r="V30" s="7">
        <f t="shared" si="17"/>
        <v>9.2986098705049609E-3</v>
      </c>
      <c r="W30" s="2"/>
      <c r="X30" s="6">
        <f t="shared" si="18"/>
        <v>133.51999999999998</v>
      </c>
      <c r="Y30" s="2"/>
      <c r="Z30" s="7">
        <f t="shared" si="19"/>
        <v>0.10710733194288465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>
        <v>327.97</v>
      </c>
      <c r="E31" s="2"/>
      <c r="F31" s="7">
        <f t="shared" si="12"/>
        <v>2.7653491973219191E-3</v>
      </c>
      <c r="G31" s="2"/>
      <c r="H31" s="6">
        <v>289.47000000000003</v>
      </c>
      <c r="I31" s="2"/>
      <c r="J31" s="7">
        <f t="shared" si="13"/>
        <v>2.6129085281626266E-3</v>
      </c>
      <c r="K31" s="2"/>
      <c r="L31" s="6">
        <f t="shared" si="14"/>
        <v>38.5</v>
      </c>
      <c r="M31" s="2"/>
      <c r="N31" s="7">
        <f t="shared" si="15"/>
        <v>0.13300169274881679</v>
      </c>
      <c r="O31" s="11"/>
      <c r="P31" s="6">
        <v>878.21</v>
      </c>
      <c r="Q31" s="2"/>
      <c r="R31" s="7">
        <f t="shared" si="16"/>
        <v>5.1320764155256228E-3</v>
      </c>
      <c r="S31" s="2"/>
      <c r="T31" s="6">
        <v>883.78</v>
      </c>
      <c r="U31" s="2"/>
      <c r="V31" s="7">
        <f t="shared" si="17"/>
        <v>6.5922713230826841E-3</v>
      </c>
      <c r="W31" s="2"/>
      <c r="X31" s="6">
        <f t="shared" si="18"/>
        <v>-5.5699999999999363</v>
      </c>
      <c r="Y31" s="2"/>
      <c r="Z31" s="7">
        <f t="shared" si="19"/>
        <v>-6.3024734662471844E-3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29581.030000000002</v>
      </c>
      <c r="E32" s="1"/>
      <c r="F32" s="5">
        <f t="shared" ref="F32:F36" si="20">IF(D$12=0,0,D32/D$12)</f>
        <v>0.24941878088378697</v>
      </c>
      <c r="G32" s="1"/>
      <c r="H32" s="1">
        <f>SUM(OSRRefH22_1x_0)</f>
        <v>25888.670000000002</v>
      </c>
      <c r="I32" s="1"/>
      <c r="J32" s="5">
        <f t="shared" ref="J32:J36" si="21">IF(H$12=0,0,H32/H$12)</f>
        <v>0.23368475705872091</v>
      </c>
      <c r="K32" s="1"/>
      <c r="L32" s="1">
        <f t="shared" ref="L32:L36" si="22">+D32-H32</f>
        <v>3692.3600000000006</v>
      </c>
      <c r="M32" s="1"/>
      <c r="N32" s="5">
        <f t="shared" ref="N32:N36" si="23">IF(H32=0,0,L32/H32)</f>
        <v>0.14262455352090317</v>
      </c>
      <c r="O32" s="14"/>
      <c r="P32" s="1">
        <f>SUM(OSRRefP22_1x_0)</f>
        <v>66734.650000000009</v>
      </c>
      <c r="Q32" s="1"/>
      <c r="R32" s="5">
        <f t="shared" ref="R32:R36" si="24">IF(P$12=0,0,P32/P$12)</f>
        <v>0.38998340187808955</v>
      </c>
      <c r="S32" s="1"/>
      <c r="T32" s="1">
        <f>SUM(OSRRefT22_1x_0)</f>
        <v>54013.499999999993</v>
      </c>
      <c r="U32" s="1"/>
      <c r="V32" s="5">
        <f t="shared" ref="V32:V36" si="25">IF(T$12=0,0,T32/T$12)</f>
        <v>0.40289624919021311</v>
      </c>
      <c r="W32" s="1"/>
      <c r="X32" s="1">
        <f t="shared" ref="X32:X36" si="26">+P32-T32</f>
        <v>12721.150000000016</v>
      </c>
      <c r="Y32" s="1"/>
      <c r="Z32" s="5">
        <f t="shared" ref="Z32:Z36" si="27">IF(T32=0,0,X32/T32)</f>
        <v>0.23551797235876248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>
        <v>9973.84</v>
      </c>
      <c r="E33" s="2"/>
      <c r="F33" s="7">
        <f t="shared" si="20"/>
        <v>8.4096565046245839E-2</v>
      </c>
      <c r="G33" s="2"/>
      <c r="H33" s="6">
        <v>2539.66</v>
      </c>
      <c r="I33" s="2"/>
      <c r="J33" s="7">
        <f t="shared" si="21"/>
        <v>2.2924307433010313E-2</v>
      </c>
      <c r="K33" s="2"/>
      <c r="L33" s="6">
        <f t="shared" si="22"/>
        <v>7434.18</v>
      </c>
      <c r="M33" s="2"/>
      <c r="N33" s="7">
        <f t="shared" si="23"/>
        <v>2.9272343542048938</v>
      </c>
      <c r="O33" s="11"/>
      <c r="P33" s="6">
        <v>31999.52</v>
      </c>
      <c r="Q33" s="2"/>
      <c r="R33" s="7">
        <f t="shared" si="24"/>
        <v>0.18699853326669075</v>
      </c>
      <c r="S33" s="2"/>
      <c r="T33" s="6">
        <v>18326.449999999997</v>
      </c>
      <c r="U33" s="2"/>
      <c r="V33" s="7">
        <f t="shared" si="25"/>
        <v>0.13670023171932907</v>
      </c>
      <c r="W33" s="2"/>
      <c r="X33" s="6">
        <f t="shared" si="26"/>
        <v>13673.070000000003</v>
      </c>
      <c r="Y33" s="2"/>
      <c r="Z33" s="7">
        <f t="shared" si="27"/>
        <v>0.746083938787927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0"/>
        <v>0</v>
      </c>
      <c r="G34" s="2"/>
      <c r="H34" s="6"/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>
        <v>45.5</v>
      </c>
      <c r="Q34" s="2"/>
      <c r="R34" s="7">
        <f t="shared" si="24"/>
        <v>2.6589252787649403E-4</v>
      </c>
      <c r="S34" s="2"/>
      <c r="T34" s="6"/>
      <c r="U34" s="2"/>
      <c r="V34" s="7">
        <f t="shared" si="25"/>
        <v>0</v>
      </c>
      <c r="W34" s="2"/>
      <c r="X34" s="6">
        <f t="shared" si="26"/>
        <v>45.5</v>
      </c>
      <c r="Y34" s="2"/>
      <c r="Z34" s="7">
        <f t="shared" si="27"/>
        <v>0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6">
        <v>19481.190000000002</v>
      </c>
      <c r="E35" s="2"/>
      <c r="F35" s="7">
        <f t="shared" si="20"/>
        <v>0.16425981989016009</v>
      </c>
      <c r="G35" s="2"/>
      <c r="H35" s="6">
        <v>22177.510000000002</v>
      </c>
      <c r="I35" s="2"/>
      <c r="J35" s="7">
        <f t="shared" si="21"/>
        <v>0.20018587422673137</v>
      </c>
      <c r="K35" s="2"/>
      <c r="L35" s="6">
        <f t="shared" si="22"/>
        <v>-2696.3199999999997</v>
      </c>
      <c r="M35" s="2"/>
      <c r="N35" s="7">
        <f t="shared" si="23"/>
        <v>-0.12157902307337476</v>
      </c>
      <c r="O35" s="11"/>
      <c r="P35" s="6">
        <v>34563.630000000005</v>
      </c>
      <c r="Q35" s="2"/>
      <c r="R35" s="7">
        <f t="shared" si="24"/>
        <v>0.20198265831401818</v>
      </c>
      <c r="S35" s="2"/>
      <c r="T35" s="6">
        <v>34242.239999999998</v>
      </c>
      <c r="U35" s="2"/>
      <c r="V35" s="7">
        <f t="shared" si="25"/>
        <v>0.25541892415546269</v>
      </c>
      <c r="W35" s="2"/>
      <c r="X35" s="6">
        <f t="shared" si="26"/>
        <v>321.39000000000669</v>
      </c>
      <c r="Y35" s="2"/>
      <c r="Z35" s="7">
        <f t="shared" si="27"/>
        <v>9.3857761641763706E-3</v>
      </c>
    </row>
    <row r="36" spans="1:26" s="24" customFormat="1" hidden="1" outlineLevel="2" x14ac:dyDescent="0.25">
      <c r="A36" s="28"/>
      <c r="B36" s="11" t="str">
        <f>CONCATENATE("          ", "6008", " - ", "STUDENT HOURLY-FICA EXEMPT")</f>
        <v xml:space="preserve">          6008 - STUDENT HOURLY-FICA EXEMPT</v>
      </c>
      <c r="C36" s="11"/>
      <c r="D36" s="6">
        <v>126</v>
      </c>
      <c r="E36" s="2"/>
      <c r="F36" s="7">
        <f t="shared" si="20"/>
        <v>1.0623959473810463E-3</v>
      </c>
      <c r="G36" s="2"/>
      <c r="H36" s="6">
        <v>1171.5</v>
      </c>
      <c r="I36" s="2"/>
      <c r="J36" s="7">
        <f t="shared" si="21"/>
        <v>1.0574575398979227E-2</v>
      </c>
      <c r="K36" s="2"/>
      <c r="L36" s="6">
        <f t="shared" si="22"/>
        <v>-1045.5</v>
      </c>
      <c r="M36" s="2"/>
      <c r="N36" s="7">
        <f t="shared" si="23"/>
        <v>-0.8924455825864277</v>
      </c>
      <c r="O36" s="11"/>
      <c r="P36" s="6">
        <v>126</v>
      </c>
      <c r="Q36" s="2"/>
      <c r="R36" s="7">
        <f t="shared" si="24"/>
        <v>7.3631776950413739E-4</v>
      </c>
      <c r="S36" s="2"/>
      <c r="T36" s="6">
        <v>1444.81</v>
      </c>
      <c r="U36" s="2"/>
      <c r="V36" s="7">
        <f t="shared" si="25"/>
        <v>1.0777093315421364E-2</v>
      </c>
      <c r="W36" s="2"/>
      <c r="X36" s="6">
        <f t="shared" si="26"/>
        <v>-1318.81</v>
      </c>
      <c r="Y36" s="2"/>
      <c r="Z36" s="7">
        <f t="shared" si="27"/>
        <v>-0.91279130127836883</v>
      </c>
    </row>
    <row r="37" spans="1:26" s="29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362.87</v>
      </c>
      <c r="E37" s="1"/>
      <c r="F37" s="5">
        <f t="shared" ref="F37:F45" si="28">IF(D$12=0,0,D37/D$12)</f>
        <v>3.0596160113187327E-3</v>
      </c>
      <c r="G37" s="1"/>
      <c r="H37" s="1">
        <f>SUM(OSRRefH22_2x_0)</f>
        <v>6</v>
      </c>
      <c r="I37" s="1"/>
      <c r="J37" s="5">
        <f t="shared" ref="J37:J45" si="29">IF(H$12=0,0,H37/H$12)</f>
        <v>5.4159156973005003E-5</v>
      </c>
      <c r="K37" s="1"/>
      <c r="L37" s="1">
        <f t="shared" ref="L37:L45" si="30">+D37-H37</f>
        <v>356.87</v>
      </c>
      <c r="M37" s="1"/>
      <c r="N37" s="5">
        <f t="shared" ref="N37:N45" si="31">IF(H37=0,0,L37/H37)</f>
        <v>59.478333333333332</v>
      </c>
      <c r="O37" s="14"/>
      <c r="P37" s="1">
        <f>SUM(OSRRefP22_2x_0)</f>
        <v>428.26</v>
      </c>
      <c r="Q37" s="1"/>
      <c r="R37" s="5">
        <f t="shared" ref="R37:R45" si="32">IF(P$12=0,0,P37/P$12)</f>
        <v>2.5026622854590623E-3</v>
      </c>
      <c r="S37" s="1"/>
      <c r="T37" s="1">
        <f>SUM(OSRRefT22_2x_0)</f>
        <v>252</v>
      </c>
      <c r="U37" s="1"/>
      <c r="V37" s="5">
        <f t="shared" ref="V37:V45" si="33">IF(T$12=0,0,T37/T$12)</f>
        <v>1.8797125680789749E-3</v>
      </c>
      <c r="W37" s="1"/>
      <c r="X37" s="1">
        <f t="shared" ref="X37:X45" si="34">+P37-T37</f>
        <v>176.26</v>
      </c>
      <c r="Y37" s="1"/>
      <c r="Z37" s="5">
        <f t="shared" ref="Z37:Z45" si="35">IF(T37=0,0,X37/T37)</f>
        <v>0.69944444444444442</v>
      </c>
    </row>
    <row r="38" spans="1:26" s="24" customFormat="1" hidden="1" outlineLevel="2" x14ac:dyDescent="0.25">
      <c r="A38" s="28"/>
      <c r="B38" s="11" t="str">
        <f>CONCATENATE("          ", "6362", " - ", "ADVERTISING EXPENSE")</f>
        <v xml:space="preserve">          6362 - ADVERTISING EXPENSE</v>
      </c>
      <c r="C38" s="11"/>
      <c r="D38" s="6">
        <v>362.87</v>
      </c>
      <c r="E38" s="2"/>
      <c r="F38" s="7">
        <f t="shared" si="28"/>
        <v>3.0596160113187327E-3</v>
      </c>
      <c r="G38" s="2"/>
      <c r="H38" s="6">
        <v>6</v>
      </c>
      <c r="I38" s="2"/>
      <c r="J38" s="7">
        <f t="shared" si="29"/>
        <v>5.4159156973005003E-5</v>
      </c>
      <c r="K38" s="2"/>
      <c r="L38" s="6">
        <f t="shared" si="30"/>
        <v>356.87</v>
      </c>
      <c r="M38" s="2"/>
      <c r="N38" s="7">
        <f t="shared" si="31"/>
        <v>59.478333333333332</v>
      </c>
      <c r="O38" s="11"/>
      <c r="P38" s="6">
        <v>428.26</v>
      </c>
      <c r="Q38" s="2"/>
      <c r="R38" s="7">
        <f t="shared" si="32"/>
        <v>2.5026622854590623E-3</v>
      </c>
      <c r="S38" s="2"/>
      <c r="T38" s="6">
        <v>252</v>
      </c>
      <c r="U38" s="2"/>
      <c r="V38" s="7">
        <f t="shared" si="33"/>
        <v>1.8797125680789749E-3</v>
      </c>
      <c r="W38" s="2"/>
      <c r="X38" s="6">
        <f t="shared" si="34"/>
        <v>176.26</v>
      </c>
      <c r="Y38" s="2"/>
      <c r="Z38" s="7">
        <f t="shared" si="35"/>
        <v>0.69944444444444442</v>
      </c>
    </row>
    <row r="39" spans="1:26" s="29" customFormat="1" outlineLevel="1" collapsed="1" x14ac:dyDescent="0.25">
      <c r="A39" s="27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-13.8</v>
      </c>
      <c r="E39" s="1"/>
      <c r="F39" s="5">
        <f t="shared" si="28"/>
        <v>-1.163576513798289E-4</v>
      </c>
      <c r="G39" s="1"/>
      <c r="H39" s="1">
        <f>SUM(OSRRefH22_3x_0)</f>
        <v>41.38</v>
      </c>
      <c r="I39" s="1"/>
      <c r="J39" s="5">
        <f t="shared" si="29"/>
        <v>3.7351765259049116E-4</v>
      </c>
      <c r="K39" s="1"/>
      <c r="L39" s="1">
        <f t="shared" si="30"/>
        <v>-55.180000000000007</v>
      </c>
      <c r="M39" s="1"/>
      <c r="N39" s="5">
        <f t="shared" si="31"/>
        <v>-1.333494441759304</v>
      </c>
      <c r="O39" s="14"/>
      <c r="P39" s="1">
        <f>SUM(OSRRefP22_3x_0)</f>
        <v>-7.64</v>
      </c>
      <c r="Q39" s="1"/>
      <c r="R39" s="5">
        <f t="shared" si="32"/>
        <v>-4.4646569515965155E-5</v>
      </c>
      <c r="S39" s="1"/>
      <c r="T39" s="1">
        <f>SUM(OSRRefT22_3x_0)</f>
        <v>41.63</v>
      </c>
      <c r="U39" s="1"/>
      <c r="V39" s="5">
        <f t="shared" si="33"/>
        <v>3.1052553257590371E-4</v>
      </c>
      <c r="W39" s="1"/>
      <c r="X39" s="1">
        <f t="shared" si="34"/>
        <v>-49.27</v>
      </c>
      <c r="Y39" s="1"/>
      <c r="Z39" s="5">
        <f t="shared" si="35"/>
        <v>-1.1835214989190488</v>
      </c>
    </row>
    <row r="40" spans="1:26" s="24" customFormat="1" hidden="1" outlineLevel="2" x14ac:dyDescent="0.25">
      <c r="A40" s="28"/>
      <c r="B40" s="11" t="str">
        <f>CONCATENATE("          ", "6272", " - ", "CASH (OVER/SHORT)")</f>
        <v xml:space="preserve">          6272 - CASH (OVER/SHORT)</v>
      </c>
      <c r="C40" s="11"/>
      <c r="D40" s="6">
        <v>-13.8</v>
      </c>
      <c r="E40" s="2"/>
      <c r="F40" s="7">
        <f t="shared" si="28"/>
        <v>-1.163576513798289E-4</v>
      </c>
      <c r="G40" s="2"/>
      <c r="H40" s="6">
        <v>41.38</v>
      </c>
      <c r="I40" s="2"/>
      <c r="J40" s="7">
        <f t="shared" si="29"/>
        <v>3.7351765259049116E-4</v>
      </c>
      <c r="K40" s="2"/>
      <c r="L40" s="6">
        <f t="shared" si="30"/>
        <v>-55.180000000000007</v>
      </c>
      <c r="M40" s="2"/>
      <c r="N40" s="7">
        <f t="shared" si="31"/>
        <v>-1.333494441759304</v>
      </c>
      <c r="O40" s="11"/>
      <c r="P40" s="6">
        <v>-7.64</v>
      </c>
      <c r="Q40" s="2"/>
      <c r="R40" s="7">
        <f t="shared" si="32"/>
        <v>-4.4646569515965155E-5</v>
      </c>
      <c r="S40" s="2"/>
      <c r="T40" s="6">
        <v>41.63</v>
      </c>
      <c r="U40" s="2"/>
      <c r="V40" s="7">
        <f t="shared" si="33"/>
        <v>3.1052553257590371E-4</v>
      </c>
      <c r="W40" s="2"/>
      <c r="X40" s="6">
        <f t="shared" si="34"/>
        <v>-49.27</v>
      </c>
      <c r="Y40" s="2"/>
      <c r="Z40" s="7">
        <f t="shared" si="35"/>
        <v>-1.1835214989190488</v>
      </c>
    </row>
    <row r="41" spans="1:26" s="29" customFormat="1" outlineLevel="1" collapsed="1" x14ac:dyDescent="0.25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3009.5</v>
      </c>
      <c r="E41" s="1"/>
      <c r="F41" s="5">
        <f t="shared" si="28"/>
        <v>2.5375242886057612E-2</v>
      </c>
      <c r="G41" s="1"/>
      <c r="H41" s="1">
        <f>SUM(OSRRefH22_4x_0)</f>
        <v>3064.73</v>
      </c>
      <c r="I41" s="1"/>
      <c r="J41" s="5">
        <f t="shared" si="29"/>
        <v>2.7663865524979604E-2</v>
      </c>
      <c r="K41" s="1"/>
      <c r="L41" s="1">
        <f t="shared" si="30"/>
        <v>-55.230000000000018</v>
      </c>
      <c r="M41" s="1"/>
      <c r="N41" s="5">
        <f t="shared" si="31"/>
        <v>-1.8021163365125156E-2</v>
      </c>
      <c r="O41" s="14"/>
      <c r="P41" s="1">
        <f>SUM(OSRRefP22_4x_0)</f>
        <v>4403.8599999999997</v>
      </c>
      <c r="Q41" s="1"/>
      <c r="R41" s="5">
        <f t="shared" si="32"/>
        <v>2.5735241050861033E-2</v>
      </c>
      <c r="S41" s="1"/>
      <c r="T41" s="1">
        <f>SUM(OSRRefT22_4x_0)</f>
        <v>3756.27</v>
      </c>
      <c r="U41" s="1"/>
      <c r="V41" s="5">
        <f t="shared" si="33"/>
        <v>2.8018682254357188E-2</v>
      </c>
      <c r="W41" s="1"/>
      <c r="X41" s="1">
        <f t="shared" si="34"/>
        <v>647.58999999999969</v>
      </c>
      <c r="Y41" s="1"/>
      <c r="Z41" s="5">
        <f t="shared" si="35"/>
        <v>0.17240240983741842</v>
      </c>
    </row>
    <row r="42" spans="1:26" s="24" customFormat="1" hidden="1" outlineLevel="2" x14ac:dyDescent="0.25">
      <c r="A42" s="28"/>
      <c r="B42" s="11" t="str">
        <f>CONCATENATE("          ", "6381", " - ", "BANK/CREDIT CARD FEES")</f>
        <v xml:space="preserve">          6381 - BANK/CREDIT CARD FEES</v>
      </c>
      <c r="C42" s="11"/>
      <c r="D42" s="6">
        <v>3009.5</v>
      </c>
      <c r="E42" s="2"/>
      <c r="F42" s="7">
        <f t="shared" si="28"/>
        <v>2.5375242886057612E-2</v>
      </c>
      <c r="G42" s="2"/>
      <c r="H42" s="6">
        <v>3064.73</v>
      </c>
      <c r="I42" s="2"/>
      <c r="J42" s="7">
        <f t="shared" si="29"/>
        <v>2.7663865524979604E-2</v>
      </c>
      <c r="K42" s="2"/>
      <c r="L42" s="6">
        <f t="shared" si="30"/>
        <v>-55.230000000000018</v>
      </c>
      <c r="M42" s="2"/>
      <c r="N42" s="7">
        <f t="shared" si="31"/>
        <v>-1.8021163365125156E-2</v>
      </c>
      <c r="O42" s="11"/>
      <c r="P42" s="6">
        <v>4403.8599999999997</v>
      </c>
      <c r="Q42" s="2"/>
      <c r="R42" s="7">
        <f t="shared" si="32"/>
        <v>2.5735241050861033E-2</v>
      </c>
      <c r="S42" s="2"/>
      <c r="T42" s="6">
        <v>3756.27</v>
      </c>
      <c r="U42" s="2"/>
      <c r="V42" s="7">
        <f t="shared" si="33"/>
        <v>2.8018682254357188E-2</v>
      </c>
      <c r="W42" s="2"/>
      <c r="X42" s="6">
        <f t="shared" si="34"/>
        <v>647.58999999999969</v>
      </c>
      <c r="Y42" s="2"/>
      <c r="Z42" s="7">
        <f t="shared" si="35"/>
        <v>0.17240240983741842</v>
      </c>
    </row>
    <row r="43" spans="1:26" s="29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5612.57</v>
      </c>
      <c r="E43" s="1"/>
      <c r="F43" s="5">
        <f t="shared" si="28"/>
        <v>4.7323584304701898E-2</v>
      </c>
      <c r="G43" s="1"/>
      <c r="H43" s="1">
        <f>SUM(OSRRefH22_5x_0)</f>
        <v>1313</v>
      </c>
      <c r="I43" s="1"/>
      <c r="J43" s="5">
        <f t="shared" si="29"/>
        <v>1.1851828850925929E-2</v>
      </c>
      <c r="K43" s="1"/>
      <c r="L43" s="1">
        <f t="shared" si="30"/>
        <v>4299.57</v>
      </c>
      <c r="M43" s="1"/>
      <c r="N43" s="5">
        <f t="shared" si="31"/>
        <v>3.2746153846153843</v>
      </c>
      <c r="O43" s="14"/>
      <c r="P43" s="1">
        <f>SUM(OSRRefP22_5x_0)</f>
        <v>16837.71</v>
      </c>
      <c r="Q43" s="1"/>
      <c r="R43" s="5">
        <f t="shared" si="32"/>
        <v>9.8396071990138959E-2</v>
      </c>
      <c r="S43" s="1"/>
      <c r="T43" s="1">
        <f>SUM(OSRRefT22_5x_0)</f>
        <v>3939</v>
      </c>
      <c r="U43" s="1"/>
      <c r="V43" s="5">
        <f t="shared" si="33"/>
        <v>2.9381697641520169E-2</v>
      </c>
      <c r="W43" s="1"/>
      <c r="X43" s="1">
        <f t="shared" si="34"/>
        <v>12898.71</v>
      </c>
      <c r="Y43" s="1"/>
      <c r="Z43" s="5">
        <f t="shared" si="35"/>
        <v>3.2746153846153843</v>
      </c>
    </row>
    <row r="44" spans="1:26" s="24" customFormat="1" hidden="1" outlineLevel="2" x14ac:dyDescent="0.25">
      <c r="A44" s="28"/>
      <c r="B44" s="11" t="str">
        <f>CONCATENATE("          ", "6321", " - ", "BUILDING DEPRECIATION")</f>
        <v xml:space="preserve">          6321 - BUILDING DEPRECIATION</v>
      </c>
      <c r="C44" s="11"/>
      <c r="D44" s="6">
        <v>4626.5</v>
      </c>
      <c r="E44" s="2"/>
      <c r="F44" s="7">
        <f t="shared" si="28"/>
        <v>3.9009324210781043E-2</v>
      </c>
      <c r="G44" s="2"/>
      <c r="H44" s="6">
        <v>326.93</v>
      </c>
      <c r="I44" s="2"/>
      <c r="J44" s="7">
        <f t="shared" si="29"/>
        <v>2.9510421981974208E-3</v>
      </c>
      <c r="K44" s="2"/>
      <c r="L44" s="6">
        <f t="shared" si="30"/>
        <v>4299.57</v>
      </c>
      <c r="M44" s="2"/>
      <c r="N44" s="7">
        <f t="shared" si="31"/>
        <v>13.151347383231883</v>
      </c>
      <c r="O44" s="11"/>
      <c r="P44" s="6">
        <v>13879.5</v>
      </c>
      <c r="Q44" s="2"/>
      <c r="R44" s="7">
        <f t="shared" si="32"/>
        <v>8.110890858597361E-2</v>
      </c>
      <c r="S44" s="2"/>
      <c r="T44" s="6">
        <v>980.79</v>
      </c>
      <c r="U44" s="2"/>
      <c r="V44" s="7">
        <f t="shared" si="33"/>
        <v>7.3158860700245146E-3</v>
      </c>
      <c r="W44" s="2"/>
      <c r="X44" s="6">
        <f t="shared" si="34"/>
        <v>12898.71</v>
      </c>
      <c r="Y44" s="2"/>
      <c r="Z44" s="7">
        <f t="shared" si="35"/>
        <v>13.151347383231885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986.07</v>
      </c>
      <c r="E45" s="2"/>
      <c r="F45" s="7">
        <f t="shared" si="28"/>
        <v>8.3142600939208611E-3</v>
      </c>
      <c r="G45" s="2"/>
      <c r="H45" s="6">
        <v>986.07</v>
      </c>
      <c r="I45" s="2"/>
      <c r="J45" s="7">
        <f t="shared" si="29"/>
        <v>8.9007866527285075E-3</v>
      </c>
      <c r="K45" s="2"/>
      <c r="L45" s="6">
        <f t="shared" si="30"/>
        <v>0</v>
      </c>
      <c r="M45" s="2"/>
      <c r="N45" s="7">
        <f t="shared" si="31"/>
        <v>0</v>
      </c>
      <c r="O45" s="11"/>
      <c r="P45" s="6">
        <v>2958.21</v>
      </c>
      <c r="Q45" s="2"/>
      <c r="R45" s="7">
        <f t="shared" si="32"/>
        <v>1.7287163404165352E-2</v>
      </c>
      <c r="S45" s="2"/>
      <c r="T45" s="6">
        <v>2958.21</v>
      </c>
      <c r="U45" s="2"/>
      <c r="V45" s="7">
        <f t="shared" si="33"/>
        <v>2.2065811571495654E-2</v>
      </c>
      <c r="W45" s="2"/>
      <c r="X45" s="6">
        <f t="shared" si="34"/>
        <v>0</v>
      </c>
      <c r="Y45" s="2"/>
      <c r="Z45" s="7">
        <f t="shared" si="35"/>
        <v>0</v>
      </c>
    </row>
    <row r="46" spans="1:26" s="29" customFormat="1" outlineLevel="1" collapsed="1" x14ac:dyDescent="0.25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SUM(OSRRefD22_6x_0)</f>
        <v>0</v>
      </c>
      <c r="E46" s="1"/>
      <c r="F46" s="5">
        <f t="shared" ref="F46:F56" si="36">IF(D$12=0,0,D46/D$12)</f>
        <v>0</v>
      </c>
      <c r="G46" s="1"/>
      <c r="H46" s="1">
        <f>SUM(OSRRefH22_6x_0)</f>
        <v>92.52</v>
      </c>
      <c r="I46" s="1"/>
      <c r="J46" s="5">
        <f t="shared" ref="J46:J56" si="37">IF(H$12=0,0,H46/H$12)</f>
        <v>8.3513420052373712E-4</v>
      </c>
      <c r="K46" s="1"/>
      <c r="L46" s="1">
        <f t="shared" ref="L46:L56" si="38">+D46-H46</f>
        <v>-92.52</v>
      </c>
      <c r="M46" s="1"/>
      <c r="N46" s="5">
        <f t="shared" ref="N46:N56" si="39">IF(H46=0,0,L46/H46)</f>
        <v>-1</v>
      </c>
      <c r="O46" s="14"/>
      <c r="P46" s="1">
        <f>SUM(OSRRefP22_6x_0)</f>
        <v>0</v>
      </c>
      <c r="Q46" s="1"/>
      <c r="R46" s="5">
        <f t="shared" ref="R46:R56" si="40">IF(P$12=0,0,P46/P$12)</f>
        <v>0</v>
      </c>
      <c r="S46" s="1"/>
      <c r="T46" s="1">
        <f>SUM(OSRRefT22_6x_0)</f>
        <v>92.52</v>
      </c>
      <c r="U46" s="1"/>
      <c r="V46" s="5">
        <f t="shared" ref="V46:V56" si="41">IF(T$12=0,0,T46/T$12)</f>
        <v>6.9012304285185223E-4</v>
      </c>
      <c r="W46" s="1"/>
      <c r="X46" s="1">
        <f t="shared" ref="X46:X56" si="42">+P46-T46</f>
        <v>-92.52</v>
      </c>
      <c r="Y46" s="1"/>
      <c r="Z46" s="5">
        <f t="shared" ref="Z46:Z56" si="43">IF(T46=0,0,X46/T46)</f>
        <v>-1</v>
      </c>
    </row>
    <row r="47" spans="1:26" s="24" customFormat="1" hidden="1" outlineLevel="2" x14ac:dyDescent="0.25">
      <c r="A47" s="28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36"/>
        <v>0</v>
      </c>
      <c r="G47" s="2"/>
      <c r="H47" s="6">
        <v>92.52</v>
      </c>
      <c r="I47" s="2"/>
      <c r="J47" s="7">
        <f t="shared" si="37"/>
        <v>8.3513420052373712E-4</v>
      </c>
      <c r="K47" s="2"/>
      <c r="L47" s="6">
        <f t="shared" si="38"/>
        <v>-92.52</v>
      </c>
      <c r="M47" s="2"/>
      <c r="N47" s="7">
        <f t="shared" si="39"/>
        <v>-1</v>
      </c>
      <c r="O47" s="11"/>
      <c r="P47" s="6"/>
      <c r="Q47" s="2"/>
      <c r="R47" s="7">
        <f t="shared" si="40"/>
        <v>0</v>
      </c>
      <c r="S47" s="2"/>
      <c r="T47" s="6">
        <v>92.52</v>
      </c>
      <c r="U47" s="2"/>
      <c r="V47" s="7">
        <f t="shared" si="41"/>
        <v>6.9012304285185223E-4</v>
      </c>
      <c r="W47" s="2"/>
      <c r="X47" s="6">
        <f t="shared" si="42"/>
        <v>-92.52</v>
      </c>
      <c r="Y47" s="2"/>
      <c r="Z47" s="7">
        <f t="shared" si="43"/>
        <v>-1</v>
      </c>
    </row>
    <row r="48" spans="1:26" s="29" customFormat="1" outlineLevel="1" collapsed="1" x14ac:dyDescent="0.25">
      <c r="A48" s="27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SUM(OSRRefD22_7x_0)</f>
        <v>327.23</v>
      </c>
      <c r="E48" s="1"/>
      <c r="F48" s="5">
        <f t="shared" si="36"/>
        <v>2.7591097290595224E-3</v>
      </c>
      <c r="G48" s="1"/>
      <c r="H48" s="1">
        <f>SUM(OSRRefH22_7x_0)</f>
        <v>118.91</v>
      </c>
      <c r="I48" s="1"/>
      <c r="J48" s="5">
        <f t="shared" si="37"/>
        <v>1.0733442259433373E-3</v>
      </c>
      <c r="K48" s="1"/>
      <c r="L48" s="1">
        <f t="shared" si="38"/>
        <v>208.32000000000002</v>
      </c>
      <c r="M48" s="1"/>
      <c r="N48" s="5">
        <f t="shared" si="39"/>
        <v>1.7519132116726939</v>
      </c>
      <c r="O48" s="14"/>
      <c r="P48" s="1">
        <f>SUM(OSRRefP22_7x_0)</f>
        <v>1159.94</v>
      </c>
      <c r="Q48" s="1"/>
      <c r="R48" s="5">
        <f t="shared" si="40"/>
        <v>6.7784478853859451E-3</v>
      </c>
      <c r="S48" s="1"/>
      <c r="T48" s="1">
        <f>SUM(OSRRefT22_7x_0)</f>
        <v>356.73</v>
      </c>
      <c r="U48" s="1"/>
      <c r="V48" s="5">
        <f t="shared" si="41"/>
        <v>2.6609121603603683E-3</v>
      </c>
      <c r="W48" s="1"/>
      <c r="X48" s="1">
        <f t="shared" si="42"/>
        <v>803.21</v>
      </c>
      <c r="Y48" s="1"/>
      <c r="Z48" s="5">
        <f t="shared" si="43"/>
        <v>2.2515908390098955</v>
      </c>
    </row>
    <row r="49" spans="1:26" s="24" customFormat="1" hidden="1" outlineLevel="2" x14ac:dyDescent="0.25">
      <c r="A49" s="28"/>
      <c r="B49" s="11" t="str">
        <f>CONCATENATE("          ", "6351", " - ", "EQUIPMENT RENTAL")</f>
        <v xml:space="preserve">          6351 - EQUIPMENT RENTAL</v>
      </c>
      <c r="C49" s="11"/>
      <c r="D49" s="6">
        <v>327.23</v>
      </c>
      <c r="E49" s="2"/>
      <c r="F49" s="7">
        <f t="shared" si="36"/>
        <v>2.7591097290595224E-3</v>
      </c>
      <c r="G49" s="2"/>
      <c r="H49" s="6">
        <v>118.91</v>
      </c>
      <c r="I49" s="2"/>
      <c r="J49" s="7">
        <f t="shared" si="37"/>
        <v>1.0733442259433373E-3</v>
      </c>
      <c r="K49" s="2"/>
      <c r="L49" s="6">
        <f t="shared" si="38"/>
        <v>208.32000000000002</v>
      </c>
      <c r="M49" s="2"/>
      <c r="N49" s="7">
        <f t="shared" si="39"/>
        <v>1.7519132116726939</v>
      </c>
      <c r="O49" s="11"/>
      <c r="P49" s="6">
        <v>1159.94</v>
      </c>
      <c r="Q49" s="2"/>
      <c r="R49" s="7">
        <f t="shared" si="40"/>
        <v>6.7784478853859451E-3</v>
      </c>
      <c r="S49" s="2"/>
      <c r="T49" s="6">
        <v>356.73</v>
      </c>
      <c r="U49" s="2"/>
      <c r="V49" s="7">
        <f t="shared" si="41"/>
        <v>2.6609121603603683E-3</v>
      </c>
      <c r="W49" s="2"/>
      <c r="X49" s="6">
        <f t="shared" si="42"/>
        <v>803.21</v>
      </c>
      <c r="Y49" s="2"/>
      <c r="Z49" s="7">
        <f t="shared" si="43"/>
        <v>2.2515908390098955</v>
      </c>
    </row>
    <row r="50" spans="1:26" s="29" customFormat="1" outlineLevel="1" collapsed="1" x14ac:dyDescent="0.25">
      <c r="A50" s="27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SUM(OSRRefD22_8x_0)</f>
        <v>791.37</v>
      </c>
      <c r="E50" s="1"/>
      <c r="F50" s="5">
        <f t="shared" si="36"/>
        <v>6.6726054038011009E-3</v>
      </c>
      <c r="G50" s="1"/>
      <c r="H50" s="1">
        <f>SUM(OSRRefH22_8x_0)</f>
        <v>879.3</v>
      </c>
      <c r="I50" s="1"/>
      <c r="J50" s="5">
        <f t="shared" si="37"/>
        <v>7.9370244543938828E-3</v>
      </c>
      <c r="K50" s="1"/>
      <c r="L50" s="1">
        <f t="shared" si="38"/>
        <v>-87.92999999999995</v>
      </c>
      <c r="M50" s="1"/>
      <c r="N50" s="5">
        <f t="shared" si="39"/>
        <v>-9.999999999999995E-2</v>
      </c>
      <c r="O50" s="14"/>
      <c r="P50" s="1">
        <f>SUM(OSRRefP22_8x_0)</f>
        <v>3184.87</v>
      </c>
      <c r="Q50" s="1"/>
      <c r="R50" s="5">
        <f t="shared" si="40"/>
        <v>1.8611717258417794E-2</v>
      </c>
      <c r="S50" s="1"/>
      <c r="T50" s="1">
        <f>SUM(OSRRefT22_8x_0)</f>
        <v>2259.2399999999998</v>
      </c>
      <c r="U50" s="1"/>
      <c r="V50" s="5">
        <f t="shared" si="41"/>
        <v>1.6852070723439454E-2</v>
      </c>
      <c r="W50" s="1"/>
      <c r="X50" s="1">
        <f t="shared" si="42"/>
        <v>925.63000000000011</v>
      </c>
      <c r="Y50" s="1"/>
      <c r="Z50" s="5">
        <f t="shared" si="43"/>
        <v>0.40970857456489801</v>
      </c>
    </row>
    <row r="51" spans="1:26" s="24" customFormat="1" hidden="1" outlineLevel="2" x14ac:dyDescent="0.25">
      <c r="A51" s="28"/>
      <c r="B51" s="11" t="str">
        <f>CONCATENATE("          ", "6279", " - ", "GENERAL EXPENSE")</f>
        <v xml:space="preserve">          6279 - GENERAL EXPENSE</v>
      </c>
      <c r="C51" s="11"/>
      <c r="D51" s="6">
        <v>791.37</v>
      </c>
      <c r="E51" s="2"/>
      <c r="F51" s="7">
        <f t="shared" si="36"/>
        <v>6.6726054038011009E-3</v>
      </c>
      <c r="G51" s="2"/>
      <c r="H51" s="6">
        <v>879.3</v>
      </c>
      <c r="I51" s="2"/>
      <c r="J51" s="7">
        <f t="shared" si="37"/>
        <v>7.9370244543938828E-3</v>
      </c>
      <c r="K51" s="2"/>
      <c r="L51" s="6">
        <f t="shared" si="38"/>
        <v>-87.92999999999995</v>
      </c>
      <c r="M51" s="2"/>
      <c r="N51" s="7">
        <f t="shared" si="39"/>
        <v>-9.999999999999995E-2</v>
      </c>
      <c r="O51" s="11"/>
      <c r="P51" s="6">
        <v>3184.87</v>
      </c>
      <c r="Q51" s="2"/>
      <c r="R51" s="7">
        <f t="shared" si="40"/>
        <v>1.8611717258417794E-2</v>
      </c>
      <c r="S51" s="2"/>
      <c r="T51" s="6">
        <v>2259.2399999999998</v>
      </c>
      <c r="U51" s="2"/>
      <c r="V51" s="7">
        <f t="shared" si="41"/>
        <v>1.6852070723439454E-2</v>
      </c>
      <c r="W51" s="2"/>
      <c r="X51" s="6">
        <f t="shared" si="42"/>
        <v>925.63000000000011</v>
      </c>
      <c r="Y51" s="2"/>
      <c r="Z51" s="7">
        <f t="shared" si="43"/>
        <v>0.40970857456489801</v>
      </c>
    </row>
    <row r="52" spans="1:26" s="29" customFormat="1" outlineLevel="1" collapsed="1" x14ac:dyDescent="0.25">
      <c r="A52" s="27"/>
      <c r="B52" s="14" t="str">
        <f>CONCATENATE("     ","Rent                                              ")</f>
        <v xml:space="preserve">     Rent                                              </v>
      </c>
      <c r="C52" s="14"/>
      <c r="D52" s="1">
        <f>SUM(OSRRefD22_9x_0)</f>
        <v>1850</v>
      </c>
      <c r="E52" s="1"/>
      <c r="F52" s="5">
        <f t="shared" si="36"/>
        <v>1.5598670655991555E-2</v>
      </c>
      <c r="G52" s="1"/>
      <c r="H52" s="1">
        <f>SUM(OSRRefH22_9x_0)</f>
        <v>1850</v>
      </c>
      <c r="I52" s="1"/>
      <c r="J52" s="5">
        <f t="shared" si="37"/>
        <v>1.6699073400009874E-2</v>
      </c>
      <c r="K52" s="1"/>
      <c r="L52" s="1">
        <f t="shared" si="38"/>
        <v>0</v>
      </c>
      <c r="M52" s="1"/>
      <c r="N52" s="5">
        <f t="shared" si="39"/>
        <v>0</v>
      </c>
      <c r="O52" s="14"/>
      <c r="P52" s="1">
        <f>SUM(OSRRefP22_9x_0)</f>
        <v>5550</v>
      </c>
      <c r="Q52" s="1"/>
      <c r="R52" s="5">
        <f t="shared" si="40"/>
        <v>3.2433044609110812E-2</v>
      </c>
      <c r="S52" s="1"/>
      <c r="T52" s="1">
        <f>SUM(OSRRefT22_9x_0)</f>
        <v>5550</v>
      </c>
      <c r="U52" s="1"/>
      <c r="V52" s="5">
        <f t="shared" si="41"/>
        <v>4.1398431558882183E-2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8"/>
      <c r="B53" s="11" t="str">
        <f>CONCATENATE("          ", "6273", " - ", "RENT")</f>
        <v xml:space="preserve">          6273 - RENT</v>
      </c>
      <c r="C53" s="11"/>
      <c r="D53" s="6">
        <v>1850</v>
      </c>
      <c r="E53" s="2"/>
      <c r="F53" s="7">
        <f t="shared" si="36"/>
        <v>1.5598670655991555E-2</v>
      </c>
      <c r="G53" s="2"/>
      <c r="H53" s="6">
        <v>1850</v>
      </c>
      <c r="I53" s="2"/>
      <c r="J53" s="7">
        <f t="shared" si="37"/>
        <v>1.6699073400009874E-2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>
        <v>5550</v>
      </c>
      <c r="Q53" s="2"/>
      <c r="R53" s="7">
        <f t="shared" si="40"/>
        <v>3.2433044609110812E-2</v>
      </c>
      <c r="S53" s="2"/>
      <c r="T53" s="6">
        <v>5550</v>
      </c>
      <c r="U53" s="2"/>
      <c r="V53" s="7">
        <f t="shared" si="41"/>
        <v>4.1398431558882183E-2</v>
      </c>
      <c r="W53" s="2"/>
      <c r="X53" s="6">
        <f t="shared" si="42"/>
        <v>0</v>
      </c>
      <c r="Y53" s="2"/>
      <c r="Z53" s="7">
        <f t="shared" si="43"/>
        <v>0</v>
      </c>
    </row>
    <row r="54" spans="1:26" s="29" customFormat="1" outlineLevel="1" collapsed="1" x14ac:dyDescent="0.25">
      <c r="A54" s="27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SUM(OSRRefD22_10x_0)</f>
        <v>4447.72</v>
      </c>
      <c r="E54" s="1"/>
      <c r="F54" s="5">
        <f t="shared" si="36"/>
        <v>3.750190240544149E-2</v>
      </c>
      <c r="G54" s="1"/>
      <c r="H54" s="1">
        <f>SUM(OSRRefH22_10x_0)</f>
        <v>2356.0700000000002</v>
      </c>
      <c r="I54" s="1"/>
      <c r="J54" s="5">
        <f t="shared" si="37"/>
        <v>2.1267127494897984E-2</v>
      </c>
      <c r="K54" s="1"/>
      <c r="L54" s="1">
        <f t="shared" si="38"/>
        <v>2091.65</v>
      </c>
      <c r="M54" s="1"/>
      <c r="N54" s="5">
        <f t="shared" si="39"/>
        <v>0.88777073686265684</v>
      </c>
      <c r="O54" s="14"/>
      <c r="P54" s="1">
        <f>SUM(OSRRefP22_10x_0)</f>
        <v>10606.720000000001</v>
      </c>
      <c r="Q54" s="1"/>
      <c r="R54" s="5">
        <f t="shared" si="40"/>
        <v>6.198346358853115E-2</v>
      </c>
      <c r="S54" s="1"/>
      <c r="T54" s="1">
        <f>SUM(OSRRefT22_10x_0)</f>
        <v>8001.38</v>
      </c>
      <c r="U54" s="1"/>
      <c r="V54" s="5">
        <f t="shared" si="41"/>
        <v>5.968370852371329E-2</v>
      </c>
      <c r="W54" s="1"/>
      <c r="X54" s="1">
        <f t="shared" si="42"/>
        <v>2605.3400000000011</v>
      </c>
      <c r="Y54" s="1"/>
      <c r="Z54" s="5">
        <f t="shared" si="43"/>
        <v>0.3256113320452223</v>
      </c>
    </row>
    <row r="55" spans="1:26" s="24" customFormat="1" hidden="1" outlineLevel="2" x14ac:dyDescent="0.25">
      <c r="A55" s="28"/>
      <c r="B55" s="11" t="str">
        <f>CONCATENATE("          ", "6373", " - ", "MAINTENANCE CONTRACTS")</f>
        <v xml:space="preserve">          6373 - MAINTENANCE CONTRACTS</v>
      </c>
      <c r="C55" s="11"/>
      <c r="D55" s="6">
        <v>3396</v>
      </c>
      <c r="E55" s="2"/>
      <c r="F55" s="7">
        <f t="shared" si="36"/>
        <v>2.8634100296079632E-2</v>
      </c>
      <c r="G55" s="2"/>
      <c r="H55" s="6">
        <v>1855.22</v>
      </c>
      <c r="I55" s="2"/>
      <c r="J55" s="7">
        <f t="shared" si="37"/>
        <v>1.6746191866576391E-2</v>
      </c>
      <c r="K55" s="2"/>
      <c r="L55" s="6">
        <f t="shared" si="38"/>
        <v>1540.78</v>
      </c>
      <c r="M55" s="2"/>
      <c r="N55" s="7">
        <f t="shared" si="39"/>
        <v>0.83051066719849931</v>
      </c>
      <c r="O55" s="11"/>
      <c r="P55" s="6">
        <v>5396</v>
      </c>
      <c r="Q55" s="2"/>
      <c r="R55" s="7">
        <f t="shared" si="40"/>
        <v>3.1533100668605756E-2</v>
      </c>
      <c r="S55" s="2"/>
      <c r="T55" s="6">
        <v>5453.22</v>
      </c>
      <c r="U55" s="2"/>
      <c r="V55" s="7">
        <f t="shared" si="41"/>
        <v>4.0676532422617574E-2</v>
      </c>
      <c r="W55" s="2"/>
      <c r="X55" s="6">
        <f t="shared" si="42"/>
        <v>-57.220000000000255</v>
      </c>
      <c r="Y55" s="2"/>
      <c r="Z55" s="7">
        <f t="shared" si="43"/>
        <v>-1.0492883103927634E-2</v>
      </c>
    </row>
    <row r="56" spans="1:26" s="24" customFormat="1" hidden="1" outlineLevel="2" x14ac:dyDescent="0.25">
      <c r="A56" s="28"/>
      <c r="B56" s="11" t="str">
        <f>CONCATENATE("          ", "6375", " - ", "OUTSIDE REPAIRS &amp; MAINTENANCE")</f>
        <v xml:space="preserve">          6375 - OUTSIDE REPAIRS &amp; MAINTENANCE</v>
      </c>
      <c r="C56" s="11"/>
      <c r="D56" s="6">
        <v>1051.72</v>
      </c>
      <c r="E56" s="2"/>
      <c r="F56" s="7">
        <f t="shared" si="36"/>
        <v>8.8678021093618574E-3</v>
      </c>
      <c r="G56" s="2"/>
      <c r="H56" s="6">
        <v>500.85</v>
      </c>
      <c r="I56" s="2"/>
      <c r="J56" s="7">
        <f t="shared" si="37"/>
        <v>4.5209356283215929E-3</v>
      </c>
      <c r="K56" s="2"/>
      <c r="L56" s="6">
        <f t="shared" si="38"/>
        <v>550.87</v>
      </c>
      <c r="M56" s="2"/>
      <c r="N56" s="7">
        <f t="shared" si="39"/>
        <v>1.0998702206249376</v>
      </c>
      <c r="O56" s="11"/>
      <c r="P56" s="6">
        <v>5210.72</v>
      </c>
      <c r="Q56" s="2"/>
      <c r="R56" s="7">
        <f t="shared" si="40"/>
        <v>3.0450362919925388E-2</v>
      </c>
      <c r="S56" s="2"/>
      <c r="T56" s="6">
        <v>2548.16</v>
      </c>
      <c r="U56" s="2"/>
      <c r="V56" s="7">
        <f t="shared" si="41"/>
        <v>1.9007176101095716E-2</v>
      </c>
      <c r="W56" s="2"/>
      <c r="X56" s="6">
        <f t="shared" si="42"/>
        <v>2662.5600000000004</v>
      </c>
      <c r="Y56" s="2"/>
      <c r="Z56" s="7">
        <f t="shared" si="43"/>
        <v>1.0448951400226048</v>
      </c>
    </row>
    <row r="57" spans="1:26" s="29" customFormat="1" outlineLevel="1" collapsed="1" x14ac:dyDescent="0.25">
      <c r="A57" s="27"/>
      <c r="B57" s="14" t="str">
        <f>CONCATENATE("     ","Royalty &amp; Commissions                             ")</f>
        <v xml:space="preserve">     Royalty &amp; Commissions                             </v>
      </c>
      <c r="C57" s="14"/>
      <c r="D57" s="1">
        <f>SUM(OSRRefD22_11x_0)</f>
        <v>9041.44</v>
      </c>
      <c r="E57" s="1"/>
      <c r="F57" s="5">
        <f t="shared" ref="F57:F62" si="44">IF(D$12=0,0,D57/D$12)</f>
        <v>7.62348350356261E-2</v>
      </c>
      <c r="G57" s="1"/>
      <c r="H57" s="1">
        <f>SUM(OSRRefH22_11x_0)</f>
        <v>8862.7999999999993</v>
      </c>
      <c r="I57" s="1"/>
      <c r="J57" s="5">
        <f t="shared" ref="J57:J62" si="45">IF(H$12=0,0,H57/H$12)</f>
        <v>8.0000296070058111E-2</v>
      </c>
      <c r="K57" s="1"/>
      <c r="L57" s="1">
        <f t="shared" ref="L57:L62" si="46">+D57-H57</f>
        <v>178.64000000000124</v>
      </c>
      <c r="M57" s="1"/>
      <c r="N57" s="5">
        <f t="shared" ref="N57:N62" si="47">IF(H57=0,0,L57/H57)</f>
        <v>2.0156158324683086E-2</v>
      </c>
      <c r="O57" s="14"/>
      <c r="P57" s="1">
        <f>SUM(OSRRefP22_11x_0)</f>
        <v>16462.96</v>
      </c>
      <c r="Q57" s="1"/>
      <c r="R57" s="5">
        <f t="shared" ref="R57:R62" si="48">IF(P$12=0,0,P57/P$12)</f>
        <v>9.6206111005046294E-2</v>
      </c>
      <c r="S57" s="1"/>
      <c r="T57" s="1">
        <f>SUM(OSRRefT22_11x_0)</f>
        <v>10725.04</v>
      </c>
      <c r="U57" s="1"/>
      <c r="V57" s="5">
        <f t="shared" ref="V57:V62" si="49">IF(T$12=0,0,T57/T$12)</f>
        <v>7.9999970163292577E-2</v>
      </c>
      <c r="W57" s="1"/>
      <c r="X57" s="1">
        <f t="shared" ref="X57:X62" si="50">+P57-T57</f>
        <v>5737.9199999999983</v>
      </c>
      <c r="Y57" s="1"/>
      <c r="Z57" s="5">
        <f t="shared" ref="Z57:Z62" si="51">IF(T57=0,0,X57/T57)</f>
        <v>0.5350022004579934</v>
      </c>
    </row>
    <row r="58" spans="1:26" s="24" customFormat="1" hidden="1" outlineLevel="2" x14ac:dyDescent="0.25">
      <c r="A58" s="28"/>
      <c r="B58" s="11" t="str">
        <f>CONCATENATE("          ", "6259", " - ", "ROYALTY &amp; COMMISSIONS")</f>
        <v xml:space="preserve">          6259 - ROYALTY &amp; COMMISSIONS</v>
      </c>
      <c r="C58" s="11"/>
      <c r="D58" s="6">
        <v>9041.44</v>
      </c>
      <c r="E58" s="2"/>
      <c r="F58" s="7">
        <f t="shared" si="44"/>
        <v>7.62348350356261E-2</v>
      </c>
      <c r="G58" s="2"/>
      <c r="H58" s="6">
        <v>8862.7999999999993</v>
      </c>
      <c r="I58" s="2"/>
      <c r="J58" s="7">
        <f t="shared" si="45"/>
        <v>8.0000296070058111E-2</v>
      </c>
      <c r="K58" s="2"/>
      <c r="L58" s="6">
        <f t="shared" si="46"/>
        <v>178.64000000000124</v>
      </c>
      <c r="M58" s="2"/>
      <c r="N58" s="7">
        <f t="shared" si="47"/>
        <v>2.0156158324683086E-2</v>
      </c>
      <c r="O58" s="11"/>
      <c r="P58" s="6">
        <v>16462.96</v>
      </c>
      <c r="Q58" s="2"/>
      <c r="R58" s="7">
        <f t="shared" si="48"/>
        <v>9.6206111005046294E-2</v>
      </c>
      <c r="S58" s="2"/>
      <c r="T58" s="6">
        <v>10725.04</v>
      </c>
      <c r="U58" s="2"/>
      <c r="V58" s="7">
        <f t="shared" si="49"/>
        <v>7.9999970163292577E-2</v>
      </c>
      <c r="W58" s="2"/>
      <c r="X58" s="6">
        <f t="shared" si="50"/>
        <v>5737.9199999999983</v>
      </c>
      <c r="Y58" s="2"/>
      <c r="Z58" s="7">
        <f t="shared" si="51"/>
        <v>0.5350022004579934</v>
      </c>
    </row>
    <row r="59" spans="1:26" s="29" customFormat="1" outlineLevel="1" collapsed="1" x14ac:dyDescent="0.2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SUM(OSRRefD22_12x_0)</f>
        <v>379.64</v>
      </c>
      <c r="E59" s="1"/>
      <c r="F59" s="5">
        <f t="shared" si="44"/>
        <v>3.2010158528868286E-3</v>
      </c>
      <c r="G59" s="1"/>
      <c r="H59" s="1">
        <f>SUM(OSRRefH22_12x_0)</f>
        <v>510.60999999999996</v>
      </c>
      <c r="I59" s="1"/>
      <c r="J59" s="5">
        <f t="shared" si="45"/>
        <v>4.6090345236643468E-3</v>
      </c>
      <c r="K59" s="1"/>
      <c r="L59" s="1">
        <f t="shared" si="46"/>
        <v>-130.96999999999997</v>
      </c>
      <c r="M59" s="1"/>
      <c r="N59" s="5">
        <f t="shared" si="47"/>
        <v>-0.25649713088266973</v>
      </c>
      <c r="O59" s="14"/>
      <c r="P59" s="1">
        <f>SUM(OSRRefP22_12x_0)</f>
        <v>1091.58</v>
      </c>
      <c r="Q59" s="1"/>
      <c r="R59" s="5">
        <f t="shared" si="48"/>
        <v>6.3789662764708426E-3</v>
      </c>
      <c r="S59" s="1"/>
      <c r="T59" s="1">
        <f>SUM(OSRRefT22_12x_0)</f>
        <v>775.72</v>
      </c>
      <c r="U59" s="1"/>
      <c r="V59" s="5">
        <f t="shared" si="49"/>
        <v>5.7862326718659627E-3</v>
      </c>
      <c r="W59" s="1"/>
      <c r="X59" s="1">
        <f t="shared" si="50"/>
        <v>315.8599999999999</v>
      </c>
      <c r="Y59" s="1"/>
      <c r="Z59" s="5">
        <f t="shared" si="51"/>
        <v>0.40718300417676467</v>
      </c>
    </row>
    <row r="60" spans="1:26" s="24" customFormat="1" hidden="1" outlineLevel="2" x14ac:dyDescent="0.25">
      <c r="A60" s="28"/>
      <c r="B60" s="11" t="str">
        <f>CONCATENATE("          ", "6282", " - ", "JANITORIAL/EXTERMINATOR EXPENS")</f>
        <v xml:space="preserve">          6282 - JANITORIAL/EXTERMINATOR EXPENS</v>
      </c>
      <c r="C60" s="11"/>
      <c r="D60" s="6">
        <v>96.96</v>
      </c>
      <c r="E60" s="2"/>
      <c r="F60" s="7">
        <f t="shared" si="44"/>
        <v>8.1753897665131942E-4</v>
      </c>
      <c r="G60" s="2"/>
      <c r="H60" s="6">
        <v>96.96</v>
      </c>
      <c r="I60" s="2"/>
      <c r="J60" s="7">
        <f t="shared" si="45"/>
        <v>8.7521197668376076E-4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>
        <v>290.88</v>
      </c>
      <c r="Q60" s="2"/>
      <c r="R60" s="7">
        <f t="shared" si="48"/>
        <v>1.6998421650266942E-3</v>
      </c>
      <c r="S60" s="2"/>
      <c r="T60" s="6">
        <v>96.96</v>
      </c>
      <c r="U60" s="2"/>
      <c r="V60" s="7">
        <f t="shared" si="49"/>
        <v>7.2324178809895796E-4</v>
      </c>
      <c r="W60" s="2"/>
      <c r="X60" s="6">
        <f t="shared" si="50"/>
        <v>193.92000000000002</v>
      </c>
      <c r="Y60" s="2"/>
      <c r="Z60" s="7">
        <f t="shared" si="51"/>
        <v>2.0000000000000004</v>
      </c>
    </row>
    <row r="61" spans="1:26" s="24" customFormat="1" hidden="1" outlineLevel="2" x14ac:dyDescent="0.25">
      <c r="A61" s="28"/>
      <c r="B61" s="11" t="str">
        <f>CONCATENATE("          ", "6284", " - ", "TRASH REMOVAL EXPENSE")</f>
        <v xml:space="preserve">          6284 - TRASH REMOVAL EXPENSE</v>
      </c>
      <c r="C61" s="11"/>
      <c r="D61" s="6"/>
      <c r="E61" s="2"/>
      <c r="F61" s="7">
        <f t="shared" si="44"/>
        <v>0</v>
      </c>
      <c r="G61" s="2"/>
      <c r="H61" s="6">
        <v>140</v>
      </c>
      <c r="I61" s="2"/>
      <c r="J61" s="7">
        <f t="shared" si="45"/>
        <v>1.2637136627034501E-3</v>
      </c>
      <c r="K61" s="2"/>
      <c r="L61" s="6">
        <f t="shared" si="46"/>
        <v>-140</v>
      </c>
      <c r="M61" s="2"/>
      <c r="N61" s="7">
        <f t="shared" si="47"/>
        <v>-1</v>
      </c>
      <c r="O61" s="11"/>
      <c r="P61" s="6">
        <v>94</v>
      </c>
      <c r="Q61" s="2"/>
      <c r="R61" s="7">
        <f t="shared" si="48"/>
        <v>5.4931643121737235E-4</v>
      </c>
      <c r="S61" s="2"/>
      <c r="T61" s="6">
        <v>282</v>
      </c>
      <c r="U61" s="2"/>
      <c r="V61" s="7">
        <f t="shared" si="49"/>
        <v>2.1034878738026624E-3</v>
      </c>
      <c r="W61" s="2"/>
      <c r="X61" s="6">
        <f t="shared" si="50"/>
        <v>-188</v>
      </c>
      <c r="Y61" s="2"/>
      <c r="Z61" s="7">
        <f t="shared" si="51"/>
        <v>-0.66666666666666663</v>
      </c>
    </row>
    <row r="62" spans="1:26" s="24" customFormat="1" hidden="1" outlineLevel="2" x14ac:dyDescent="0.25">
      <c r="A62" s="28"/>
      <c r="B62" s="11" t="str">
        <f>CONCATENATE("          ", "6286", " - ", "LAUNDRY EXPENSE")</f>
        <v xml:space="preserve">          6286 - LAUNDRY EXPENSE</v>
      </c>
      <c r="C62" s="11"/>
      <c r="D62" s="6">
        <v>282.68</v>
      </c>
      <c r="E62" s="2"/>
      <c r="F62" s="7">
        <f t="shared" si="44"/>
        <v>2.3834768762355093E-3</v>
      </c>
      <c r="G62" s="2"/>
      <c r="H62" s="6">
        <v>273.64999999999998</v>
      </c>
      <c r="I62" s="2"/>
      <c r="J62" s="7">
        <f t="shared" si="45"/>
        <v>2.4701088842771363E-3</v>
      </c>
      <c r="K62" s="2"/>
      <c r="L62" s="6">
        <f t="shared" si="46"/>
        <v>9.0300000000000296</v>
      </c>
      <c r="M62" s="2"/>
      <c r="N62" s="7">
        <f t="shared" si="47"/>
        <v>3.2998355563676342E-2</v>
      </c>
      <c r="O62" s="11"/>
      <c r="P62" s="6">
        <v>706.7</v>
      </c>
      <c r="Q62" s="2"/>
      <c r="R62" s="7">
        <f t="shared" si="48"/>
        <v>4.1298076802267769E-3</v>
      </c>
      <c r="S62" s="2"/>
      <c r="T62" s="6">
        <v>396.76</v>
      </c>
      <c r="U62" s="2"/>
      <c r="V62" s="7">
        <f t="shared" si="49"/>
        <v>2.9595030099643415E-3</v>
      </c>
      <c r="W62" s="2"/>
      <c r="X62" s="6">
        <f t="shared" si="50"/>
        <v>309.94000000000005</v>
      </c>
      <c r="Y62" s="2"/>
      <c r="Z62" s="7">
        <f t="shared" si="51"/>
        <v>0.78117753805827217</v>
      </c>
    </row>
    <row r="63" spans="1:26" s="29" customFormat="1" outlineLevel="1" collapsed="1" x14ac:dyDescent="0.25">
      <c r="A63" s="27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SUM(OSRRefD22_13x_0)</f>
        <v>30.68</v>
      </c>
      <c r="E63" s="1"/>
      <c r="F63" s="5">
        <f t="shared" ref="F63:F72" si="52">IF(D$12=0,0,D63/D$12)</f>
        <v>2.5868498147341666E-4</v>
      </c>
      <c r="G63" s="1"/>
      <c r="H63" s="1">
        <f>SUM(OSRRefH22_13x_0)</f>
        <v>30.68</v>
      </c>
      <c r="I63" s="1"/>
      <c r="J63" s="5">
        <f t="shared" ref="J63:J72" si="53">IF(H$12=0,0,H63/H$12)</f>
        <v>2.769338226552989E-4</v>
      </c>
      <c r="K63" s="1"/>
      <c r="L63" s="1">
        <f t="shared" ref="L63:L72" si="54">+D63-H63</f>
        <v>0</v>
      </c>
      <c r="M63" s="1"/>
      <c r="N63" s="5">
        <f t="shared" ref="N63:N72" si="55">IF(H63=0,0,L63/H63)</f>
        <v>0</v>
      </c>
      <c r="O63" s="14"/>
      <c r="P63" s="1">
        <f>SUM(OSRRefP22_13x_0)</f>
        <v>61.36</v>
      </c>
      <c r="Q63" s="1"/>
      <c r="R63" s="5">
        <f t="shared" ref="R63:R72" si="56">IF(P$12=0,0,P63/P$12)</f>
        <v>3.5857506616487195E-4</v>
      </c>
      <c r="S63" s="1"/>
      <c r="T63" s="1">
        <f>SUM(OSRRefT22_13x_0)</f>
        <v>92.04</v>
      </c>
      <c r="U63" s="1"/>
      <c r="V63" s="5">
        <f t="shared" ref="V63:V72" si="57">IF(T$12=0,0,T63/T$12)</f>
        <v>6.8654263796027331E-4</v>
      </c>
      <c r="W63" s="1"/>
      <c r="X63" s="1">
        <f t="shared" ref="X63:X72" si="58">+P63-T63</f>
        <v>-30.680000000000007</v>
      </c>
      <c r="Y63" s="1"/>
      <c r="Z63" s="5">
        <f t="shared" ref="Z63:Z72" si="59">IF(T63=0,0,X63/T63)</f>
        <v>-0.33333333333333337</v>
      </c>
    </row>
    <row r="64" spans="1:26" s="24" customFormat="1" hidden="1" outlineLevel="2" x14ac:dyDescent="0.25">
      <c r="A64" s="28"/>
      <c r="B64" s="11" t="str">
        <f>CONCATENATE("          ", "6275", " - ", "SUBSCRIPTIONS")</f>
        <v xml:space="preserve">          6275 - SUBSCRIPTIONS</v>
      </c>
      <c r="C64" s="11"/>
      <c r="D64" s="6">
        <v>30.68</v>
      </c>
      <c r="E64" s="2"/>
      <c r="F64" s="7">
        <f t="shared" si="52"/>
        <v>2.5868498147341666E-4</v>
      </c>
      <c r="G64" s="2"/>
      <c r="H64" s="6">
        <v>30.68</v>
      </c>
      <c r="I64" s="2"/>
      <c r="J64" s="7">
        <f t="shared" si="53"/>
        <v>2.769338226552989E-4</v>
      </c>
      <c r="K64" s="2"/>
      <c r="L64" s="6">
        <f t="shared" si="54"/>
        <v>0</v>
      </c>
      <c r="M64" s="2"/>
      <c r="N64" s="7">
        <f t="shared" si="55"/>
        <v>0</v>
      </c>
      <c r="O64" s="11"/>
      <c r="P64" s="6">
        <v>61.36</v>
      </c>
      <c r="Q64" s="2"/>
      <c r="R64" s="7">
        <f t="shared" si="56"/>
        <v>3.5857506616487195E-4</v>
      </c>
      <c r="S64" s="2"/>
      <c r="T64" s="6">
        <v>92.04</v>
      </c>
      <c r="U64" s="2"/>
      <c r="V64" s="7">
        <f t="shared" si="57"/>
        <v>6.8654263796027331E-4</v>
      </c>
      <c r="W64" s="2"/>
      <c r="X64" s="6">
        <f t="shared" si="58"/>
        <v>-30.680000000000007</v>
      </c>
      <c r="Y64" s="2"/>
      <c r="Z64" s="7">
        <f t="shared" si="59"/>
        <v>-0.33333333333333337</v>
      </c>
    </row>
    <row r="65" spans="1:26" s="29" customFormat="1" outlineLevel="1" collapsed="1" x14ac:dyDescent="0.2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SUM(OSRRefD22_14x_0)</f>
        <v>2255.35</v>
      </c>
      <c r="E65" s="1"/>
      <c r="F65" s="5">
        <f t="shared" si="52"/>
        <v>1.9016465872427325E-2</v>
      </c>
      <c r="G65" s="1"/>
      <c r="H65" s="1">
        <f>SUM(OSRRefH22_14x_0)</f>
        <v>1249.19</v>
      </c>
      <c r="I65" s="1"/>
      <c r="J65" s="5">
        <f t="shared" si="53"/>
        <v>1.127584621651802E-2</v>
      </c>
      <c r="K65" s="1"/>
      <c r="L65" s="1">
        <f t="shared" si="54"/>
        <v>1006.1599999999999</v>
      </c>
      <c r="M65" s="1"/>
      <c r="N65" s="5">
        <f t="shared" si="55"/>
        <v>0.80544993155564792</v>
      </c>
      <c r="O65" s="14"/>
      <c r="P65" s="1">
        <f>SUM(OSRRefP22_14x_0)</f>
        <v>6046.4600000000009</v>
      </c>
      <c r="Q65" s="1"/>
      <c r="R65" s="5">
        <f t="shared" si="56"/>
        <v>3.5334253496793547E-2</v>
      </c>
      <c r="S65" s="1"/>
      <c r="T65" s="1">
        <f>SUM(OSRRefT22_14x_0)</f>
        <v>2952.9799999999996</v>
      </c>
      <c r="U65" s="1"/>
      <c r="V65" s="5">
        <f t="shared" si="57"/>
        <v>2.2026800076531152E-2</v>
      </c>
      <c r="W65" s="1"/>
      <c r="X65" s="1">
        <f t="shared" si="58"/>
        <v>3093.4800000000014</v>
      </c>
      <c r="Y65" s="1"/>
      <c r="Z65" s="5">
        <f t="shared" si="59"/>
        <v>1.0475790557335307</v>
      </c>
    </row>
    <row r="66" spans="1:26" s="24" customFormat="1" hidden="1" outlineLevel="2" x14ac:dyDescent="0.25">
      <c r="A66" s="28"/>
      <c r="B66" s="11" t="str">
        <f>CONCATENATE("          ", "6237", " - ", "JANITORIAL SUPPLIES")</f>
        <v xml:space="preserve">          6237 - JANITORIAL SUPPLIES</v>
      </c>
      <c r="C66" s="11"/>
      <c r="D66" s="6">
        <v>274.91000000000003</v>
      </c>
      <c r="E66" s="2"/>
      <c r="F66" s="7">
        <f t="shared" si="52"/>
        <v>2.3179624594803451E-3</v>
      </c>
      <c r="G66" s="2"/>
      <c r="H66" s="6"/>
      <c r="I66" s="2"/>
      <c r="J66" s="7">
        <f t="shared" si="53"/>
        <v>0</v>
      </c>
      <c r="K66" s="2"/>
      <c r="L66" s="6">
        <f t="shared" si="54"/>
        <v>274.91000000000003</v>
      </c>
      <c r="M66" s="2"/>
      <c r="N66" s="7">
        <f t="shared" si="55"/>
        <v>0</v>
      </c>
      <c r="O66" s="11"/>
      <c r="P66" s="6">
        <v>598.88</v>
      </c>
      <c r="Q66" s="2"/>
      <c r="R66" s="7">
        <f t="shared" si="56"/>
        <v>3.499730046036808E-3</v>
      </c>
      <c r="S66" s="2"/>
      <c r="T66" s="6">
        <v>8.76</v>
      </c>
      <c r="U66" s="2"/>
      <c r="V66" s="7">
        <f t="shared" si="57"/>
        <v>6.5342389271316745E-5</v>
      </c>
      <c r="W66" s="2"/>
      <c r="X66" s="6">
        <f t="shared" si="58"/>
        <v>590.12</v>
      </c>
      <c r="Y66" s="2"/>
      <c r="Z66" s="7">
        <f t="shared" si="59"/>
        <v>67.365296803652967</v>
      </c>
    </row>
    <row r="67" spans="1:26" s="24" customFormat="1" hidden="1" outlineLevel="2" x14ac:dyDescent="0.25">
      <c r="A67" s="28"/>
      <c r="B67" s="11" t="str">
        <f>CONCATENATE("          ", "6239", " - ", "KITCHEN SUPPLIES")</f>
        <v xml:space="preserve">          6239 - KITCHEN SUPPLIES</v>
      </c>
      <c r="C67" s="11"/>
      <c r="D67" s="6">
        <v>950.73</v>
      </c>
      <c r="E67" s="2"/>
      <c r="F67" s="7">
        <f t="shared" si="52"/>
        <v>8.0162833258220819E-3</v>
      </c>
      <c r="G67" s="2"/>
      <c r="H67" s="6">
        <v>239.69</v>
      </c>
      <c r="I67" s="2"/>
      <c r="J67" s="7">
        <f t="shared" si="53"/>
        <v>2.1635680558099281E-3</v>
      </c>
      <c r="K67" s="2"/>
      <c r="L67" s="6">
        <f t="shared" si="54"/>
        <v>711.04</v>
      </c>
      <c r="M67" s="2"/>
      <c r="N67" s="7">
        <f t="shared" si="55"/>
        <v>2.9664983937586049</v>
      </c>
      <c r="O67" s="11"/>
      <c r="P67" s="6">
        <v>3118.7</v>
      </c>
      <c r="Q67" s="2"/>
      <c r="R67" s="7">
        <f t="shared" si="56"/>
        <v>1.8225033553591691E-2</v>
      </c>
      <c r="S67" s="2"/>
      <c r="T67" s="6">
        <v>239.69</v>
      </c>
      <c r="U67" s="2"/>
      <c r="V67" s="7">
        <f t="shared" si="57"/>
        <v>1.7878901009636885E-3</v>
      </c>
      <c r="W67" s="2"/>
      <c r="X67" s="6">
        <f t="shared" si="58"/>
        <v>2879.0099999999998</v>
      </c>
      <c r="Y67" s="2"/>
      <c r="Z67" s="7">
        <f t="shared" si="59"/>
        <v>12.01138971171096</v>
      </c>
    </row>
    <row r="68" spans="1:26" s="24" customFormat="1" hidden="1" outlineLevel="2" x14ac:dyDescent="0.25">
      <c r="A68" s="28"/>
      <c r="B68" s="11" t="str">
        <f>CONCATENATE("          ", "6241", " - ", "OFFICE EXPENSE")</f>
        <v xml:space="preserve">          6241 - OFFICE EXPENSE</v>
      </c>
      <c r="C68" s="11"/>
      <c r="D68" s="6">
        <v>482.31</v>
      </c>
      <c r="E68" s="2"/>
      <c r="F68" s="7">
        <f t="shared" si="52"/>
        <v>4.0666999157250201E-3</v>
      </c>
      <c r="G68" s="2"/>
      <c r="H68" s="6">
        <v>9.41</v>
      </c>
      <c r="I68" s="2"/>
      <c r="J68" s="7">
        <f t="shared" si="53"/>
        <v>8.4939611185996176E-5</v>
      </c>
      <c r="K68" s="2"/>
      <c r="L68" s="6">
        <f t="shared" si="54"/>
        <v>472.9</v>
      </c>
      <c r="M68" s="2"/>
      <c r="N68" s="7">
        <f t="shared" si="55"/>
        <v>50.255047821466519</v>
      </c>
      <c r="O68" s="11"/>
      <c r="P68" s="6">
        <v>668.18</v>
      </c>
      <c r="Q68" s="2"/>
      <c r="R68" s="7">
        <f t="shared" si="56"/>
        <v>3.904704819264083E-3</v>
      </c>
      <c r="S68" s="2"/>
      <c r="T68" s="6">
        <v>192.75</v>
      </c>
      <c r="U68" s="2"/>
      <c r="V68" s="7">
        <f t="shared" si="57"/>
        <v>1.4377563392746922E-3</v>
      </c>
      <c r="W68" s="2"/>
      <c r="X68" s="6">
        <f t="shared" si="58"/>
        <v>475.42999999999995</v>
      </c>
      <c r="Y68" s="2"/>
      <c r="Z68" s="7">
        <f t="shared" si="59"/>
        <v>2.4665629053177689</v>
      </c>
    </row>
    <row r="69" spans="1:26" s="24" customFormat="1" hidden="1" outlineLevel="2" x14ac:dyDescent="0.25">
      <c r="A69" s="28"/>
      <c r="B69" s="11" t="str">
        <f>CONCATENATE("          ", "6243", " - ", "PAPER SUPPLIES")</f>
        <v xml:space="preserve">          6243 - PAPER SUPPLIES</v>
      </c>
      <c r="C69" s="11"/>
      <c r="D69" s="6">
        <v>255.85</v>
      </c>
      <c r="E69" s="2"/>
      <c r="F69" s="7">
        <f t="shared" si="52"/>
        <v>2.1572539931542915E-3</v>
      </c>
      <c r="G69" s="2"/>
      <c r="H69" s="6">
        <v>1000.09</v>
      </c>
      <c r="I69" s="2"/>
      <c r="J69" s="7">
        <f t="shared" si="53"/>
        <v>9.0273385495220956E-3</v>
      </c>
      <c r="K69" s="2"/>
      <c r="L69" s="6">
        <f t="shared" si="54"/>
        <v>-744.24</v>
      </c>
      <c r="M69" s="2"/>
      <c r="N69" s="7">
        <f t="shared" si="55"/>
        <v>-0.74417302442780153</v>
      </c>
      <c r="O69" s="11"/>
      <c r="P69" s="6">
        <v>2299.34</v>
      </c>
      <c r="Q69" s="2"/>
      <c r="R69" s="7">
        <f t="shared" si="56"/>
        <v>1.3436864286759075E-2</v>
      </c>
      <c r="S69" s="2"/>
      <c r="T69" s="6">
        <v>2109.31</v>
      </c>
      <c r="U69" s="2"/>
      <c r="V69" s="7">
        <f t="shared" si="57"/>
        <v>1.5733716337201043E-2</v>
      </c>
      <c r="W69" s="2"/>
      <c r="X69" s="6">
        <f t="shared" si="58"/>
        <v>190.0300000000002</v>
      </c>
      <c r="Y69" s="2"/>
      <c r="Z69" s="7">
        <f t="shared" si="59"/>
        <v>9.0091072436009972E-2</v>
      </c>
    </row>
    <row r="70" spans="1:26" s="24" customFormat="1" hidden="1" outlineLevel="2" x14ac:dyDescent="0.25">
      <c r="A70" s="28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23.01</v>
      </c>
      <c r="Q70" s="2"/>
      <c r="R70" s="7">
        <f t="shared" si="56"/>
        <v>1.3446564981182699E-4</v>
      </c>
      <c r="S70" s="2"/>
      <c r="T70" s="6"/>
      <c r="U70" s="2"/>
      <c r="V70" s="7">
        <f t="shared" si="57"/>
        <v>0</v>
      </c>
      <c r="W70" s="2"/>
      <c r="X70" s="6">
        <f t="shared" si="58"/>
        <v>23.01</v>
      </c>
      <c r="Y70" s="2"/>
      <c r="Z70" s="7">
        <f t="shared" si="59"/>
        <v>0</v>
      </c>
    </row>
    <row r="71" spans="1:26" s="24" customFormat="1" hidden="1" outlineLevel="2" x14ac:dyDescent="0.25">
      <c r="A71" s="28"/>
      <c r="B71" s="11" t="str">
        <f>CONCATENATE("          ", "6247", " - ", "STORE SUPPLIES")</f>
        <v xml:space="preserve">          6247 - STORE SUPPLIES</v>
      </c>
      <c r="C71" s="11"/>
      <c r="D71" s="6">
        <v>291.55</v>
      </c>
      <c r="E71" s="2"/>
      <c r="F71" s="7">
        <f t="shared" si="52"/>
        <v>2.4582661782455882E-3</v>
      </c>
      <c r="G71" s="2"/>
      <c r="H71" s="6"/>
      <c r="I71" s="2"/>
      <c r="J71" s="7">
        <f t="shared" si="53"/>
        <v>0</v>
      </c>
      <c r="K71" s="2"/>
      <c r="L71" s="6">
        <f t="shared" si="54"/>
        <v>291.55</v>
      </c>
      <c r="M71" s="2"/>
      <c r="N71" s="7">
        <f t="shared" si="55"/>
        <v>0</v>
      </c>
      <c r="O71" s="11"/>
      <c r="P71" s="6">
        <v>-679.25</v>
      </c>
      <c r="Q71" s="2"/>
      <c r="R71" s="7">
        <f t="shared" si="56"/>
        <v>-3.9693955947276609E-3</v>
      </c>
      <c r="S71" s="2"/>
      <c r="T71" s="6">
        <v>55.48</v>
      </c>
      <c r="U71" s="2"/>
      <c r="V71" s="7">
        <f t="shared" si="57"/>
        <v>4.1383513205167269E-4</v>
      </c>
      <c r="W71" s="2"/>
      <c r="X71" s="6">
        <f t="shared" si="58"/>
        <v>-734.73</v>
      </c>
      <c r="Y71" s="2"/>
      <c r="Z71" s="7">
        <f t="shared" si="59"/>
        <v>-13.243150684931507</v>
      </c>
    </row>
    <row r="72" spans="1:26" s="24" customFormat="1" hidden="1" outlineLevel="2" x14ac:dyDescent="0.25">
      <c r="A72" s="28"/>
      <c r="B72" s="11" t="str">
        <f>CONCATENATE("          ", "6248", " - ", "UNIFORMS")</f>
        <v xml:space="preserve">          6248 - UNIFORMS</v>
      </c>
      <c r="C72" s="11"/>
      <c r="D72" s="6"/>
      <c r="E72" s="2"/>
      <c r="F72" s="7">
        <f t="shared" si="52"/>
        <v>0</v>
      </c>
      <c r="G72" s="2"/>
      <c r="H72" s="6"/>
      <c r="I72" s="2"/>
      <c r="J72" s="7">
        <f t="shared" si="53"/>
        <v>0</v>
      </c>
      <c r="K72" s="2"/>
      <c r="L72" s="6">
        <f t="shared" si="54"/>
        <v>0</v>
      </c>
      <c r="M72" s="2"/>
      <c r="N72" s="7">
        <f t="shared" si="55"/>
        <v>0</v>
      </c>
      <c r="O72" s="11"/>
      <c r="P72" s="6">
        <v>17.600000000000001</v>
      </c>
      <c r="Q72" s="2"/>
      <c r="R72" s="7">
        <f t="shared" si="56"/>
        <v>1.0285073605772079E-4</v>
      </c>
      <c r="S72" s="2"/>
      <c r="T72" s="6">
        <v>346.99</v>
      </c>
      <c r="U72" s="2"/>
      <c r="V72" s="7">
        <f t="shared" si="57"/>
        <v>2.5882597777687442E-3</v>
      </c>
      <c r="W72" s="2"/>
      <c r="X72" s="6">
        <f t="shared" si="58"/>
        <v>-329.39</v>
      </c>
      <c r="Y72" s="2"/>
      <c r="Z72" s="7">
        <f t="shared" si="59"/>
        <v>-0.9492780771780166</v>
      </c>
    </row>
    <row r="73" spans="1:26" s="29" customFormat="1" outlineLevel="1" collapsed="1" x14ac:dyDescent="0.25">
      <c r="A73" s="27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SUM(OSRRefD22_15x_0)</f>
        <v>100</v>
      </c>
      <c r="E73" s="1"/>
      <c r="F73" s="5">
        <f t="shared" ref="F73:F78" si="60">IF(D$12=0,0,D73/D$12)</f>
        <v>8.4317138681035424E-4</v>
      </c>
      <c r="G73" s="1"/>
      <c r="H73" s="1">
        <f>SUM(OSRRefH22_15x_0)</f>
        <v>100</v>
      </c>
      <c r="I73" s="1"/>
      <c r="J73" s="5">
        <f t="shared" ref="J73:J78" si="61">IF(H$12=0,0,H73/H$12)</f>
        <v>9.0265261621675003E-4</v>
      </c>
      <c r="K73" s="1"/>
      <c r="L73" s="1">
        <f t="shared" ref="L73:L78" si="62">+D73-H73</f>
        <v>0</v>
      </c>
      <c r="M73" s="1"/>
      <c r="N73" s="5">
        <f t="shared" ref="N73:N78" si="63">IF(H73=0,0,L73/H73)</f>
        <v>0</v>
      </c>
      <c r="O73" s="14"/>
      <c r="P73" s="1">
        <f>SUM(OSRRefP22_15x_0)</f>
        <v>267.95</v>
      </c>
      <c r="Q73" s="1"/>
      <c r="R73" s="5">
        <f t="shared" ref="R73:R78" si="64">IF(P$12=0,0,P73/P$12)</f>
        <v>1.5658440185605841E-3</v>
      </c>
      <c r="S73" s="1"/>
      <c r="T73" s="1">
        <f>SUM(OSRRefT22_15x_0)</f>
        <v>217.05</v>
      </c>
      <c r="U73" s="1"/>
      <c r="V73" s="5">
        <f t="shared" ref="V73:V78" si="65">IF(T$12=0,0,T73/T$12)</f>
        <v>1.6190143369108792E-3</v>
      </c>
      <c r="W73" s="1"/>
      <c r="X73" s="1">
        <f t="shared" ref="X73:X78" si="66">+P73-T73</f>
        <v>50.899999999999977</v>
      </c>
      <c r="Y73" s="1"/>
      <c r="Z73" s="5">
        <f t="shared" ref="Z73:Z78" si="67">IF(T73=0,0,X73/T73)</f>
        <v>0.23450817783920744</v>
      </c>
    </row>
    <row r="74" spans="1:26" s="24" customFormat="1" hidden="1" outlineLevel="2" x14ac:dyDescent="0.25">
      <c r="A74" s="28"/>
      <c r="B74" s="11" t="str">
        <f>CONCATENATE("          ", "6309", " - ", "TELEPHONE")</f>
        <v xml:space="preserve">          6309 - TELEPHONE</v>
      </c>
      <c r="C74" s="11"/>
      <c r="D74" s="6">
        <v>100</v>
      </c>
      <c r="E74" s="2"/>
      <c r="F74" s="7">
        <f t="shared" si="60"/>
        <v>8.4317138681035424E-4</v>
      </c>
      <c r="G74" s="2"/>
      <c r="H74" s="6">
        <v>100</v>
      </c>
      <c r="I74" s="2"/>
      <c r="J74" s="7">
        <f t="shared" si="61"/>
        <v>9.0265261621675003E-4</v>
      </c>
      <c r="K74" s="2"/>
      <c r="L74" s="6">
        <f t="shared" si="62"/>
        <v>0</v>
      </c>
      <c r="M74" s="2"/>
      <c r="N74" s="7">
        <f t="shared" si="63"/>
        <v>0</v>
      </c>
      <c r="O74" s="11"/>
      <c r="P74" s="6">
        <v>267.95</v>
      </c>
      <c r="Q74" s="2"/>
      <c r="R74" s="7">
        <f t="shared" si="64"/>
        <v>1.5658440185605841E-3</v>
      </c>
      <c r="S74" s="2"/>
      <c r="T74" s="6">
        <v>217.05</v>
      </c>
      <c r="U74" s="2"/>
      <c r="V74" s="7">
        <f t="shared" si="65"/>
        <v>1.6190143369108792E-3</v>
      </c>
      <c r="W74" s="2"/>
      <c r="X74" s="6">
        <f t="shared" si="66"/>
        <v>50.899999999999977</v>
      </c>
      <c r="Y74" s="2"/>
      <c r="Z74" s="7">
        <f t="shared" si="67"/>
        <v>0.23450817783920744</v>
      </c>
    </row>
    <row r="75" spans="1:26" s="29" customFormat="1" outlineLevel="1" collapsed="1" x14ac:dyDescent="0.25">
      <c r="A75" s="27"/>
      <c r="B75" s="14" t="str">
        <f>CONCATENATE("     ","Training                                          ")</f>
        <v xml:space="preserve">     Training                                          </v>
      </c>
      <c r="C75" s="14"/>
      <c r="D75" s="1">
        <f>SUM(OSRRefD22_16x_0)</f>
        <v>142.69999999999999</v>
      </c>
      <c r="E75" s="1"/>
      <c r="F75" s="5">
        <f t="shared" si="60"/>
        <v>1.2032055689783754E-3</v>
      </c>
      <c r="G75" s="1"/>
      <c r="H75" s="1">
        <f>SUM(OSRRefH22_16x_0)</f>
        <v>80</v>
      </c>
      <c r="I75" s="1"/>
      <c r="J75" s="5">
        <f t="shared" si="61"/>
        <v>7.2212209297339998E-4</v>
      </c>
      <c r="K75" s="1"/>
      <c r="L75" s="1">
        <f t="shared" si="62"/>
        <v>62.699999999999989</v>
      </c>
      <c r="M75" s="1"/>
      <c r="N75" s="5">
        <f t="shared" si="63"/>
        <v>0.78374999999999984</v>
      </c>
      <c r="O75" s="14"/>
      <c r="P75" s="1">
        <f>SUM(OSRRefP22_16x_0)</f>
        <v>380.65</v>
      </c>
      <c r="Q75" s="1"/>
      <c r="R75" s="5">
        <f t="shared" si="64"/>
        <v>2.2244393568392846E-3</v>
      </c>
      <c r="S75" s="1"/>
      <c r="T75" s="1">
        <f>SUM(OSRRefT22_16x_0)</f>
        <v>175.16</v>
      </c>
      <c r="U75" s="1"/>
      <c r="V75" s="5">
        <f t="shared" si="65"/>
        <v>1.3065494183520368E-3</v>
      </c>
      <c r="W75" s="1"/>
      <c r="X75" s="1">
        <f t="shared" si="66"/>
        <v>205.48999999999998</v>
      </c>
      <c r="Y75" s="1"/>
      <c r="Z75" s="5">
        <f t="shared" si="67"/>
        <v>1.1731559716830327</v>
      </c>
    </row>
    <row r="76" spans="1:26" s="24" customFormat="1" hidden="1" outlineLevel="2" x14ac:dyDescent="0.25">
      <c r="A76" s="28"/>
      <c r="B76" s="11" t="str">
        <f>CONCATENATE("          ", "6376", " - ", "TRAINING")</f>
        <v xml:space="preserve">          6376 - TRAINING</v>
      </c>
      <c r="C76" s="11"/>
      <c r="D76" s="6">
        <v>142.69999999999999</v>
      </c>
      <c r="E76" s="2"/>
      <c r="F76" s="7">
        <f t="shared" si="60"/>
        <v>1.2032055689783754E-3</v>
      </c>
      <c r="G76" s="2"/>
      <c r="H76" s="6">
        <v>80</v>
      </c>
      <c r="I76" s="2"/>
      <c r="J76" s="7">
        <f t="shared" si="61"/>
        <v>7.2212209297339998E-4</v>
      </c>
      <c r="K76" s="2"/>
      <c r="L76" s="6">
        <f t="shared" si="62"/>
        <v>62.699999999999989</v>
      </c>
      <c r="M76" s="2"/>
      <c r="N76" s="7">
        <f t="shared" si="63"/>
        <v>0.78374999999999984</v>
      </c>
      <c r="O76" s="11"/>
      <c r="P76" s="6">
        <v>380.65</v>
      </c>
      <c r="Q76" s="2"/>
      <c r="R76" s="7">
        <f t="shared" si="64"/>
        <v>2.2244393568392846E-3</v>
      </c>
      <c r="S76" s="2"/>
      <c r="T76" s="6">
        <v>175.16</v>
      </c>
      <c r="U76" s="2"/>
      <c r="V76" s="7">
        <f t="shared" si="65"/>
        <v>1.3065494183520368E-3</v>
      </c>
      <c r="W76" s="2"/>
      <c r="X76" s="6">
        <f t="shared" si="66"/>
        <v>205.48999999999998</v>
      </c>
      <c r="Y76" s="2"/>
      <c r="Z76" s="7">
        <f t="shared" si="67"/>
        <v>1.1731559716830327</v>
      </c>
    </row>
    <row r="77" spans="1:26" s="29" customFormat="1" outlineLevel="1" collapsed="1" x14ac:dyDescent="0.25">
      <c r="A77" s="27"/>
      <c r="B77" s="14" t="str">
        <f>CONCATENATE("     ","Utilities                                         ")</f>
        <v xml:space="preserve">     Utilities                                         </v>
      </c>
      <c r="C77" s="14"/>
      <c r="D77" s="1">
        <f>SUM(OSRRefD22_17x_0)</f>
        <v>400</v>
      </c>
      <c r="E77" s="1"/>
      <c r="F77" s="5">
        <f t="shared" si="60"/>
        <v>3.3726855472414169E-3</v>
      </c>
      <c r="G77" s="1"/>
      <c r="H77" s="1">
        <f>SUM(OSRRefH22_17x_0)</f>
        <v>228</v>
      </c>
      <c r="I77" s="1"/>
      <c r="J77" s="5">
        <f t="shared" si="61"/>
        <v>2.0580479649741899E-3</v>
      </c>
      <c r="K77" s="1"/>
      <c r="L77" s="1">
        <f t="shared" si="62"/>
        <v>172</v>
      </c>
      <c r="M77" s="1"/>
      <c r="N77" s="5">
        <f t="shared" si="63"/>
        <v>0.75438596491228072</v>
      </c>
      <c r="O77" s="14"/>
      <c r="P77" s="1">
        <f>SUM(OSRRefP22_17x_0)</f>
        <v>706</v>
      </c>
      <c r="Q77" s="1"/>
      <c r="R77" s="5">
        <f t="shared" si="64"/>
        <v>4.1257170259517539E-3</v>
      </c>
      <c r="S77" s="1"/>
      <c r="T77" s="1">
        <f>SUM(OSRRefT22_17x_0)</f>
        <v>918</v>
      </c>
      <c r="U77" s="1"/>
      <c r="V77" s="5">
        <f t="shared" si="65"/>
        <v>6.8475243551448369E-3</v>
      </c>
      <c r="W77" s="1"/>
      <c r="X77" s="1">
        <f t="shared" si="66"/>
        <v>-212</v>
      </c>
      <c r="Y77" s="1"/>
      <c r="Z77" s="5">
        <f t="shared" si="67"/>
        <v>-0.23093681917211328</v>
      </c>
    </row>
    <row r="78" spans="1:26" s="24" customFormat="1" hidden="1" outlineLevel="2" x14ac:dyDescent="0.25">
      <c r="A78" s="28"/>
      <c r="B78" s="11" t="str">
        <f>CONCATENATE("          ", "6274", " - ", "UTILITIES")</f>
        <v xml:space="preserve">          6274 - UTILITIES</v>
      </c>
      <c r="C78" s="11"/>
      <c r="D78" s="6">
        <v>400</v>
      </c>
      <c r="E78" s="2"/>
      <c r="F78" s="7">
        <f t="shared" si="60"/>
        <v>3.3726855472414169E-3</v>
      </c>
      <c r="G78" s="2"/>
      <c r="H78" s="6">
        <v>228</v>
      </c>
      <c r="I78" s="2"/>
      <c r="J78" s="7">
        <f t="shared" si="61"/>
        <v>2.0580479649741899E-3</v>
      </c>
      <c r="K78" s="2"/>
      <c r="L78" s="6">
        <f t="shared" si="62"/>
        <v>172</v>
      </c>
      <c r="M78" s="2"/>
      <c r="N78" s="7">
        <f t="shared" si="63"/>
        <v>0.75438596491228072</v>
      </c>
      <c r="O78" s="11"/>
      <c r="P78" s="6">
        <v>706</v>
      </c>
      <c r="Q78" s="2"/>
      <c r="R78" s="7">
        <f t="shared" si="64"/>
        <v>4.1257170259517539E-3</v>
      </c>
      <c r="S78" s="2"/>
      <c r="T78" s="6">
        <v>918</v>
      </c>
      <c r="U78" s="2"/>
      <c r="V78" s="7">
        <f t="shared" si="65"/>
        <v>6.8475243551448369E-3</v>
      </c>
      <c r="W78" s="2"/>
      <c r="X78" s="6">
        <f t="shared" si="66"/>
        <v>-212</v>
      </c>
      <c r="Y78" s="2"/>
      <c r="Z78" s="7">
        <f t="shared" si="67"/>
        <v>-0.23093681917211328</v>
      </c>
    </row>
    <row r="79" spans="1:26" s="53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5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6" t="s">
        <v>3</v>
      </c>
      <c r="C82" s="26"/>
      <c r="D82" s="21">
        <f>+D20-D22+D80</f>
        <v>-4713.1700000000055</v>
      </c>
      <c r="E82" s="13"/>
      <c r="F82" s="20">
        <f>IF(D$12=0,0,D82/D$12)</f>
        <v>-3.9740100851729618E-2</v>
      </c>
      <c r="G82" s="13"/>
      <c r="H82" s="21">
        <f>+H20-H22+H80</f>
        <v>26741.950000000004</v>
      </c>
      <c r="I82" s="13"/>
      <c r="J82" s="20">
        <f>IF(H$12=0,0,H82/H$12)</f>
        <v>0.24138691130237522</v>
      </c>
      <c r="K82" s="15"/>
      <c r="L82" s="21">
        <f>+D82-H82</f>
        <v>-31455.12000000001</v>
      </c>
      <c r="M82" s="15"/>
      <c r="N82" s="20">
        <f>IF(H82=0,0,L82/H82)</f>
        <v>-1.1762463096371059</v>
      </c>
      <c r="O82" s="25"/>
      <c r="P82" s="21">
        <f>+P20-P22+P80</f>
        <v>-59063.680000000037</v>
      </c>
      <c r="Q82" s="13"/>
      <c r="R82" s="20">
        <f>IF(P$12=0,0,P82/P$12)</f>
        <v>-0.34515585012941391</v>
      </c>
      <c r="S82" s="13"/>
      <c r="T82" s="21">
        <f>+T20-T22+T80</f>
        <v>-11891.840000000026</v>
      </c>
      <c r="U82" s="13"/>
      <c r="V82" s="20">
        <f>IF(T$12=0,0,T82/T$12)</f>
        <v>-8.870333772057272E-2</v>
      </c>
      <c r="W82" s="15"/>
      <c r="X82" s="21">
        <f>+P82-T82</f>
        <v>-47171.840000000011</v>
      </c>
      <c r="Y82" s="15"/>
      <c r="Z82" s="20">
        <f>IF(T82=0,0,X82/T82)</f>
        <v>3.966740218502764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13</v>
      </c>
      <c r="C84" s="10"/>
      <c r="D84" s="4">
        <v>11832.22</v>
      </c>
      <c r="E84" s="4"/>
      <c r="F84" s="12">
        <f>IF(D$12=0,0,D84/D$12)</f>
        <v>9.9765893464452096E-2</v>
      </c>
      <c r="G84" s="4"/>
      <c r="H84" s="4">
        <v>9534.49</v>
      </c>
      <c r="I84" s="4"/>
      <c r="J84" s="12">
        <f>IF(H$12=0,0,H84/H$12)</f>
        <v>8.6063323427924401E-2</v>
      </c>
      <c r="K84" s="4"/>
      <c r="L84" s="4">
        <f>+D84-H84</f>
        <v>2297.7299999999996</v>
      </c>
      <c r="M84" s="4"/>
      <c r="N84" s="12">
        <f>IF(H84=0,0,L84/H84)</f>
        <v>0.24099139020545404</v>
      </c>
      <c r="O84" s="10"/>
      <c r="P84" s="4">
        <v>18380.75</v>
      </c>
      <c r="Q84" s="4"/>
      <c r="R84" s="12">
        <f>IF(P$12=0,0,P84/P$12)</f>
        <v>0.10741327652232677</v>
      </c>
      <c r="S84" s="4"/>
      <c r="T84" s="4">
        <v>11911.11</v>
      </c>
      <c r="U84" s="4"/>
      <c r="V84" s="12">
        <f>IF(T$12=0,0,T84/T$12)</f>
        <v>8.884707605861572E-2</v>
      </c>
      <c r="W84" s="4"/>
      <c r="X84" s="4">
        <f>+P84-T84</f>
        <v>6469.6399999999994</v>
      </c>
      <c r="Y84" s="4"/>
      <c r="Z84" s="12">
        <f>IF(T84=0,0,X84/T84)</f>
        <v>0.54316012529478774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6" t="s">
        <v>4</v>
      </c>
      <c r="C86" s="26"/>
      <c r="D86" s="35">
        <f>+D82-D84</f>
        <v>-16545.390000000007</v>
      </c>
      <c r="E86" s="13"/>
      <c r="F86" s="30">
        <f>IF(D$12=0,0,D86/D$12)</f>
        <v>-0.13950599431618174</v>
      </c>
      <c r="G86" s="13"/>
      <c r="H86" s="35">
        <f>+H82-H84</f>
        <v>17207.460000000006</v>
      </c>
      <c r="I86" s="13"/>
      <c r="J86" s="30">
        <f>IF(H$12=0,0,H86/H$12)</f>
        <v>0.15532358787445083</v>
      </c>
      <c r="K86" s="15"/>
      <c r="L86" s="35">
        <f>D86-H86</f>
        <v>-33752.850000000013</v>
      </c>
      <c r="M86" s="15"/>
      <c r="N86" s="30">
        <f>IF(H86=0,0,L86/H86)</f>
        <v>-1.9615242458794035</v>
      </c>
      <c r="O86" s="25"/>
      <c r="P86" s="35">
        <f>+P82-P84</f>
        <v>-77444.430000000037</v>
      </c>
      <c r="Q86" s="13"/>
      <c r="R86" s="30">
        <f>IF(P$12=0,0,P86/P$12)</f>
        <v>-0.45256912665174071</v>
      </c>
      <c r="S86" s="13"/>
      <c r="T86" s="35">
        <f>+T82-T84</f>
        <v>-23802.950000000026</v>
      </c>
      <c r="U86" s="13"/>
      <c r="V86" s="30">
        <f>IF(T$12=0,0,T86/T$12)</f>
        <v>-0.17755041377918843</v>
      </c>
      <c r="W86" s="15"/>
      <c r="X86" s="35">
        <f>P86-T86</f>
        <v>-53641.48000000001</v>
      </c>
      <c r="Y86" s="15"/>
      <c r="Z86" s="30">
        <f>IF(T86=0,0,X86/T86)</f>
        <v>2.2535643691223126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6" t="s">
        <v>5</v>
      </c>
      <c r="C89" s="26"/>
      <c r="D89" s="36">
        <f>SUM(D86:D88)</f>
        <v>-16545.390000000007</v>
      </c>
      <c r="E89" s="13"/>
      <c r="F89" s="31">
        <f>IF(D$12=0,0,D89/D$12)</f>
        <v>-0.13950599431618174</v>
      </c>
      <c r="G89" s="13"/>
      <c r="H89" s="36">
        <f>SUM(H86:H88)</f>
        <v>17207.460000000006</v>
      </c>
      <c r="I89" s="13"/>
      <c r="J89" s="31">
        <f>IF(H$12=0,0,H89/H$12)</f>
        <v>0.15532358787445083</v>
      </c>
      <c r="K89" s="15"/>
      <c r="L89" s="36">
        <f>+D89-H89</f>
        <v>-33752.850000000013</v>
      </c>
      <c r="M89" s="15"/>
      <c r="N89" s="31">
        <f>IF(H89=0,0,L89/H89)</f>
        <v>-1.9615242458794035</v>
      </c>
      <c r="O89" s="25"/>
      <c r="P89" s="36">
        <f>SUM(P86:P88)</f>
        <v>-77444.430000000037</v>
      </c>
      <c r="Q89" s="13"/>
      <c r="R89" s="31">
        <f>IF(P$12=0,0,P89/P$12)</f>
        <v>-0.45256912665174071</v>
      </c>
      <c r="S89" s="13"/>
      <c r="T89" s="36">
        <f>SUM(T86:T88)</f>
        <v>-23802.950000000026</v>
      </c>
      <c r="U89" s="13"/>
      <c r="V89" s="31">
        <f>IF(T$12=0,0,T89/T$12)</f>
        <v>-0.17755041377918843</v>
      </c>
      <c r="W89" s="15"/>
      <c r="X89" s="36">
        <f>+P89-T89</f>
        <v>-53641.48000000001</v>
      </c>
      <c r="Y89" s="15"/>
      <c r="Z89" s="31">
        <f>IF(T89=0,0,X89/T89)</f>
        <v>2.2535643691223126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5">
        <v>43756.463258217591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6" t="s">
        <v>313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7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8" sqref="D18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","406", " - ", "OPA! Greek")</f>
        <v>Department 406 - OPA! Greek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40021.279999999999</v>
      </c>
      <c r="E12" s="4"/>
      <c r="F12" s="12"/>
      <c r="G12" s="4"/>
      <c r="H12" s="4">
        <f>SUM(OSRRefH13x_0)</f>
        <v>35949.910000000003</v>
      </c>
      <c r="I12" s="4"/>
      <c r="J12" s="12"/>
      <c r="K12" s="4"/>
      <c r="L12" s="4">
        <f t="shared" ref="L12:L14" si="0">+D12-H12</f>
        <v>4071.3699999999953</v>
      </c>
      <c r="M12" s="4"/>
      <c r="N12" s="12">
        <f t="shared" ref="N12:N14" si="1">IF(H12=0,0,L12/H12)</f>
        <v>0.11325118755512865</v>
      </c>
      <c r="O12" s="10"/>
      <c r="P12" s="4">
        <f>SUM(OSRRefP13x_0)</f>
        <v>55741.31</v>
      </c>
      <c r="Q12" s="4"/>
      <c r="R12" s="12"/>
      <c r="S12" s="4"/>
      <c r="T12" s="4">
        <f>SUM(OSRRefT13x_0)</f>
        <v>49643.340000000004</v>
      </c>
      <c r="U12" s="4"/>
      <c r="V12" s="12"/>
      <c r="W12" s="4"/>
      <c r="X12" s="4">
        <f t="shared" ref="X12:X14" si="2">+P12-T12</f>
        <v>6097.9699999999939</v>
      </c>
      <c r="Y12" s="4"/>
      <c r="Z12" s="12">
        <f t="shared" ref="Z12:Z14" si="3">IF(T12=0,0,X12/T12)</f>
        <v>0.12283561098024415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--10594.32</f>
        <v>10594.32</v>
      </c>
      <c r="E13" s="2"/>
      <c r="F13" s="19"/>
      <c r="G13" s="2"/>
      <c r="H13" s="2">
        <f>--9807.62</f>
        <v>9807.6200000000008</v>
      </c>
      <c r="I13" s="2"/>
      <c r="J13" s="19"/>
      <c r="K13" s="2"/>
      <c r="L13" s="2">
        <f t="shared" si="0"/>
        <v>786.69999999999891</v>
      </c>
      <c r="M13" s="2"/>
      <c r="N13" s="19">
        <f t="shared" si="1"/>
        <v>8.0213140394917309E-2</v>
      </c>
      <c r="O13" s="11"/>
      <c r="P13" s="2">
        <f>--14489.25</f>
        <v>14489.25</v>
      </c>
      <c r="Q13" s="2"/>
      <c r="R13" s="19"/>
      <c r="S13" s="2"/>
      <c r="T13" s="2">
        <f>--13397.37</f>
        <v>13397.37</v>
      </c>
      <c r="U13" s="2"/>
      <c r="V13" s="19"/>
      <c r="W13" s="2"/>
      <c r="X13" s="2">
        <f t="shared" si="2"/>
        <v>1091.8799999999992</v>
      </c>
      <c r="Y13" s="2"/>
      <c r="Z13" s="19">
        <f t="shared" si="3"/>
        <v>8.1499577902230003E-2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--29426.96</f>
        <v>29426.959999999999</v>
      </c>
      <c r="E14" s="2"/>
      <c r="F14" s="19"/>
      <c r="G14" s="2"/>
      <c r="H14" s="2">
        <f>--26142.29</f>
        <v>26142.29</v>
      </c>
      <c r="I14" s="2"/>
      <c r="J14" s="19"/>
      <c r="K14" s="2"/>
      <c r="L14" s="2">
        <f t="shared" si="0"/>
        <v>3284.6699999999983</v>
      </c>
      <c r="M14" s="2"/>
      <c r="N14" s="19">
        <f t="shared" si="1"/>
        <v>0.12564584051358921</v>
      </c>
      <c r="O14" s="11"/>
      <c r="P14" s="2">
        <f>--41252.06</f>
        <v>41252.06</v>
      </c>
      <c r="Q14" s="2"/>
      <c r="R14" s="19"/>
      <c r="S14" s="2"/>
      <c r="T14" s="2">
        <f>--36245.97</f>
        <v>36245.97</v>
      </c>
      <c r="U14" s="2"/>
      <c r="V14" s="19"/>
      <c r="W14" s="2"/>
      <c r="X14" s="2">
        <f t="shared" si="2"/>
        <v>5006.0899999999965</v>
      </c>
      <c r="Y14" s="2"/>
      <c r="Z14" s="19">
        <f t="shared" si="3"/>
        <v>0.1381143889927624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8</v>
      </c>
      <c r="C16" s="10"/>
      <c r="D16" s="4">
        <f>SUM(OSRRefD16x_0)</f>
        <v>13715.14</v>
      </c>
      <c r="E16" s="4"/>
      <c r="F16" s="12">
        <f t="shared" ref="F16:F18" si="4">IF(D$12=0,0,D16/D$12)</f>
        <v>0.34269618562924525</v>
      </c>
      <c r="G16" s="4"/>
      <c r="H16" s="4">
        <f>SUM(OSRRefH16x_0)</f>
        <v>11503.93</v>
      </c>
      <c r="I16" s="4"/>
      <c r="J16" s="12">
        <f t="shared" ref="J16:J18" si="5">IF(H$12=0,0,H16/H$12)</f>
        <v>0.31999885396096955</v>
      </c>
      <c r="K16" s="4"/>
      <c r="L16" s="4">
        <f t="shared" ref="L16:L18" si="6">+D16-H16</f>
        <v>2211.2099999999991</v>
      </c>
      <c r="M16" s="4"/>
      <c r="N16" s="12">
        <f t="shared" ref="N16:N18" si="7">IF(H16=0,0,L16/H16)</f>
        <v>0.19221344357971573</v>
      </c>
      <c r="O16" s="10"/>
      <c r="P16" s="4">
        <f>SUM(OSRRefP16x_0)</f>
        <v>18745.830000000002</v>
      </c>
      <c r="Q16" s="4"/>
      <c r="R16" s="12">
        <f t="shared" ref="R16:R18" si="8">IF(P$12=0,0,P16/P$12)</f>
        <v>0.33630049239962251</v>
      </c>
      <c r="S16" s="4"/>
      <c r="T16" s="4">
        <f>SUM(OSRRefT16x_0)</f>
        <v>15885.98</v>
      </c>
      <c r="U16" s="4"/>
      <c r="V16" s="12">
        <f t="shared" ref="V16:V18" si="9">IF(T$12=0,0,T16/T$12)</f>
        <v>0.32000223997821253</v>
      </c>
      <c r="W16" s="4"/>
      <c r="X16" s="4">
        <f t="shared" ref="X16:X18" si="10">+P16-T16</f>
        <v>2859.8500000000022</v>
      </c>
      <c r="Y16" s="4"/>
      <c r="Z16" s="12">
        <f t="shared" ref="Z16:Z18" si="11">IF(T16=0,0,X16/T16)</f>
        <v>0.18002351759224186</v>
      </c>
    </row>
    <row r="17" spans="1:26" s="24" customFormat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12440.14</v>
      </c>
      <c r="E17" s="2"/>
      <c r="F17" s="19">
        <f t="shared" si="4"/>
        <v>0.31083813411265204</v>
      </c>
      <c r="G17" s="2"/>
      <c r="H17" s="2">
        <v>10698.93</v>
      </c>
      <c r="I17" s="2"/>
      <c r="J17" s="19">
        <f t="shared" si="5"/>
        <v>0.29760658649771304</v>
      </c>
      <c r="K17" s="2"/>
      <c r="L17" s="2">
        <f t="shared" si="6"/>
        <v>1741.2099999999991</v>
      </c>
      <c r="M17" s="2"/>
      <c r="N17" s="19">
        <f t="shared" si="7"/>
        <v>0.162746181160172</v>
      </c>
      <c r="O17" s="11"/>
      <c r="P17" s="2">
        <v>22830.83</v>
      </c>
      <c r="Q17" s="2"/>
      <c r="R17" s="19">
        <f t="shared" si="8"/>
        <v>0.40958545825349285</v>
      </c>
      <c r="S17" s="2"/>
      <c r="T17" s="2">
        <v>19876.98</v>
      </c>
      <c r="U17" s="2"/>
      <c r="V17" s="19">
        <f t="shared" si="9"/>
        <v>0.40039570262597152</v>
      </c>
      <c r="W17" s="2"/>
      <c r="X17" s="2">
        <f t="shared" si="10"/>
        <v>2953.8500000000022</v>
      </c>
      <c r="Y17" s="2"/>
      <c r="Z17" s="19">
        <f t="shared" si="11"/>
        <v>0.14860657906784644</v>
      </c>
    </row>
    <row r="18" spans="1:26" s="24" customFormat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1275</v>
      </c>
      <c r="E18" s="2"/>
      <c r="F18" s="19">
        <f t="shared" si="4"/>
        <v>3.1858051516593176E-2</v>
      </c>
      <c r="G18" s="2"/>
      <c r="H18" s="2">
        <v>805</v>
      </c>
      <c r="I18" s="2"/>
      <c r="J18" s="19">
        <f t="shared" si="5"/>
        <v>2.2392267463256513E-2</v>
      </c>
      <c r="K18" s="2"/>
      <c r="L18" s="2">
        <f t="shared" si="6"/>
        <v>470</v>
      </c>
      <c r="M18" s="2"/>
      <c r="N18" s="19">
        <f t="shared" si="7"/>
        <v>0.58385093167701863</v>
      </c>
      <c r="O18" s="11"/>
      <c r="P18" s="2">
        <v>-4085</v>
      </c>
      <c r="Q18" s="2"/>
      <c r="R18" s="19">
        <f t="shared" si="8"/>
        <v>-7.3284965853870315E-2</v>
      </c>
      <c r="S18" s="2"/>
      <c r="T18" s="2">
        <v>-3991</v>
      </c>
      <c r="U18" s="2"/>
      <c r="V18" s="19">
        <f t="shared" si="9"/>
        <v>-8.0393462647758984E-2</v>
      </c>
      <c r="W18" s="2"/>
      <c r="X18" s="2">
        <f t="shared" si="10"/>
        <v>-94</v>
      </c>
      <c r="Y18" s="2"/>
      <c r="Z18" s="19">
        <f t="shared" si="11"/>
        <v>2.3552994237033324E-2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1">
        <f>D12-D16</f>
        <v>26306.14</v>
      </c>
      <c r="E20" s="13"/>
      <c r="F20" s="20">
        <f>IF(D$12=0,0,D20/D$12)</f>
        <v>0.6573038143707548</v>
      </c>
      <c r="G20" s="13"/>
      <c r="H20" s="21">
        <f>H12-H16</f>
        <v>24445.980000000003</v>
      </c>
      <c r="I20" s="13"/>
      <c r="J20" s="20">
        <f>IF(H$12=0,0,H20/H$12)</f>
        <v>0.68000114603903039</v>
      </c>
      <c r="K20" s="15"/>
      <c r="L20" s="21">
        <f>+D20-H20</f>
        <v>1860.1599999999962</v>
      </c>
      <c r="M20" s="15"/>
      <c r="N20" s="20">
        <f>IF(H20=0,0,L20/H20)</f>
        <v>7.6092674541989966E-2</v>
      </c>
      <c r="O20" s="25"/>
      <c r="P20" s="21">
        <f>P12-P16</f>
        <v>36995.479999999996</v>
      </c>
      <c r="Q20" s="13"/>
      <c r="R20" s="20">
        <f>IF(P$12=0,0,P20/P$12)</f>
        <v>0.66369950760037744</v>
      </c>
      <c r="S20" s="13"/>
      <c r="T20" s="21">
        <f>T12-T16</f>
        <v>33757.360000000001</v>
      </c>
      <c r="U20" s="13"/>
      <c r="V20" s="20">
        <f>IF(T$12=0,0,T20/T$12)</f>
        <v>0.67999776002178736</v>
      </c>
      <c r="W20" s="15"/>
      <c r="X20" s="21">
        <f>+P20-T20</f>
        <v>3238.1199999999953</v>
      </c>
      <c r="Y20" s="15"/>
      <c r="Z20" s="20">
        <f>IF(T20=0,0,X20/T20)</f>
        <v>9.5923377894479758E-2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27255.25</v>
      </c>
      <c r="E22" s="22"/>
      <c r="F22" s="34">
        <f t="shared" ref="F22:F31" si="12">IF(D$12=0,0,D22/D$12)</f>
        <v>0.68101894791970674</v>
      </c>
      <c r="G22" s="22"/>
      <c r="H22" s="22">
        <f>SUM(OSRRefH22x_0)</f>
        <v>19702.29</v>
      </c>
      <c r="I22" s="22"/>
      <c r="J22" s="34">
        <f t="shared" ref="J22:J31" si="13">IF(H$12=0,0,H22/H$12)</f>
        <v>0.54804838176229087</v>
      </c>
      <c r="K22" s="4"/>
      <c r="L22" s="22">
        <f t="shared" ref="L22:L31" si="14">+D22-H22</f>
        <v>7552.9599999999991</v>
      </c>
      <c r="M22" s="4"/>
      <c r="N22" s="34">
        <f t="shared" ref="N22:N31" si="15">IF(H22=0,0,L22/H22)</f>
        <v>0.3833544222524386</v>
      </c>
      <c r="O22" s="10"/>
      <c r="P22" s="22">
        <f>SUM(OSRRefP22x_0)</f>
        <v>59081.5</v>
      </c>
      <c r="Q22" s="22"/>
      <c r="R22" s="34">
        <f t="shared" ref="R22:R31" si="16">IF(P$12=0,0,P22/P$12)</f>
        <v>1.0599230624468639</v>
      </c>
      <c r="S22" s="22"/>
      <c r="T22" s="22">
        <f>SUM(OSRRefT22x_0)</f>
        <v>44878.749999999993</v>
      </c>
      <c r="U22" s="22"/>
      <c r="V22" s="34">
        <f t="shared" ref="V22:V31" si="17">IF(T$12=0,0,T22/T$12)</f>
        <v>0.90402358100804636</v>
      </c>
      <c r="W22" s="4"/>
      <c r="X22" s="22">
        <f t="shared" ref="X22:X31" si="18">+P22-T22</f>
        <v>14202.750000000007</v>
      </c>
      <c r="Y22" s="4"/>
      <c r="Z22" s="34">
        <f t="shared" ref="Z22:Z31" si="19">IF(T22=0,0,X22/T22)</f>
        <v>0.31646937581817697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2224.2400000000002</v>
      </c>
      <c r="E23" s="1"/>
      <c r="F23" s="5">
        <f t="shared" si="12"/>
        <v>5.5576433337464475E-2</v>
      </c>
      <c r="G23" s="1"/>
      <c r="H23" s="1">
        <f>SUM(OSRRefH22_0x_0)</f>
        <v>1367.44</v>
      </c>
      <c r="I23" s="1"/>
      <c r="J23" s="5">
        <f t="shared" si="13"/>
        <v>3.8037369217336005E-2</v>
      </c>
      <c r="K23" s="1"/>
      <c r="L23" s="1">
        <f t="shared" si="14"/>
        <v>856.80000000000018</v>
      </c>
      <c r="M23" s="1"/>
      <c r="N23" s="5">
        <f t="shared" si="15"/>
        <v>0.6265722810507226</v>
      </c>
      <c r="O23" s="14"/>
      <c r="P23" s="1">
        <f>SUM(OSRRefP22_0x_0)</f>
        <v>6003.0300000000007</v>
      </c>
      <c r="Q23" s="1"/>
      <c r="R23" s="5">
        <f t="shared" si="16"/>
        <v>0.10769445497423726</v>
      </c>
      <c r="S23" s="1"/>
      <c r="T23" s="1">
        <f>SUM(OSRRefT22_0x_0)</f>
        <v>4453.7299999999996</v>
      </c>
      <c r="U23" s="1"/>
      <c r="V23" s="5">
        <f t="shared" si="17"/>
        <v>8.971455184119359E-2</v>
      </c>
      <c r="W23" s="1"/>
      <c r="X23" s="1">
        <f t="shared" si="18"/>
        <v>1549.3000000000011</v>
      </c>
      <c r="Y23" s="1"/>
      <c r="Z23" s="5">
        <f t="shared" si="19"/>
        <v>0.34786572154127016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>
        <v>673.62</v>
      </c>
      <c r="E24" s="2"/>
      <c r="F24" s="7">
        <f t="shared" si="12"/>
        <v>1.6831545617731366E-2</v>
      </c>
      <c r="G24" s="2"/>
      <c r="H24" s="6">
        <v>545.17999999999995</v>
      </c>
      <c r="I24" s="2"/>
      <c r="J24" s="7">
        <f t="shared" si="13"/>
        <v>1.5164989286482217E-2</v>
      </c>
      <c r="K24" s="2"/>
      <c r="L24" s="6">
        <f t="shared" si="14"/>
        <v>128.44000000000005</v>
      </c>
      <c r="M24" s="2"/>
      <c r="N24" s="7">
        <f t="shared" si="15"/>
        <v>0.23559191459701395</v>
      </c>
      <c r="O24" s="11"/>
      <c r="P24" s="6">
        <v>1720.96</v>
      </c>
      <c r="Q24" s="2"/>
      <c r="R24" s="7">
        <f t="shared" si="16"/>
        <v>3.0874050143421462E-2</v>
      </c>
      <c r="S24" s="2"/>
      <c r="T24" s="6">
        <v>1305.17</v>
      </c>
      <c r="U24" s="2"/>
      <c r="V24" s="7">
        <f t="shared" si="17"/>
        <v>2.6290938522669907E-2</v>
      </c>
      <c r="W24" s="2"/>
      <c r="X24" s="6">
        <f t="shared" si="18"/>
        <v>415.78999999999996</v>
      </c>
      <c r="Y24" s="2"/>
      <c r="Z24" s="7">
        <f t="shared" si="19"/>
        <v>0.31857152708076336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>
        <v>603.39</v>
      </c>
      <c r="E25" s="2"/>
      <c r="F25" s="7">
        <f t="shared" si="12"/>
        <v>1.5076729180076199E-2</v>
      </c>
      <c r="G25" s="2"/>
      <c r="H25" s="6"/>
      <c r="I25" s="2"/>
      <c r="J25" s="7">
        <f t="shared" si="13"/>
        <v>0</v>
      </c>
      <c r="K25" s="2"/>
      <c r="L25" s="6">
        <f t="shared" si="14"/>
        <v>603.39</v>
      </c>
      <c r="M25" s="2"/>
      <c r="N25" s="7">
        <f t="shared" si="15"/>
        <v>0</v>
      </c>
      <c r="O25" s="11"/>
      <c r="P25" s="6">
        <v>1244.82</v>
      </c>
      <c r="Q25" s="2"/>
      <c r="R25" s="7">
        <f t="shared" si="16"/>
        <v>2.2332090867616852E-2</v>
      </c>
      <c r="S25" s="2"/>
      <c r="T25" s="6">
        <v>458.54</v>
      </c>
      <c r="U25" s="2"/>
      <c r="V25" s="7">
        <f t="shared" si="17"/>
        <v>9.2366871366833889E-3</v>
      </c>
      <c r="W25" s="2"/>
      <c r="X25" s="6">
        <f t="shared" si="18"/>
        <v>786.28</v>
      </c>
      <c r="Y25" s="2"/>
      <c r="Z25" s="7">
        <f t="shared" si="19"/>
        <v>1.7147468050769834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>
        <v>34.97</v>
      </c>
      <c r="E26" s="2"/>
      <c r="F26" s="7">
        <f t="shared" si="12"/>
        <v>8.7378514630216729E-4</v>
      </c>
      <c r="G26" s="2"/>
      <c r="H26" s="6">
        <v>31.65</v>
      </c>
      <c r="I26" s="2"/>
      <c r="J26" s="7">
        <f t="shared" si="13"/>
        <v>8.8039163380381185E-4</v>
      </c>
      <c r="K26" s="2"/>
      <c r="L26" s="6">
        <f t="shared" si="14"/>
        <v>3.3200000000000003</v>
      </c>
      <c r="M26" s="2"/>
      <c r="N26" s="7">
        <f t="shared" si="15"/>
        <v>0.10489731437598737</v>
      </c>
      <c r="O26" s="11"/>
      <c r="P26" s="6">
        <v>104.91</v>
      </c>
      <c r="Q26" s="2"/>
      <c r="R26" s="7">
        <f t="shared" si="16"/>
        <v>1.8820870912434602E-3</v>
      </c>
      <c r="S26" s="2"/>
      <c r="T26" s="6">
        <v>93.98</v>
      </c>
      <c r="U26" s="2"/>
      <c r="V26" s="7">
        <f t="shared" si="17"/>
        <v>1.8931038886585794E-3</v>
      </c>
      <c r="W26" s="2"/>
      <c r="X26" s="6">
        <f t="shared" si="18"/>
        <v>10.929999999999993</v>
      </c>
      <c r="Y26" s="2"/>
      <c r="Z26" s="7">
        <f t="shared" si="19"/>
        <v>0.11630134071078944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40.43</v>
      </c>
      <c r="E27" s="2"/>
      <c r="F27" s="7">
        <f t="shared" si="12"/>
        <v>1.0102125669144016E-3</v>
      </c>
      <c r="G27" s="2"/>
      <c r="H27" s="6">
        <v>35.6</v>
      </c>
      <c r="I27" s="2"/>
      <c r="J27" s="7">
        <f t="shared" si="13"/>
        <v>9.9026673502103347E-4</v>
      </c>
      <c r="K27" s="2"/>
      <c r="L27" s="6">
        <f t="shared" si="14"/>
        <v>4.8299999999999983</v>
      </c>
      <c r="M27" s="2"/>
      <c r="N27" s="7">
        <f t="shared" si="15"/>
        <v>0.13567415730337073</v>
      </c>
      <c r="O27" s="11"/>
      <c r="P27" s="6">
        <v>83.41</v>
      </c>
      <c r="Q27" s="2"/>
      <c r="R27" s="7">
        <f t="shared" si="16"/>
        <v>1.4963767446441428E-3</v>
      </c>
      <c r="S27" s="2"/>
      <c r="T27" s="6">
        <v>69.66</v>
      </c>
      <c r="U27" s="2"/>
      <c r="V27" s="7">
        <f t="shared" si="17"/>
        <v>1.4032093731001982E-3</v>
      </c>
      <c r="W27" s="2"/>
      <c r="X27" s="6">
        <f t="shared" si="18"/>
        <v>13.75</v>
      </c>
      <c r="Y27" s="2"/>
      <c r="Z27" s="7">
        <f t="shared" si="19"/>
        <v>0.19738730979041058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>
        <v>315.45</v>
      </c>
      <c r="E28" s="2"/>
      <c r="F28" s="7">
        <f t="shared" si="12"/>
        <v>7.8820567458112289E-3</v>
      </c>
      <c r="G28" s="2"/>
      <c r="H28" s="6">
        <v>271.05</v>
      </c>
      <c r="I28" s="2"/>
      <c r="J28" s="7">
        <f t="shared" si="13"/>
        <v>7.5396572620070532E-3</v>
      </c>
      <c r="K28" s="2"/>
      <c r="L28" s="6">
        <f t="shared" si="14"/>
        <v>44.399999999999977</v>
      </c>
      <c r="M28" s="2"/>
      <c r="N28" s="7">
        <f t="shared" si="15"/>
        <v>0.16380741560597667</v>
      </c>
      <c r="O28" s="11"/>
      <c r="P28" s="6">
        <v>946.35</v>
      </c>
      <c r="Q28" s="2"/>
      <c r="R28" s="7">
        <f t="shared" si="16"/>
        <v>1.6977534256012283E-2</v>
      </c>
      <c r="S28" s="2"/>
      <c r="T28" s="6">
        <v>944.73</v>
      </c>
      <c r="U28" s="2"/>
      <c r="V28" s="7">
        <f t="shared" si="17"/>
        <v>1.9030347273168966E-2</v>
      </c>
      <c r="W28" s="2"/>
      <c r="X28" s="6">
        <f t="shared" si="18"/>
        <v>1.6200000000000045</v>
      </c>
      <c r="Y28" s="2"/>
      <c r="Z28" s="7">
        <f t="shared" si="19"/>
        <v>1.7147756501857722E-3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>
        <v>173.88</v>
      </c>
      <c r="E29" s="2"/>
      <c r="F29" s="7">
        <f t="shared" si="12"/>
        <v>4.3446886256511535E-3</v>
      </c>
      <c r="G29" s="2"/>
      <c r="H29" s="6">
        <v>152.52000000000001</v>
      </c>
      <c r="I29" s="2"/>
      <c r="J29" s="7">
        <f t="shared" si="13"/>
        <v>4.2425697310507866E-3</v>
      </c>
      <c r="K29" s="2"/>
      <c r="L29" s="6">
        <f t="shared" si="14"/>
        <v>21.359999999999985</v>
      </c>
      <c r="M29" s="2"/>
      <c r="N29" s="7">
        <f t="shared" si="15"/>
        <v>0.14004720692368203</v>
      </c>
      <c r="O29" s="11"/>
      <c r="P29" s="6">
        <v>591.59</v>
      </c>
      <c r="Q29" s="2"/>
      <c r="R29" s="7">
        <f t="shared" si="16"/>
        <v>1.0613134136962337E-2</v>
      </c>
      <c r="S29" s="2"/>
      <c r="T29" s="6">
        <v>495.78</v>
      </c>
      <c r="U29" s="2"/>
      <c r="V29" s="7">
        <f t="shared" si="17"/>
        <v>9.9868381136321589E-3</v>
      </c>
      <c r="W29" s="2"/>
      <c r="X29" s="6">
        <f t="shared" si="18"/>
        <v>95.810000000000059</v>
      </c>
      <c r="Y29" s="2"/>
      <c r="Z29" s="7">
        <f t="shared" si="19"/>
        <v>0.19325103876719527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>
        <v>208.3</v>
      </c>
      <c r="E30" s="2"/>
      <c r="F30" s="7">
        <f t="shared" si="12"/>
        <v>5.2047310830638108E-3</v>
      </c>
      <c r="G30" s="2"/>
      <c r="H30" s="6">
        <v>182.72</v>
      </c>
      <c r="I30" s="2"/>
      <c r="J30" s="7">
        <f t="shared" si="13"/>
        <v>5.0826274669394161E-3</v>
      </c>
      <c r="K30" s="2"/>
      <c r="L30" s="6">
        <f t="shared" si="14"/>
        <v>25.580000000000013</v>
      </c>
      <c r="M30" s="2"/>
      <c r="N30" s="7">
        <f t="shared" si="15"/>
        <v>0.13999562171628729</v>
      </c>
      <c r="O30" s="11"/>
      <c r="P30" s="6">
        <v>746.73</v>
      </c>
      <c r="Q30" s="2"/>
      <c r="R30" s="7">
        <f t="shared" si="16"/>
        <v>1.3396348237958527E-2</v>
      </c>
      <c r="S30" s="2"/>
      <c r="T30" s="6">
        <v>637.76</v>
      </c>
      <c r="U30" s="2"/>
      <c r="V30" s="7">
        <f t="shared" si="17"/>
        <v>1.2846839072471755E-2</v>
      </c>
      <c r="W30" s="2"/>
      <c r="X30" s="6">
        <f t="shared" si="18"/>
        <v>108.97000000000003</v>
      </c>
      <c r="Y30" s="2"/>
      <c r="Z30" s="7">
        <f t="shared" si="19"/>
        <v>0.17086364776718518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>
        <v>174.2</v>
      </c>
      <c r="E31" s="2"/>
      <c r="F31" s="7">
        <f t="shared" si="12"/>
        <v>4.3526843719141417E-3</v>
      </c>
      <c r="G31" s="2"/>
      <c r="H31" s="6">
        <v>148.72</v>
      </c>
      <c r="I31" s="2"/>
      <c r="J31" s="7">
        <f t="shared" si="13"/>
        <v>4.1368671020316876E-3</v>
      </c>
      <c r="K31" s="2"/>
      <c r="L31" s="6">
        <f t="shared" si="14"/>
        <v>25.47999999999999</v>
      </c>
      <c r="M31" s="2"/>
      <c r="N31" s="7">
        <f t="shared" si="15"/>
        <v>0.17132867132867127</v>
      </c>
      <c r="O31" s="11"/>
      <c r="P31" s="6">
        <v>564.26</v>
      </c>
      <c r="Q31" s="2"/>
      <c r="R31" s="7">
        <f t="shared" si="16"/>
        <v>1.0122833496378179E-2</v>
      </c>
      <c r="S31" s="2"/>
      <c r="T31" s="6">
        <v>448.11</v>
      </c>
      <c r="U31" s="2"/>
      <c r="V31" s="7">
        <f t="shared" si="17"/>
        <v>9.0265884608086398E-3</v>
      </c>
      <c r="W31" s="2"/>
      <c r="X31" s="6">
        <f t="shared" si="18"/>
        <v>116.14999999999998</v>
      </c>
      <c r="Y31" s="2"/>
      <c r="Z31" s="7">
        <f t="shared" si="19"/>
        <v>0.25919975006136881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16711.68</v>
      </c>
      <c r="E32" s="1"/>
      <c r="F32" s="5">
        <f t="shared" ref="F32:F37" si="20">IF(D$12=0,0,D32/D$12)</f>
        <v>0.41756985283829007</v>
      </c>
      <c r="G32" s="1"/>
      <c r="H32" s="1">
        <f>SUM(OSRRefH22_1x_0)</f>
        <v>12923.53</v>
      </c>
      <c r="I32" s="1"/>
      <c r="J32" s="5">
        <f t="shared" ref="J32:J37" si="21">IF(H$12=0,0,H32/H$12)</f>
        <v>0.3594871308439993</v>
      </c>
      <c r="K32" s="1"/>
      <c r="L32" s="1">
        <f t="shared" ref="L32:L37" si="22">+D32-H32</f>
        <v>3788.1499999999996</v>
      </c>
      <c r="M32" s="1"/>
      <c r="N32" s="5">
        <f t="shared" ref="N32:N37" si="23">IF(H32=0,0,L32/H32)</f>
        <v>0.29312037810102964</v>
      </c>
      <c r="O32" s="14"/>
      <c r="P32" s="1">
        <f>SUM(OSRRefP22_1x_0)</f>
        <v>33977.120000000003</v>
      </c>
      <c r="Q32" s="1"/>
      <c r="R32" s="5">
        <f t="shared" ref="R32:R37" si="24">IF(P$12=0,0,P32/P$12)</f>
        <v>0.60955008054170245</v>
      </c>
      <c r="S32" s="1"/>
      <c r="T32" s="1">
        <f>SUM(OSRRefT22_1x_0)</f>
        <v>25380.620000000003</v>
      </c>
      <c r="U32" s="1"/>
      <c r="V32" s="5">
        <f t="shared" ref="V32:V37" si="25">IF(T$12=0,0,T32/T$12)</f>
        <v>0.51125931494536836</v>
      </c>
      <c r="W32" s="1"/>
      <c r="X32" s="1">
        <f t="shared" ref="X32:X37" si="26">+P32-T32</f>
        <v>8596.5</v>
      </c>
      <c r="Y32" s="1"/>
      <c r="Z32" s="5">
        <f t="shared" ref="Z32:Z37" si="27">IF(T32=0,0,X32/T32)</f>
        <v>0.33870330984822272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>
        <v>4461.93</v>
      </c>
      <c r="E33" s="2"/>
      <c r="F33" s="7">
        <f t="shared" si="20"/>
        <v>0.11148893788504517</v>
      </c>
      <c r="G33" s="2"/>
      <c r="H33" s="6">
        <v>4090.78</v>
      </c>
      <c r="I33" s="2"/>
      <c r="J33" s="7">
        <f t="shared" si="21"/>
        <v>0.11379110545756581</v>
      </c>
      <c r="K33" s="2"/>
      <c r="L33" s="6">
        <f t="shared" si="22"/>
        <v>371.15000000000009</v>
      </c>
      <c r="M33" s="2"/>
      <c r="N33" s="7">
        <f t="shared" si="23"/>
        <v>9.072841854120732E-2</v>
      </c>
      <c r="O33" s="11"/>
      <c r="P33" s="6">
        <v>13526.87</v>
      </c>
      <c r="Q33" s="2"/>
      <c r="R33" s="7">
        <f t="shared" si="24"/>
        <v>0.24267226586529814</v>
      </c>
      <c r="S33" s="2"/>
      <c r="T33" s="6">
        <v>12073.87</v>
      </c>
      <c r="U33" s="2"/>
      <c r="V33" s="7">
        <f t="shared" si="25"/>
        <v>0.24321228184888447</v>
      </c>
      <c r="W33" s="2"/>
      <c r="X33" s="6">
        <f t="shared" si="26"/>
        <v>1453</v>
      </c>
      <c r="Y33" s="2"/>
      <c r="Z33" s="7">
        <f t="shared" si="27"/>
        <v>0.12034252480770456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>
        <v>5245.75</v>
      </c>
      <c r="E34" s="2"/>
      <c r="F34" s="7">
        <f t="shared" si="20"/>
        <v>0.13107401862209306</v>
      </c>
      <c r="G34" s="2"/>
      <c r="H34" s="6">
        <v>3036</v>
      </c>
      <c r="I34" s="2"/>
      <c r="J34" s="7">
        <f t="shared" si="21"/>
        <v>8.4450837289995986E-2</v>
      </c>
      <c r="K34" s="2"/>
      <c r="L34" s="6">
        <f t="shared" si="22"/>
        <v>2209.75</v>
      </c>
      <c r="M34" s="2"/>
      <c r="N34" s="7">
        <f t="shared" si="23"/>
        <v>0.72784914361001318</v>
      </c>
      <c r="O34" s="11"/>
      <c r="P34" s="6">
        <v>8974.75</v>
      </c>
      <c r="Q34" s="2"/>
      <c r="R34" s="7">
        <f t="shared" si="24"/>
        <v>0.16100715968103368</v>
      </c>
      <c r="S34" s="2"/>
      <c r="T34" s="6">
        <v>3682.75</v>
      </c>
      <c r="U34" s="2"/>
      <c r="V34" s="7">
        <f t="shared" si="25"/>
        <v>7.4184170525190288E-2</v>
      </c>
      <c r="W34" s="2"/>
      <c r="X34" s="6">
        <f t="shared" si="26"/>
        <v>5292</v>
      </c>
      <c r="Y34" s="2"/>
      <c r="Z34" s="7">
        <f t="shared" si="27"/>
        <v>1.436969655827846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/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>
        <v>110.5</v>
      </c>
      <c r="Q35" s="2"/>
      <c r="R35" s="7">
        <f t="shared" si="24"/>
        <v>1.982371781359283E-3</v>
      </c>
      <c r="S35" s="2"/>
      <c r="T35" s="6"/>
      <c r="U35" s="2"/>
      <c r="V35" s="7">
        <f t="shared" si="25"/>
        <v>0</v>
      </c>
      <c r="W35" s="2"/>
      <c r="X35" s="6">
        <f t="shared" si="26"/>
        <v>110.5</v>
      </c>
      <c r="Y35" s="2"/>
      <c r="Z35" s="7">
        <f t="shared" si="27"/>
        <v>0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6">
        <v>6482</v>
      </c>
      <c r="E36" s="2"/>
      <c r="F36" s="7">
        <f t="shared" si="20"/>
        <v>0.16196383523965252</v>
      </c>
      <c r="G36" s="2"/>
      <c r="H36" s="6">
        <v>4510.5</v>
      </c>
      <c r="I36" s="2"/>
      <c r="J36" s="7">
        <f t="shared" si="21"/>
        <v>0.1254662389975385</v>
      </c>
      <c r="K36" s="2"/>
      <c r="L36" s="6">
        <f t="shared" si="22"/>
        <v>1971.5</v>
      </c>
      <c r="M36" s="2"/>
      <c r="N36" s="7">
        <f t="shared" si="23"/>
        <v>0.43709123157077928</v>
      </c>
      <c r="O36" s="11"/>
      <c r="P36" s="6">
        <v>10711</v>
      </c>
      <c r="Q36" s="2"/>
      <c r="R36" s="7">
        <f t="shared" si="24"/>
        <v>0.19215551267094369</v>
      </c>
      <c r="S36" s="2"/>
      <c r="T36" s="6">
        <v>7994</v>
      </c>
      <c r="U36" s="2"/>
      <c r="V36" s="7">
        <f t="shared" si="25"/>
        <v>0.16102864956306323</v>
      </c>
      <c r="W36" s="2"/>
      <c r="X36" s="6">
        <f t="shared" si="26"/>
        <v>2717</v>
      </c>
      <c r="Y36" s="2"/>
      <c r="Z36" s="7">
        <f t="shared" si="27"/>
        <v>0.33987990993244932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>
        <v>522</v>
      </c>
      <c r="E37" s="2"/>
      <c r="F37" s="7">
        <f t="shared" si="20"/>
        <v>1.3043061091499322E-2</v>
      </c>
      <c r="G37" s="2"/>
      <c r="H37" s="6">
        <v>1286.25</v>
      </c>
      <c r="I37" s="2"/>
      <c r="J37" s="7">
        <f t="shared" si="21"/>
        <v>3.5778949098898991E-2</v>
      </c>
      <c r="K37" s="2"/>
      <c r="L37" s="6">
        <f t="shared" si="22"/>
        <v>-764.25</v>
      </c>
      <c r="M37" s="2"/>
      <c r="N37" s="7">
        <f t="shared" si="23"/>
        <v>-0.59416909620991254</v>
      </c>
      <c r="O37" s="11"/>
      <c r="P37" s="6">
        <v>654</v>
      </c>
      <c r="Q37" s="2"/>
      <c r="R37" s="7">
        <f t="shared" si="24"/>
        <v>1.173277054306761E-2</v>
      </c>
      <c r="S37" s="2"/>
      <c r="T37" s="6">
        <v>1630</v>
      </c>
      <c r="U37" s="2"/>
      <c r="V37" s="7">
        <f t="shared" si="25"/>
        <v>3.2834213008230306E-2</v>
      </c>
      <c r="W37" s="2"/>
      <c r="X37" s="6">
        <f t="shared" si="26"/>
        <v>-976</v>
      </c>
      <c r="Y37" s="2"/>
      <c r="Z37" s="7">
        <f t="shared" si="27"/>
        <v>-0.59877300613496931</v>
      </c>
    </row>
    <row r="38" spans="1:26" s="29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249</v>
      </c>
      <c r="E38" s="1"/>
      <c r="F38" s="5">
        <f t="shared" ref="F38:F53" si="28">IF(D$12=0,0,D38/D$12)</f>
        <v>6.2216900608876077E-3</v>
      </c>
      <c r="G38" s="1"/>
      <c r="H38" s="1">
        <f>SUM(OSRRefH22_2x_0)</f>
        <v>154.82</v>
      </c>
      <c r="I38" s="1"/>
      <c r="J38" s="5">
        <f t="shared" ref="J38:J53" si="29">IF(H$12=0,0,H38/H$12)</f>
        <v>4.3065476380886626E-3</v>
      </c>
      <c r="K38" s="1"/>
      <c r="L38" s="1">
        <f t="shared" ref="L38:L53" si="30">+D38-H38</f>
        <v>94.18</v>
      </c>
      <c r="M38" s="1"/>
      <c r="N38" s="5">
        <f t="shared" ref="N38:N53" si="31">IF(H38=0,0,L38/H38)</f>
        <v>0.60831933858674592</v>
      </c>
      <c r="O38" s="14"/>
      <c r="P38" s="1">
        <f>SUM(OSRRefP22_2x_0)</f>
        <v>559.32000000000005</v>
      </c>
      <c r="Q38" s="1"/>
      <c r="R38" s="5">
        <f t="shared" ref="R38:R53" si="32">IF(P$12=0,0,P38/P$12)</f>
        <v>1.0034209816740943E-2</v>
      </c>
      <c r="S38" s="1"/>
      <c r="T38" s="1">
        <f>SUM(OSRRefT22_2x_0)</f>
        <v>535.32000000000005</v>
      </c>
      <c r="U38" s="1"/>
      <c r="V38" s="5">
        <f t="shared" ref="V38:V53" si="33">IF(T$12=0,0,T38/T$12)</f>
        <v>1.0783319575193772E-2</v>
      </c>
      <c r="W38" s="1"/>
      <c r="X38" s="1">
        <f t="shared" ref="X38:X53" si="34">+P38-T38</f>
        <v>24</v>
      </c>
      <c r="Y38" s="1"/>
      <c r="Z38" s="5">
        <f t="shared" ref="Z38:Z53" si="35">IF(T38=0,0,X38/T38)</f>
        <v>4.4832997085855184E-2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6">
        <v>249</v>
      </c>
      <c r="E39" s="2"/>
      <c r="F39" s="7">
        <f t="shared" si="28"/>
        <v>6.2216900608876077E-3</v>
      </c>
      <c r="G39" s="2"/>
      <c r="H39" s="6">
        <v>154.82</v>
      </c>
      <c r="I39" s="2"/>
      <c r="J39" s="7">
        <f t="shared" si="29"/>
        <v>4.3065476380886626E-3</v>
      </c>
      <c r="K39" s="2"/>
      <c r="L39" s="6">
        <f t="shared" si="30"/>
        <v>94.18</v>
      </c>
      <c r="M39" s="2"/>
      <c r="N39" s="7">
        <f t="shared" si="31"/>
        <v>0.60831933858674592</v>
      </c>
      <c r="O39" s="11"/>
      <c r="P39" s="6">
        <v>559.32000000000005</v>
      </c>
      <c r="Q39" s="2"/>
      <c r="R39" s="7">
        <f t="shared" si="32"/>
        <v>1.0034209816740943E-2</v>
      </c>
      <c r="S39" s="2"/>
      <c r="T39" s="6">
        <v>535.32000000000005</v>
      </c>
      <c r="U39" s="2"/>
      <c r="V39" s="7">
        <f t="shared" si="33"/>
        <v>1.0783319575193772E-2</v>
      </c>
      <c r="W39" s="2"/>
      <c r="X39" s="6">
        <f t="shared" si="34"/>
        <v>24</v>
      </c>
      <c r="Y39" s="2"/>
      <c r="Z39" s="7">
        <f t="shared" si="35"/>
        <v>4.4832997085855184E-2</v>
      </c>
    </row>
    <row r="40" spans="1:26" s="29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-2.91</v>
      </c>
      <c r="E40" s="1"/>
      <c r="F40" s="5">
        <f t="shared" si="28"/>
        <v>-7.2711317579047955E-5</v>
      </c>
      <c r="G40" s="1"/>
      <c r="H40" s="1">
        <f>SUM(OSRRefH22_3x_0)</f>
        <v>-52.67</v>
      </c>
      <c r="I40" s="1"/>
      <c r="J40" s="5">
        <f t="shared" si="29"/>
        <v>-1.4650940711673547E-3</v>
      </c>
      <c r="K40" s="1"/>
      <c r="L40" s="1">
        <f t="shared" si="30"/>
        <v>49.760000000000005</v>
      </c>
      <c r="M40" s="1"/>
      <c r="N40" s="5">
        <f t="shared" si="31"/>
        <v>-0.94475033225745209</v>
      </c>
      <c r="O40" s="14"/>
      <c r="P40" s="1">
        <f>SUM(OSRRefP22_3x_0)</f>
        <v>-20.43</v>
      </c>
      <c r="Q40" s="1"/>
      <c r="R40" s="5">
        <f t="shared" si="32"/>
        <v>-3.6651452934995609E-4</v>
      </c>
      <c r="S40" s="1"/>
      <c r="T40" s="1">
        <f>SUM(OSRRefT22_3x_0)</f>
        <v>-49.49</v>
      </c>
      <c r="U40" s="1"/>
      <c r="V40" s="5">
        <f t="shared" si="33"/>
        <v>-9.9691116673455093E-4</v>
      </c>
      <c r="W40" s="1"/>
      <c r="X40" s="1">
        <f t="shared" si="34"/>
        <v>29.060000000000002</v>
      </c>
      <c r="Y40" s="1"/>
      <c r="Z40" s="5">
        <f t="shared" si="35"/>
        <v>-0.58718933117801575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6">
        <v>-2.91</v>
      </c>
      <c r="E41" s="2"/>
      <c r="F41" s="7">
        <f t="shared" si="28"/>
        <v>-7.2711317579047955E-5</v>
      </c>
      <c r="G41" s="2"/>
      <c r="H41" s="6">
        <v>-52.67</v>
      </c>
      <c r="I41" s="2"/>
      <c r="J41" s="7">
        <f t="shared" si="29"/>
        <v>-1.4650940711673547E-3</v>
      </c>
      <c r="K41" s="2"/>
      <c r="L41" s="6">
        <f t="shared" si="30"/>
        <v>49.760000000000005</v>
      </c>
      <c r="M41" s="2"/>
      <c r="N41" s="7">
        <f t="shared" si="31"/>
        <v>-0.94475033225745209</v>
      </c>
      <c r="O41" s="11"/>
      <c r="P41" s="6">
        <v>-20.43</v>
      </c>
      <c r="Q41" s="2"/>
      <c r="R41" s="7">
        <f t="shared" si="32"/>
        <v>-3.6651452934995609E-4</v>
      </c>
      <c r="S41" s="2"/>
      <c r="T41" s="6">
        <v>-49.49</v>
      </c>
      <c r="U41" s="2"/>
      <c r="V41" s="7">
        <f t="shared" si="33"/>
        <v>-9.9691116673455093E-4</v>
      </c>
      <c r="W41" s="2"/>
      <c r="X41" s="6">
        <f t="shared" si="34"/>
        <v>29.060000000000002</v>
      </c>
      <c r="Y41" s="2"/>
      <c r="Z41" s="7">
        <f t="shared" si="35"/>
        <v>-0.58718933117801575</v>
      </c>
    </row>
    <row r="42" spans="1:26" s="29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1400.07</v>
      </c>
      <c r="E42" s="1"/>
      <c r="F42" s="5">
        <f t="shared" si="28"/>
        <v>3.4983138970067926E-2</v>
      </c>
      <c r="G42" s="1"/>
      <c r="H42" s="1">
        <f>SUM(OSRRefH22_4x_0)</f>
        <v>1210.2</v>
      </c>
      <c r="I42" s="1"/>
      <c r="J42" s="5">
        <f t="shared" si="29"/>
        <v>3.3663505694450972E-2</v>
      </c>
      <c r="K42" s="1"/>
      <c r="L42" s="1">
        <f t="shared" si="30"/>
        <v>189.86999999999989</v>
      </c>
      <c r="M42" s="1"/>
      <c r="N42" s="5">
        <f t="shared" si="31"/>
        <v>0.15689142290530481</v>
      </c>
      <c r="O42" s="14"/>
      <c r="P42" s="1">
        <f>SUM(OSRRefP22_4x_0)</f>
        <v>1902.18</v>
      </c>
      <c r="Q42" s="1"/>
      <c r="R42" s="5">
        <f t="shared" si="32"/>
        <v>3.4125139864850683E-2</v>
      </c>
      <c r="S42" s="1"/>
      <c r="T42" s="1">
        <f>SUM(OSRRefT22_4x_0)</f>
        <v>1642.71</v>
      </c>
      <c r="U42" s="1"/>
      <c r="V42" s="5">
        <f t="shared" si="33"/>
        <v>3.3090239294938657E-2</v>
      </c>
      <c r="W42" s="1"/>
      <c r="X42" s="1">
        <f t="shared" si="34"/>
        <v>259.47000000000003</v>
      </c>
      <c r="Y42" s="1"/>
      <c r="Z42" s="5">
        <f t="shared" si="35"/>
        <v>0.15795240791131729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6">
        <v>1400.07</v>
      </c>
      <c r="E43" s="2"/>
      <c r="F43" s="7">
        <f t="shared" si="28"/>
        <v>3.4983138970067926E-2</v>
      </c>
      <c r="G43" s="2"/>
      <c r="H43" s="6">
        <v>1210.2</v>
      </c>
      <c r="I43" s="2"/>
      <c r="J43" s="7">
        <f t="shared" si="29"/>
        <v>3.3663505694450972E-2</v>
      </c>
      <c r="K43" s="2"/>
      <c r="L43" s="6">
        <f t="shared" si="30"/>
        <v>189.86999999999989</v>
      </c>
      <c r="M43" s="2"/>
      <c r="N43" s="7">
        <f t="shared" si="31"/>
        <v>0.15689142290530481</v>
      </c>
      <c r="O43" s="11"/>
      <c r="P43" s="6">
        <v>1902.18</v>
      </c>
      <c r="Q43" s="2"/>
      <c r="R43" s="7">
        <f t="shared" si="32"/>
        <v>3.4125139864850683E-2</v>
      </c>
      <c r="S43" s="2"/>
      <c r="T43" s="6">
        <v>1642.71</v>
      </c>
      <c r="U43" s="2"/>
      <c r="V43" s="7">
        <f t="shared" si="33"/>
        <v>3.3090239294938657E-2</v>
      </c>
      <c r="W43" s="2"/>
      <c r="X43" s="6">
        <f t="shared" si="34"/>
        <v>259.47000000000003</v>
      </c>
      <c r="Y43" s="2"/>
      <c r="Z43" s="7">
        <f t="shared" si="35"/>
        <v>0.15795240791131729</v>
      </c>
    </row>
    <row r="44" spans="1:26" s="29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2775.32</v>
      </c>
      <c r="E44" s="1"/>
      <c r="F44" s="5">
        <f t="shared" si="28"/>
        <v>6.9346107870612836E-2</v>
      </c>
      <c r="G44" s="1"/>
      <c r="H44" s="1">
        <f>SUM(OSRRefH22_5x_0)</f>
        <v>2776.01</v>
      </c>
      <c r="I44" s="1"/>
      <c r="J44" s="5">
        <f t="shared" si="29"/>
        <v>7.721883031139716E-2</v>
      </c>
      <c r="K44" s="1"/>
      <c r="L44" s="1">
        <f t="shared" si="30"/>
        <v>-0.69000000000005457</v>
      </c>
      <c r="M44" s="1"/>
      <c r="N44" s="5">
        <f t="shared" si="31"/>
        <v>-2.4855818242731638E-4</v>
      </c>
      <c r="O44" s="14"/>
      <c r="P44" s="1">
        <f>SUM(OSRRefP22_5x_0)</f>
        <v>8325.9599999999991</v>
      </c>
      <c r="Q44" s="1"/>
      <c r="R44" s="5">
        <f t="shared" si="32"/>
        <v>0.14936785662195595</v>
      </c>
      <c r="S44" s="1"/>
      <c r="T44" s="1">
        <f>SUM(OSRRefT22_5x_0)</f>
        <v>8328.0300000000007</v>
      </c>
      <c r="U44" s="1"/>
      <c r="V44" s="5">
        <f t="shared" si="33"/>
        <v>0.167757245987075</v>
      </c>
      <c r="W44" s="1"/>
      <c r="X44" s="1">
        <f t="shared" si="34"/>
        <v>-2.070000000001528</v>
      </c>
      <c r="Y44" s="1"/>
      <c r="Z44" s="5">
        <f t="shared" si="35"/>
        <v>-2.485581824274802E-4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2775.32</v>
      </c>
      <c r="E45" s="2"/>
      <c r="F45" s="7">
        <f t="shared" si="28"/>
        <v>6.9346107870612836E-2</v>
      </c>
      <c r="G45" s="2"/>
      <c r="H45" s="6">
        <v>2776.01</v>
      </c>
      <c r="I45" s="2"/>
      <c r="J45" s="7">
        <f t="shared" si="29"/>
        <v>7.721883031139716E-2</v>
      </c>
      <c r="K45" s="2"/>
      <c r="L45" s="6">
        <f t="shared" si="30"/>
        <v>-0.69000000000005457</v>
      </c>
      <c r="M45" s="2"/>
      <c r="N45" s="7">
        <f t="shared" si="31"/>
        <v>-2.4855818242731638E-4</v>
      </c>
      <c r="O45" s="11"/>
      <c r="P45" s="6">
        <v>8325.9599999999991</v>
      </c>
      <c r="Q45" s="2"/>
      <c r="R45" s="7">
        <f t="shared" si="32"/>
        <v>0.14936785662195595</v>
      </c>
      <c r="S45" s="2"/>
      <c r="T45" s="6">
        <v>8328.0300000000007</v>
      </c>
      <c r="U45" s="2"/>
      <c r="V45" s="7">
        <f t="shared" si="33"/>
        <v>0.167757245987075</v>
      </c>
      <c r="W45" s="2"/>
      <c r="X45" s="6">
        <f t="shared" si="34"/>
        <v>-2.070000000001528</v>
      </c>
      <c r="Y45" s="2"/>
      <c r="Z45" s="7">
        <f t="shared" si="35"/>
        <v>-2.485581824274802E-4</v>
      </c>
    </row>
    <row r="46" spans="1:26" s="29" customFormat="1" outlineLevel="1" collapsed="1" x14ac:dyDescent="0.25">
      <c r="A46" s="27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113.04</v>
      </c>
      <c r="E46" s="1"/>
      <c r="F46" s="5">
        <f t="shared" si="28"/>
        <v>2.8244973674005432E-3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113.04</v>
      </c>
      <c r="M46" s="1"/>
      <c r="N46" s="5">
        <f t="shared" si="31"/>
        <v>0</v>
      </c>
      <c r="O46" s="14"/>
      <c r="P46" s="1">
        <f>SUM(OSRRefP22_6x_0)</f>
        <v>208.7</v>
      </c>
      <c r="Q46" s="1"/>
      <c r="R46" s="5">
        <f t="shared" si="32"/>
        <v>3.7440813644315138E-3</v>
      </c>
      <c r="S46" s="1"/>
      <c r="T46" s="1">
        <f>SUM(OSRRefT22_6x_0)</f>
        <v>0</v>
      </c>
      <c r="U46" s="1"/>
      <c r="V46" s="5">
        <f t="shared" si="33"/>
        <v>0</v>
      </c>
      <c r="W46" s="1"/>
      <c r="X46" s="1">
        <f t="shared" si="34"/>
        <v>208.7</v>
      </c>
      <c r="Y46" s="1"/>
      <c r="Z46" s="5">
        <f t="shared" si="35"/>
        <v>0</v>
      </c>
    </row>
    <row r="47" spans="1:26" s="24" customFormat="1" hidden="1" outlineLevel="2" x14ac:dyDescent="0.25">
      <c r="A47" s="28"/>
      <c r="B47" s="11" t="str">
        <f>CONCATENATE("          ", "6351", " - ", "EQUIPMENT RENTAL")</f>
        <v xml:space="preserve">          6351 - EQUIPMENT RENTAL</v>
      </c>
      <c r="C47" s="11"/>
      <c r="D47" s="6">
        <v>113.04</v>
      </c>
      <c r="E47" s="2"/>
      <c r="F47" s="7">
        <f t="shared" si="28"/>
        <v>2.8244973674005432E-3</v>
      </c>
      <c r="G47" s="2"/>
      <c r="H47" s="6"/>
      <c r="I47" s="2"/>
      <c r="J47" s="7">
        <f t="shared" si="29"/>
        <v>0</v>
      </c>
      <c r="K47" s="2"/>
      <c r="L47" s="6">
        <f t="shared" si="30"/>
        <v>113.04</v>
      </c>
      <c r="M47" s="2"/>
      <c r="N47" s="7">
        <f t="shared" si="31"/>
        <v>0</v>
      </c>
      <c r="O47" s="11"/>
      <c r="P47" s="6">
        <v>208.7</v>
      </c>
      <c r="Q47" s="2"/>
      <c r="R47" s="7">
        <f t="shared" si="32"/>
        <v>3.7440813644315138E-3</v>
      </c>
      <c r="S47" s="2"/>
      <c r="T47" s="6"/>
      <c r="U47" s="2"/>
      <c r="V47" s="7">
        <f t="shared" si="33"/>
        <v>0</v>
      </c>
      <c r="W47" s="2"/>
      <c r="X47" s="6">
        <f t="shared" si="34"/>
        <v>208.7</v>
      </c>
      <c r="Y47" s="2"/>
      <c r="Z47" s="7">
        <f t="shared" si="35"/>
        <v>0</v>
      </c>
    </row>
    <row r="48" spans="1:26" s="29" customFormat="1" outlineLevel="1" collapsed="1" x14ac:dyDescent="0.2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4"/>
      <c r="P48" s="1">
        <f>SUM(OSRRefP22_7x_0)</f>
        <v>749.55</v>
      </c>
      <c r="Q48" s="1"/>
      <c r="R48" s="5">
        <f t="shared" si="32"/>
        <v>1.344693908341946E-2</v>
      </c>
      <c r="S48" s="1"/>
      <c r="T48" s="1">
        <f>SUM(OSRRefT22_7x_0)</f>
        <v>769.2</v>
      </c>
      <c r="U48" s="1"/>
      <c r="V48" s="5">
        <f t="shared" si="33"/>
        <v>1.5494525549650768E-2</v>
      </c>
      <c r="W48" s="1"/>
      <c r="X48" s="1">
        <f t="shared" si="34"/>
        <v>-19.650000000000091</v>
      </c>
      <c r="Y48" s="1"/>
      <c r="Z48" s="5">
        <f t="shared" si="35"/>
        <v>-2.5546021840873751E-2</v>
      </c>
    </row>
    <row r="49" spans="1:26" s="24" customFormat="1" hidden="1" outlineLevel="2" x14ac:dyDescent="0.25">
      <c r="A49" s="28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>
        <v>749.55</v>
      </c>
      <c r="Q49" s="2"/>
      <c r="R49" s="7">
        <f t="shared" si="32"/>
        <v>1.344693908341946E-2</v>
      </c>
      <c r="S49" s="2"/>
      <c r="T49" s="6">
        <v>769.2</v>
      </c>
      <c r="U49" s="2"/>
      <c r="V49" s="7">
        <f t="shared" si="33"/>
        <v>1.5494525549650768E-2</v>
      </c>
      <c r="W49" s="2"/>
      <c r="X49" s="6">
        <f t="shared" si="34"/>
        <v>-19.650000000000091</v>
      </c>
      <c r="Y49" s="2"/>
      <c r="Z49" s="7">
        <f t="shared" si="35"/>
        <v>-2.5546021840873751E-2</v>
      </c>
    </row>
    <row r="50" spans="1:26" s="29" customFormat="1" outlineLevel="1" collapsed="1" x14ac:dyDescent="0.25">
      <c r="A50" s="27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SUM(OSRRefD22_8x_0)</f>
        <v>3279.49</v>
      </c>
      <c r="E50" s="1"/>
      <c r="F50" s="5">
        <f t="shared" si="28"/>
        <v>8.194365597502129E-2</v>
      </c>
      <c r="G50" s="1"/>
      <c r="H50" s="1">
        <f>SUM(OSRRefH22_8x_0)</f>
        <v>796.02</v>
      </c>
      <c r="I50" s="1"/>
      <c r="J50" s="5">
        <f t="shared" si="29"/>
        <v>2.2142475460995587E-2</v>
      </c>
      <c r="K50" s="1"/>
      <c r="L50" s="1">
        <f t="shared" si="30"/>
        <v>2483.4699999999998</v>
      </c>
      <c r="M50" s="1"/>
      <c r="N50" s="5">
        <f t="shared" si="31"/>
        <v>3.1198587975176499</v>
      </c>
      <c r="O50" s="14"/>
      <c r="P50" s="1">
        <f>SUM(OSRRefP22_8x_0)</f>
        <v>4295.7700000000004</v>
      </c>
      <c r="Q50" s="1"/>
      <c r="R50" s="5">
        <f t="shared" si="32"/>
        <v>7.7066183051672107E-2</v>
      </c>
      <c r="S50" s="1"/>
      <c r="T50" s="1">
        <f>SUM(OSRRefT22_8x_0)</f>
        <v>1328.64</v>
      </c>
      <c r="U50" s="1"/>
      <c r="V50" s="5">
        <f t="shared" si="33"/>
        <v>2.67637109026105E-2</v>
      </c>
      <c r="W50" s="1"/>
      <c r="X50" s="1">
        <f t="shared" si="34"/>
        <v>2967.13</v>
      </c>
      <c r="Y50" s="1"/>
      <c r="Z50" s="5">
        <f t="shared" si="35"/>
        <v>2.2332083935452793</v>
      </c>
    </row>
    <row r="51" spans="1:26" s="24" customFormat="1" hidden="1" outlineLevel="2" x14ac:dyDescent="0.25">
      <c r="A51" s="28"/>
      <c r="B51" s="11" t="str">
        <f>CONCATENATE("          ", "6371", " - ", "COMPUTER SOFTWARE MAINTENANCE")</f>
        <v xml:space="preserve">          6371 - COMPUTER SOFTWARE MAINTENANCE</v>
      </c>
      <c r="C51" s="11"/>
      <c r="D51" s="6">
        <v>2186.54</v>
      </c>
      <c r="E51" s="2"/>
      <c r="F51" s="7">
        <f t="shared" si="28"/>
        <v>5.4634434480856184E-2</v>
      </c>
      <c r="G51" s="2"/>
      <c r="H51" s="6"/>
      <c r="I51" s="2"/>
      <c r="J51" s="7">
        <f t="shared" si="29"/>
        <v>0</v>
      </c>
      <c r="K51" s="2"/>
      <c r="L51" s="6">
        <f t="shared" si="30"/>
        <v>2186.54</v>
      </c>
      <c r="M51" s="2"/>
      <c r="N51" s="7">
        <f t="shared" si="31"/>
        <v>0</v>
      </c>
      <c r="O51" s="11"/>
      <c r="P51" s="6">
        <v>2186.54</v>
      </c>
      <c r="Q51" s="2"/>
      <c r="R51" s="7">
        <f t="shared" si="32"/>
        <v>3.9226562848989378E-2</v>
      </c>
      <c r="S51" s="2"/>
      <c r="T51" s="6"/>
      <c r="U51" s="2"/>
      <c r="V51" s="7">
        <f t="shared" si="33"/>
        <v>0</v>
      </c>
      <c r="W51" s="2"/>
      <c r="X51" s="6">
        <f t="shared" si="34"/>
        <v>2186.54</v>
      </c>
      <c r="Y51" s="2"/>
      <c r="Z51" s="7">
        <f t="shared" si="35"/>
        <v>0</v>
      </c>
    </row>
    <row r="52" spans="1:26" s="24" customFormat="1" hidden="1" outlineLevel="2" x14ac:dyDescent="0.25">
      <c r="A52" s="28"/>
      <c r="B52" s="11" t="str">
        <f>CONCATENATE("          ", "6373", " - ", "MAINTENANCE CONTRACTS")</f>
        <v xml:space="preserve">          6373 - MAINTENANCE CONTRACTS</v>
      </c>
      <c r="C52" s="11"/>
      <c r="D52" s="6"/>
      <c r="E52" s="2"/>
      <c r="F52" s="7">
        <f t="shared" si="28"/>
        <v>0</v>
      </c>
      <c r="G52" s="2"/>
      <c r="H52" s="6">
        <v>65.989999999999995</v>
      </c>
      <c r="I52" s="2"/>
      <c r="J52" s="7">
        <f t="shared" si="29"/>
        <v>1.8356096023606175E-3</v>
      </c>
      <c r="K52" s="2"/>
      <c r="L52" s="6">
        <f t="shared" si="30"/>
        <v>-65.989999999999995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65.989999999999995</v>
      </c>
      <c r="U52" s="2"/>
      <c r="V52" s="7">
        <f t="shared" si="33"/>
        <v>1.3292820346092746E-3</v>
      </c>
      <c r="W52" s="2"/>
      <c r="X52" s="6">
        <f t="shared" si="34"/>
        <v>-65.989999999999995</v>
      </c>
      <c r="Y52" s="2"/>
      <c r="Z52" s="7">
        <f t="shared" si="35"/>
        <v>-1</v>
      </c>
    </row>
    <row r="53" spans="1:26" s="24" customFormat="1" hidden="1" outlineLevel="2" x14ac:dyDescent="0.25">
      <c r="A53" s="28"/>
      <c r="B53" s="11" t="str">
        <f>CONCATENATE("          ", "6375", " - ", "OUTSIDE REPAIRS &amp; MAINTENANCE")</f>
        <v xml:space="preserve">          6375 - OUTSIDE REPAIRS &amp; MAINTENANCE</v>
      </c>
      <c r="C53" s="11"/>
      <c r="D53" s="6">
        <v>1092.95</v>
      </c>
      <c r="E53" s="2"/>
      <c r="F53" s="7">
        <f t="shared" si="28"/>
        <v>2.7309221494165106E-2</v>
      </c>
      <c r="G53" s="2"/>
      <c r="H53" s="6">
        <v>730.03</v>
      </c>
      <c r="I53" s="2"/>
      <c r="J53" s="7">
        <f t="shared" si="29"/>
        <v>2.0306865858634969E-2</v>
      </c>
      <c r="K53" s="2"/>
      <c r="L53" s="6">
        <f t="shared" si="30"/>
        <v>362.92000000000007</v>
      </c>
      <c r="M53" s="2"/>
      <c r="N53" s="7">
        <f t="shared" si="31"/>
        <v>0.49713025492103075</v>
      </c>
      <c r="O53" s="11"/>
      <c r="P53" s="6">
        <v>2109.23</v>
      </c>
      <c r="Q53" s="2"/>
      <c r="R53" s="7">
        <f t="shared" si="32"/>
        <v>3.7839620202682715E-2</v>
      </c>
      <c r="S53" s="2"/>
      <c r="T53" s="6">
        <v>1262.6500000000001</v>
      </c>
      <c r="U53" s="2"/>
      <c r="V53" s="7">
        <f t="shared" si="33"/>
        <v>2.5434428868001225E-2</v>
      </c>
      <c r="W53" s="2"/>
      <c r="X53" s="6">
        <f t="shared" si="34"/>
        <v>846.57999999999993</v>
      </c>
      <c r="Y53" s="2"/>
      <c r="Z53" s="7">
        <f t="shared" si="35"/>
        <v>0.6704787549994059</v>
      </c>
    </row>
    <row r="54" spans="1:26" s="29" customFormat="1" outlineLevel="1" collapsed="1" x14ac:dyDescent="0.25">
      <c r="A54" s="27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SUM(OSRRefD22_9x_0)</f>
        <v>0</v>
      </c>
      <c r="E54" s="1"/>
      <c r="F54" s="5">
        <f t="shared" ref="F54:F62" si="36">IF(D$12=0,0,D54/D$12)</f>
        <v>0</v>
      </c>
      <c r="G54" s="1"/>
      <c r="H54" s="1">
        <f>SUM(OSRRefH22_9x_0)</f>
        <v>121.78</v>
      </c>
      <c r="I54" s="1"/>
      <c r="J54" s="5">
        <f t="shared" ref="J54:J62" si="37">IF(H$12=0,0,H54/H$12)</f>
        <v>3.3874910952489167E-3</v>
      </c>
      <c r="K54" s="1"/>
      <c r="L54" s="1">
        <f t="shared" ref="L54:L62" si="38">+D54-H54</f>
        <v>-121.78</v>
      </c>
      <c r="M54" s="1"/>
      <c r="N54" s="5">
        <f t="shared" ref="N54:N62" si="39">IF(H54=0,0,L54/H54)</f>
        <v>-1</v>
      </c>
      <c r="O54" s="14"/>
      <c r="P54" s="1">
        <f>SUM(OSRRefP22_9x_0)</f>
        <v>40.92</v>
      </c>
      <c r="Q54" s="1"/>
      <c r="R54" s="5">
        <f t="shared" ref="R54:R62" si="40">IF(P$12=0,0,P54/P$12)</f>
        <v>7.3410545966716607E-4</v>
      </c>
      <c r="S54" s="1"/>
      <c r="T54" s="1">
        <f>SUM(OSRRefT22_9x_0)</f>
        <v>161.08000000000001</v>
      </c>
      <c r="U54" s="1"/>
      <c r="V54" s="5">
        <f t="shared" ref="V54:V62" si="41">IF(T$12=0,0,T54/T$12)</f>
        <v>3.2447454180157902E-3</v>
      </c>
      <c r="W54" s="1"/>
      <c r="X54" s="1">
        <f t="shared" ref="X54:X62" si="42">+P54-T54</f>
        <v>-120.16000000000001</v>
      </c>
      <c r="Y54" s="1"/>
      <c r="Z54" s="5">
        <f t="shared" ref="Z54:Z62" si="43">IF(T54=0,0,X54/T54)</f>
        <v>-0.74596473801837593</v>
      </c>
    </row>
    <row r="55" spans="1:26" s="24" customFormat="1" hidden="1" outlineLevel="2" x14ac:dyDescent="0.25">
      <c r="A55" s="28"/>
      <c r="B55" s="11" t="str">
        <f>CONCATENATE("          ", "6286", " - ", "LAUNDRY EXPENSE")</f>
        <v xml:space="preserve">          6286 - LAUNDRY EXPENSE</v>
      </c>
      <c r="C55" s="11"/>
      <c r="D55" s="6"/>
      <c r="E55" s="2"/>
      <c r="F55" s="7">
        <f t="shared" si="36"/>
        <v>0</v>
      </c>
      <c r="G55" s="2"/>
      <c r="H55" s="6">
        <v>121.78</v>
      </c>
      <c r="I55" s="2"/>
      <c r="J55" s="7">
        <f t="shared" si="37"/>
        <v>3.3874910952489167E-3</v>
      </c>
      <c r="K55" s="2"/>
      <c r="L55" s="6">
        <f t="shared" si="38"/>
        <v>-121.78</v>
      </c>
      <c r="M55" s="2"/>
      <c r="N55" s="7">
        <f t="shared" si="39"/>
        <v>-1</v>
      </c>
      <c r="O55" s="11"/>
      <c r="P55" s="6">
        <v>40.92</v>
      </c>
      <c r="Q55" s="2"/>
      <c r="R55" s="7">
        <f t="shared" si="40"/>
        <v>7.3410545966716607E-4</v>
      </c>
      <c r="S55" s="2"/>
      <c r="T55" s="6">
        <v>161.08000000000001</v>
      </c>
      <c r="U55" s="2"/>
      <c r="V55" s="7">
        <f t="shared" si="41"/>
        <v>3.2447454180157902E-3</v>
      </c>
      <c r="W55" s="2"/>
      <c r="X55" s="6">
        <f t="shared" si="42"/>
        <v>-120.16000000000001</v>
      </c>
      <c r="Y55" s="2"/>
      <c r="Z55" s="7">
        <f t="shared" si="43"/>
        <v>-0.74596473801837593</v>
      </c>
    </row>
    <row r="56" spans="1:26" s="29" customFormat="1" outlineLevel="1" collapsed="1" x14ac:dyDescent="0.25">
      <c r="A56" s="27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SUM(OSRRefD22_10x_0)</f>
        <v>360.32</v>
      </c>
      <c r="E56" s="1"/>
      <c r="F56" s="5">
        <f t="shared" si="36"/>
        <v>9.0032102921245895E-3</v>
      </c>
      <c r="G56" s="1"/>
      <c r="H56" s="1">
        <f>SUM(OSRRefH22_10x_0)</f>
        <v>265.16000000000003</v>
      </c>
      <c r="I56" s="1"/>
      <c r="J56" s="5">
        <f t="shared" si="37"/>
        <v>7.3758181870274501E-3</v>
      </c>
      <c r="K56" s="1"/>
      <c r="L56" s="1">
        <f t="shared" si="38"/>
        <v>95.159999999999968</v>
      </c>
      <c r="M56" s="1"/>
      <c r="N56" s="5">
        <f t="shared" si="39"/>
        <v>0.35887765877206201</v>
      </c>
      <c r="O56" s="14"/>
      <c r="P56" s="1">
        <f>SUM(OSRRefP22_10x_0)</f>
        <v>2623.4300000000003</v>
      </c>
      <c r="Q56" s="1"/>
      <c r="R56" s="5">
        <f t="shared" si="40"/>
        <v>4.7064376492048726E-2</v>
      </c>
      <c r="S56" s="1"/>
      <c r="T56" s="1">
        <f>SUM(OSRRefT22_10x_0)</f>
        <v>2075.5100000000002</v>
      </c>
      <c r="U56" s="1"/>
      <c r="V56" s="5">
        <f t="shared" si="41"/>
        <v>4.1808427877737475E-2</v>
      </c>
      <c r="W56" s="1"/>
      <c r="X56" s="1">
        <f t="shared" si="42"/>
        <v>547.92000000000007</v>
      </c>
      <c r="Y56" s="1"/>
      <c r="Z56" s="5">
        <f t="shared" si="43"/>
        <v>0.26399294631199077</v>
      </c>
    </row>
    <row r="57" spans="1:26" s="24" customFormat="1" hidden="1" outlineLevel="2" x14ac:dyDescent="0.25">
      <c r="A57" s="28"/>
      <c r="B57" s="11" t="str">
        <f>CONCATENATE("          ", "6237", " - ", "JANITORIAL SUPPLIES")</f>
        <v xml:space="preserve">          6237 - JANITORIAL SUPPLIES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/>
      <c r="Q57" s="2"/>
      <c r="R57" s="7">
        <f t="shared" si="40"/>
        <v>0</v>
      </c>
      <c r="S57" s="2"/>
      <c r="T57" s="6">
        <v>11.08</v>
      </c>
      <c r="U57" s="2"/>
      <c r="V57" s="7">
        <f t="shared" si="41"/>
        <v>2.2319207370011766E-4</v>
      </c>
      <c r="W57" s="2"/>
      <c r="X57" s="6">
        <f t="shared" si="42"/>
        <v>-11.08</v>
      </c>
      <c r="Y57" s="2"/>
      <c r="Z57" s="7">
        <f t="shared" si="43"/>
        <v>-1</v>
      </c>
    </row>
    <row r="58" spans="1:26" s="24" customFormat="1" hidden="1" outlineLevel="2" x14ac:dyDescent="0.25">
      <c r="A58" s="28"/>
      <c r="B58" s="11" t="str">
        <f>CONCATENATE("          ", "6239", " - ", "KITCHEN SUPPLIES")</f>
        <v xml:space="preserve">          6239 - KITCHEN SUPPLIES</v>
      </c>
      <c r="C58" s="11"/>
      <c r="D58" s="6"/>
      <c r="E58" s="2"/>
      <c r="F58" s="7">
        <f t="shared" si="36"/>
        <v>0</v>
      </c>
      <c r="G58" s="2"/>
      <c r="H58" s="6">
        <v>11.13</v>
      </c>
      <c r="I58" s="2"/>
      <c r="J58" s="7">
        <f t="shared" si="37"/>
        <v>3.0959743710067699E-4</v>
      </c>
      <c r="K58" s="2"/>
      <c r="L58" s="6">
        <f t="shared" si="38"/>
        <v>-11.13</v>
      </c>
      <c r="M58" s="2"/>
      <c r="N58" s="7">
        <f t="shared" si="39"/>
        <v>-1</v>
      </c>
      <c r="O58" s="11"/>
      <c r="P58" s="6">
        <v>869.07</v>
      </c>
      <c r="Q58" s="2"/>
      <c r="R58" s="7">
        <f t="shared" si="40"/>
        <v>1.5591129810189249E-2</v>
      </c>
      <c r="S58" s="2"/>
      <c r="T58" s="6">
        <v>49.35</v>
      </c>
      <c r="U58" s="2"/>
      <c r="V58" s="7">
        <f t="shared" si="41"/>
        <v>9.9409105027985613E-4</v>
      </c>
      <c r="W58" s="2"/>
      <c r="X58" s="6">
        <f t="shared" si="42"/>
        <v>819.72</v>
      </c>
      <c r="Y58" s="2"/>
      <c r="Z58" s="7">
        <f t="shared" si="43"/>
        <v>16.610334346504558</v>
      </c>
    </row>
    <row r="59" spans="1:26" s="24" customFormat="1" hidden="1" outlineLevel="2" x14ac:dyDescent="0.25">
      <c r="A59" s="28"/>
      <c r="B59" s="11" t="str">
        <f>CONCATENATE("          ", "6241", " - ", "OFFICE EXPENSE")</f>
        <v xml:space="preserve">          6241 - OFFICE EXPENSE</v>
      </c>
      <c r="C59" s="11"/>
      <c r="D59" s="6">
        <v>130.63999999999999</v>
      </c>
      <c r="E59" s="2"/>
      <c r="F59" s="7">
        <f t="shared" si="36"/>
        <v>3.2642634118648876E-3</v>
      </c>
      <c r="G59" s="2"/>
      <c r="H59" s="6">
        <v>4.3499999999999996</v>
      </c>
      <c r="I59" s="2"/>
      <c r="J59" s="7">
        <f t="shared" si="37"/>
        <v>1.210016937455476E-4</v>
      </c>
      <c r="K59" s="2"/>
      <c r="L59" s="6">
        <f t="shared" si="38"/>
        <v>126.28999999999999</v>
      </c>
      <c r="M59" s="2"/>
      <c r="N59" s="7">
        <f t="shared" si="39"/>
        <v>29.032183908045976</v>
      </c>
      <c r="O59" s="11"/>
      <c r="P59" s="6">
        <v>465.89</v>
      </c>
      <c r="Q59" s="2"/>
      <c r="R59" s="7">
        <f t="shared" si="40"/>
        <v>8.3580741105653954E-3</v>
      </c>
      <c r="S59" s="2"/>
      <c r="T59" s="6">
        <v>8.6999999999999993</v>
      </c>
      <c r="U59" s="2"/>
      <c r="V59" s="7">
        <f t="shared" si="41"/>
        <v>1.7525009397030897E-4</v>
      </c>
      <c r="W59" s="2"/>
      <c r="X59" s="6">
        <f t="shared" si="42"/>
        <v>457.19</v>
      </c>
      <c r="Y59" s="2"/>
      <c r="Z59" s="7">
        <f t="shared" si="43"/>
        <v>52.55057471264368</v>
      </c>
    </row>
    <row r="60" spans="1:26" s="24" customFormat="1" hidden="1" outlineLevel="2" x14ac:dyDescent="0.25">
      <c r="A60" s="28"/>
      <c r="B60" s="11" t="str">
        <f>CONCATENATE("          ", "6243", " - ", "PAPER SUPPLIES")</f>
        <v xml:space="preserve">          6243 - PAPER SUPPLIES</v>
      </c>
      <c r="C60" s="11"/>
      <c r="D60" s="6">
        <v>229.68</v>
      </c>
      <c r="E60" s="2"/>
      <c r="F60" s="7">
        <f t="shared" si="36"/>
        <v>5.7389468802597019E-3</v>
      </c>
      <c r="G60" s="2"/>
      <c r="H60" s="6">
        <v>249.68</v>
      </c>
      <c r="I60" s="2"/>
      <c r="J60" s="7">
        <f t="shared" si="37"/>
        <v>6.9452190561812253E-3</v>
      </c>
      <c r="K60" s="2"/>
      <c r="L60" s="6">
        <f t="shared" si="38"/>
        <v>-20</v>
      </c>
      <c r="M60" s="2"/>
      <c r="N60" s="7">
        <f t="shared" si="39"/>
        <v>-8.0102531239987187E-2</v>
      </c>
      <c r="O60" s="11"/>
      <c r="P60" s="6">
        <v>548.79999999999995</v>
      </c>
      <c r="Q60" s="2"/>
      <c r="R60" s="7">
        <f t="shared" si="40"/>
        <v>9.8454808471490889E-3</v>
      </c>
      <c r="S60" s="2"/>
      <c r="T60" s="6">
        <v>582.71</v>
      </c>
      <c r="U60" s="2"/>
      <c r="V60" s="7">
        <f t="shared" si="41"/>
        <v>1.1737928995107904E-2</v>
      </c>
      <c r="W60" s="2"/>
      <c r="X60" s="6">
        <f t="shared" si="42"/>
        <v>-33.910000000000082</v>
      </c>
      <c r="Y60" s="2"/>
      <c r="Z60" s="7">
        <f t="shared" si="43"/>
        <v>-5.8193612603181823E-2</v>
      </c>
    </row>
    <row r="61" spans="1:26" s="24" customFormat="1" hidden="1" outlineLevel="2" x14ac:dyDescent="0.25">
      <c r="A61" s="28"/>
      <c r="B61" s="11" t="str">
        <f>CONCATENATE("          ", "6247", " - ", "STORE SUPPLIES")</f>
        <v xml:space="preserve">          6247 - STORE SUPPLIES</v>
      </c>
      <c r="C61" s="11"/>
      <c r="D61" s="6"/>
      <c r="E61" s="2"/>
      <c r="F61" s="7">
        <f t="shared" si="36"/>
        <v>0</v>
      </c>
      <c r="G61" s="2"/>
      <c r="H61" s="6"/>
      <c r="I61" s="2"/>
      <c r="J61" s="7">
        <f t="shared" si="37"/>
        <v>0</v>
      </c>
      <c r="K61" s="2"/>
      <c r="L61" s="6">
        <f t="shared" si="38"/>
        <v>0</v>
      </c>
      <c r="M61" s="2"/>
      <c r="N61" s="7">
        <f t="shared" si="39"/>
        <v>0</v>
      </c>
      <c r="O61" s="11"/>
      <c r="P61" s="6">
        <v>102.64</v>
      </c>
      <c r="Q61" s="2"/>
      <c r="R61" s="7">
        <f t="shared" si="40"/>
        <v>1.8413632546490208E-3</v>
      </c>
      <c r="S61" s="2"/>
      <c r="T61" s="6">
        <v>771.1</v>
      </c>
      <c r="U61" s="2"/>
      <c r="V61" s="7">
        <f t="shared" si="41"/>
        <v>1.5532798558678767E-2</v>
      </c>
      <c r="W61" s="2"/>
      <c r="X61" s="6">
        <f t="shared" si="42"/>
        <v>-668.46</v>
      </c>
      <c r="Y61" s="2"/>
      <c r="Z61" s="7">
        <f t="shared" si="43"/>
        <v>-0.86689145376734533</v>
      </c>
    </row>
    <row r="62" spans="1:26" s="24" customFormat="1" hidden="1" outlineLevel="2" x14ac:dyDescent="0.25">
      <c r="A62" s="28"/>
      <c r="B62" s="11" t="str">
        <f>CONCATENATE("          ", "6248", " - ", "UNIFORMS")</f>
        <v xml:space="preserve">          6248 - UNIFORMS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>
        <v>637.03</v>
      </c>
      <c r="Q62" s="2"/>
      <c r="R62" s="7">
        <f t="shared" si="40"/>
        <v>1.1428328469495963E-2</v>
      </c>
      <c r="S62" s="2"/>
      <c r="T62" s="6">
        <v>652.57000000000005</v>
      </c>
      <c r="U62" s="2"/>
      <c r="V62" s="7">
        <f t="shared" si="41"/>
        <v>1.3145167106000524E-2</v>
      </c>
      <c r="W62" s="2"/>
      <c r="X62" s="6">
        <f t="shared" si="42"/>
        <v>-15.540000000000077</v>
      </c>
      <c r="Y62" s="2"/>
      <c r="Z62" s="7">
        <f t="shared" si="43"/>
        <v>-2.3813537245046625E-2</v>
      </c>
    </row>
    <row r="63" spans="1:26" s="29" customFormat="1" outlineLevel="1" collapsed="1" x14ac:dyDescent="0.25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SUM(OSRRefD22_11x_0)</f>
        <v>145</v>
      </c>
      <c r="E63" s="1"/>
      <c r="F63" s="5">
        <f t="shared" ref="F63:F66" si="44">IF(D$12=0,0,D63/D$12)</f>
        <v>3.6230725254164787E-3</v>
      </c>
      <c r="G63" s="1"/>
      <c r="H63" s="1">
        <f>SUM(OSRRefH22_11x_0)</f>
        <v>140</v>
      </c>
      <c r="I63" s="1"/>
      <c r="J63" s="5">
        <f t="shared" ref="J63:J66" si="45">IF(H$12=0,0,H63/H$12)</f>
        <v>3.8943073849141761E-3</v>
      </c>
      <c r="K63" s="1"/>
      <c r="L63" s="1">
        <f t="shared" ref="L63:L66" si="46">+D63-H63</f>
        <v>5</v>
      </c>
      <c r="M63" s="1"/>
      <c r="N63" s="5">
        <f t="shared" ref="N63:N66" si="47">IF(H63=0,0,L63/H63)</f>
        <v>3.5714285714285712E-2</v>
      </c>
      <c r="O63" s="14"/>
      <c r="P63" s="1">
        <f>SUM(OSRRefP22_11x_0)</f>
        <v>263</v>
      </c>
      <c r="Q63" s="1"/>
      <c r="R63" s="5">
        <f t="shared" ref="R63:R66" si="48">IF(P$12=0,0,P63/P$12)</f>
        <v>4.7182242397963018E-3</v>
      </c>
      <c r="S63" s="1"/>
      <c r="T63" s="1">
        <f>SUM(OSRRefT22_11x_0)</f>
        <v>253.4</v>
      </c>
      <c r="U63" s="1"/>
      <c r="V63" s="5">
        <f t="shared" ref="V63:V66" si="49">IF(T$12=0,0,T63/T$12)</f>
        <v>5.1044107829972757E-3</v>
      </c>
      <c r="W63" s="1"/>
      <c r="X63" s="1">
        <f t="shared" ref="X63:X66" si="50">+P63-T63</f>
        <v>9.5999999999999943</v>
      </c>
      <c r="Y63" s="1"/>
      <c r="Z63" s="5">
        <f t="shared" ref="Z63:Z66" si="51">IF(T63=0,0,X63/T63)</f>
        <v>3.7884767166535098E-2</v>
      </c>
    </row>
    <row r="64" spans="1:26" s="24" customFormat="1" hidden="1" outlineLevel="2" x14ac:dyDescent="0.25">
      <c r="A64" s="28"/>
      <c r="B64" s="11" t="str">
        <f>CONCATENATE("          ", "6309", " - ", "TELEPHONE")</f>
        <v xml:space="preserve">          6309 - TELEPHONE</v>
      </c>
      <c r="C64" s="11"/>
      <c r="D64" s="6">
        <v>145</v>
      </c>
      <c r="E64" s="2"/>
      <c r="F64" s="7">
        <f t="shared" si="44"/>
        <v>3.6230725254164787E-3</v>
      </c>
      <c r="G64" s="2"/>
      <c r="H64" s="6">
        <v>140</v>
      </c>
      <c r="I64" s="2"/>
      <c r="J64" s="7">
        <f t="shared" si="45"/>
        <v>3.8943073849141761E-3</v>
      </c>
      <c r="K64" s="2"/>
      <c r="L64" s="6">
        <f t="shared" si="46"/>
        <v>5</v>
      </c>
      <c r="M64" s="2"/>
      <c r="N64" s="7">
        <f t="shared" si="47"/>
        <v>3.5714285714285712E-2</v>
      </c>
      <c r="O64" s="11"/>
      <c r="P64" s="6">
        <v>263</v>
      </c>
      <c r="Q64" s="2"/>
      <c r="R64" s="7">
        <f t="shared" si="48"/>
        <v>4.7182242397963018E-3</v>
      </c>
      <c r="S64" s="2"/>
      <c r="T64" s="6">
        <v>253.4</v>
      </c>
      <c r="U64" s="2"/>
      <c r="V64" s="7">
        <f t="shared" si="49"/>
        <v>5.1044107829972757E-3</v>
      </c>
      <c r="W64" s="2"/>
      <c r="X64" s="6">
        <f t="shared" si="50"/>
        <v>9.5999999999999943</v>
      </c>
      <c r="Y64" s="2"/>
      <c r="Z64" s="7">
        <f t="shared" si="51"/>
        <v>3.7884767166535098E-2</v>
      </c>
    </row>
    <row r="65" spans="1:26" s="29" customFormat="1" outlineLevel="1" collapsed="1" x14ac:dyDescent="0.25">
      <c r="A65" s="27"/>
      <c r="B65" s="14" t="str">
        <f>CONCATENATE("     ","Training                                          ")</f>
        <v xml:space="preserve">     Training                                          </v>
      </c>
      <c r="C65" s="14"/>
      <c r="D65" s="1">
        <f>SUM(OSRRefD22_12x_0)</f>
        <v>0</v>
      </c>
      <c r="E65" s="1"/>
      <c r="F65" s="5">
        <f t="shared" si="44"/>
        <v>0</v>
      </c>
      <c r="G65" s="1"/>
      <c r="H65" s="1">
        <f>SUM(OSRRefH22_12x_0)</f>
        <v>0</v>
      </c>
      <c r="I65" s="1"/>
      <c r="J65" s="5">
        <f t="shared" si="45"/>
        <v>0</v>
      </c>
      <c r="K65" s="1"/>
      <c r="L65" s="1">
        <f t="shared" si="46"/>
        <v>0</v>
      </c>
      <c r="M65" s="1"/>
      <c r="N65" s="5">
        <f t="shared" si="47"/>
        <v>0</v>
      </c>
      <c r="O65" s="14"/>
      <c r="P65" s="1">
        <f>SUM(OSRRefP22_12x_0)</f>
        <v>152.94999999999999</v>
      </c>
      <c r="Q65" s="1"/>
      <c r="R65" s="5">
        <f t="shared" si="48"/>
        <v>2.7439254656914233E-3</v>
      </c>
      <c r="S65" s="1"/>
      <c r="T65" s="1">
        <f>SUM(OSRRefT22_12x_0)</f>
        <v>0</v>
      </c>
      <c r="U65" s="1"/>
      <c r="V65" s="5">
        <f t="shared" si="49"/>
        <v>0</v>
      </c>
      <c r="W65" s="1"/>
      <c r="X65" s="1">
        <f t="shared" si="50"/>
        <v>152.94999999999999</v>
      </c>
      <c r="Y65" s="1"/>
      <c r="Z65" s="5">
        <f t="shared" si="51"/>
        <v>0</v>
      </c>
    </row>
    <row r="66" spans="1:26" s="24" customFormat="1" hidden="1" outlineLevel="2" x14ac:dyDescent="0.25">
      <c r="A66" s="28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44"/>
        <v>0</v>
      </c>
      <c r="G66" s="2"/>
      <c r="H66" s="6"/>
      <c r="I66" s="2"/>
      <c r="J66" s="7">
        <f t="shared" si="45"/>
        <v>0</v>
      </c>
      <c r="K66" s="2"/>
      <c r="L66" s="6">
        <f t="shared" si="46"/>
        <v>0</v>
      </c>
      <c r="M66" s="2"/>
      <c r="N66" s="7">
        <f t="shared" si="47"/>
        <v>0</v>
      </c>
      <c r="O66" s="11"/>
      <c r="P66" s="6">
        <v>152.94999999999999</v>
      </c>
      <c r="Q66" s="2"/>
      <c r="R66" s="7">
        <f t="shared" si="48"/>
        <v>2.7439254656914233E-3</v>
      </c>
      <c r="S66" s="2"/>
      <c r="T66" s="6"/>
      <c r="U66" s="2"/>
      <c r="V66" s="7">
        <f t="shared" si="49"/>
        <v>0</v>
      </c>
      <c r="W66" s="2"/>
      <c r="X66" s="6">
        <f t="shared" si="50"/>
        <v>152.94999999999999</v>
      </c>
      <c r="Y66" s="2"/>
      <c r="Z66" s="7">
        <f t="shared" si="51"/>
        <v>0</v>
      </c>
    </row>
    <row r="67" spans="1:26" s="53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5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6" t="s">
        <v>3</v>
      </c>
      <c r="C70" s="26"/>
      <c r="D70" s="21">
        <f>+D20-D22+D68</f>
        <v>-949.11000000000058</v>
      </c>
      <c r="E70" s="13"/>
      <c r="F70" s="20">
        <f>IF(D$12=0,0,D70/D$12)</f>
        <v>-2.3715133548951974E-2</v>
      </c>
      <c r="G70" s="13"/>
      <c r="H70" s="21">
        <f>+H20-H22+H68</f>
        <v>4743.6900000000023</v>
      </c>
      <c r="I70" s="13"/>
      <c r="J70" s="20">
        <f>IF(H$12=0,0,H70/H$12)</f>
        <v>0.13195276427673955</v>
      </c>
      <c r="K70" s="15"/>
      <c r="L70" s="21">
        <f>+D70-H70</f>
        <v>-5692.8000000000029</v>
      </c>
      <c r="M70" s="15"/>
      <c r="N70" s="20">
        <f>IF(H70=0,0,L70/H70)</f>
        <v>-1.2000784199642052</v>
      </c>
      <c r="O70" s="25"/>
      <c r="P70" s="21">
        <f>+P20-P22+P68</f>
        <v>-22086.020000000004</v>
      </c>
      <c r="Q70" s="13"/>
      <c r="R70" s="20">
        <f>IF(P$12=0,0,P70/P$12)</f>
        <v>-0.39622355484648647</v>
      </c>
      <c r="S70" s="13"/>
      <c r="T70" s="21">
        <f>+T20-T22+T68</f>
        <v>-11121.389999999992</v>
      </c>
      <c r="U70" s="13"/>
      <c r="V70" s="20">
        <f>IF(T$12=0,0,T70/T$12)</f>
        <v>-0.22402582098625901</v>
      </c>
      <c r="W70" s="15"/>
      <c r="X70" s="21">
        <f>+P70-T70</f>
        <v>-10964.630000000012</v>
      </c>
      <c r="Y70" s="15"/>
      <c r="Z70" s="20">
        <f>IF(T70=0,0,X70/T70)</f>
        <v>0.98590463961789121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>
        <v>4027.36</v>
      </c>
      <c r="E72" s="4"/>
      <c r="F72" s="12">
        <f>IF(D$12=0,0,D72/D$12)</f>
        <v>0.10063046459283662</v>
      </c>
      <c r="G72" s="4"/>
      <c r="H72" s="4">
        <v>3012.64</v>
      </c>
      <c r="I72" s="4"/>
      <c r="J72" s="12">
        <f>IF(H$12=0,0,H72/H$12)</f>
        <v>8.3801044286341733E-2</v>
      </c>
      <c r="K72" s="4"/>
      <c r="L72" s="4">
        <f>+D72-H72</f>
        <v>1014.7200000000003</v>
      </c>
      <c r="M72" s="4"/>
      <c r="N72" s="12">
        <f>IF(H72=0,0,L72/H72)</f>
        <v>0.3368208614371449</v>
      </c>
      <c r="O72" s="10"/>
      <c r="P72" s="4">
        <v>5987.36</v>
      </c>
      <c r="Q72" s="4"/>
      <c r="R72" s="12">
        <f>IF(P$12=0,0,P72/P$12)</f>
        <v>0.10741333492162276</v>
      </c>
      <c r="S72" s="4"/>
      <c r="T72" s="4">
        <v>4410.67</v>
      </c>
      <c r="U72" s="4"/>
      <c r="V72" s="12">
        <f>IF(T$12=0,0,T72/T$12)</f>
        <v>8.8847164594485384E-2</v>
      </c>
      <c r="W72" s="4"/>
      <c r="X72" s="4">
        <f>+P72-T72</f>
        <v>1576.6899999999996</v>
      </c>
      <c r="Y72" s="4"/>
      <c r="Z72" s="12">
        <f>IF(T72=0,0,X72/T72)</f>
        <v>0.35747176732786617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6" t="s">
        <v>4</v>
      </c>
      <c r="C74" s="26"/>
      <c r="D74" s="35">
        <f>+D70-D72</f>
        <v>-4976.4700000000012</v>
      </c>
      <c r="E74" s="13"/>
      <c r="F74" s="30">
        <f>IF(D$12=0,0,D74/D$12)</f>
        <v>-0.1243455981417886</v>
      </c>
      <c r="G74" s="13"/>
      <c r="H74" s="35">
        <f>+H70-H72</f>
        <v>1731.0500000000025</v>
      </c>
      <c r="I74" s="13"/>
      <c r="J74" s="30">
        <f>IF(H$12=0,0,H74/H$12)</f>
        <v>4.8151719990397815E-2</v>
      </c>
      <c r="K74" s="15"/>
      <c r="L74" s="35">
        <f>D74-H74</f>
        <v>-6707.5200000000041</v>
      </c>
      <c r="M74" s="15"/>
      <c r="N74" s="30">
        <f>IF(H74=0,0,L74/H74)</f>
        <v>-3.8748274168857022</v>
      </c>
      <c r="O74" s="25"/>
      <c r="P74" s="35">
        <f>+P70-P72</f>
        <v>-28073.380000000005</v>
      </c>
      <c r="Q74" s="13"/>
      <c r="R74" s="30">
        <f>IF(P$12=0,0,P74/P$12)</f>
        <v>-0.50363688976810927</v>
      </c>
      <c r="S74" s="13"/>
      <c r="T74" s="35">
        <f>+T70-T72</f>
        <v>-15532.059999999992</v>
      </c>
      <c r="U74" s="13"/>
      <c r="V74" s="30">
        <f>IF(T$12=0,0,T74/T$12)</f>
        <v>-0.31287298558074439</v>
      </c>
      <c r="W74" s="15"/>
      <c r="X74" s="35">
        <f>P74-T74</f>
        <v>-12541.320000000012</v>
      </c>
      <c r="Y74" s="15"/>
      <c r="Z74" s="30">
        <f>IF(T74=0,0,X74/T74)</f>
        <v>0.80744730576626789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5</v>
      </c>
      <c r="C77" s="26"/>
      <c r="D77" s="36">
        <f>SUM(D74:D76)</f>
        <v>-4976.4700000000012</v>
      </c>
      <c r="E77" s="13"/>
      <c r="F77" s="31">
        <f>IF(D$12=0,0,D77/D$12)</f>
        <v>-0.1243455981417886</v>
      </c>
      <c r="G77" s="13"/>
      <c r="H77" s="36">
        <f>SUM(H74:H76)</f>
        <v>1731.0500000000025</v>
      </c>
      <c r="I77" s="13"/>
      <c r="J77" s="31">
        <f>IF(H$12=0,0,H77/H$12)</f>
        <v>4.8151719990397815E-2</v>
      </c>
      <c r="K77" s="15"/>
      <c r="L77" s="36">
        <f>+D77-H77</f>
        <v>-6707.5200000000041</v>
      </c>
      <c r="M77" s="15"/>
      <c r="N77" s="31">
        <f>IF(H77=0,0,L77/H77)</f>
        <v>-3.8748274168857022</v>
      </c>
      <c r="O77" s="25"/>
      <c r="P77" s="36">
        <f>SUM(P74:P76)</f>
        <v>-28073.380000000005</v>
      </c>
      <c r="Q77" s="13"/>
      <c r="R77" s="31">
        <f>IF(P$12=0,0,P77/P$12)</f>
        <v>-0.50363688976810927</v>
      </c>
      <c r="S77" s="13"/>
      <c r="T77" s="36">
        <f>SUM(T74:T76)</f>
        <v>-15532.059999999992</v>
      </c>
      <c r="U77" s="13"/>
      <c r="V77" s="31">
        <f>IF(T$12=0,0,T77/T$12)</f>
        <v>-0.31287298558074439</v>
      </c>
      <c r="W77" s="15"/>
      <c r="X77" s="36">
        <f>+P77-T77</f>
        <v>-12541.320000000012</v>
      </c>
      <c r="Y77" s="15"/>
      <c r="Z77" s="31">
        <f>IF(T77=0,0,X77/T77)</f>
        <v>0.80744730576626789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5">
        <v>43756.463276041664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6" t="s">
        <v>313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7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","411", " - ", "University Dining")</f>
        <v>Department 411 - University Dining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99769.579999999987</v>
      </c>
      <c r="E18" s="22"/>
      <c r="F18" s="34">
        <f t="shared" ref="F18:F28" si="0">IF(D$12=0,0,D18/D$12)</f>
        <v>0</v>
      </c>
      <c r="G18" s="22"/>
      <c r="H18" s="22">
        <f>SUM(OSRRefH22x_0)</f>
        <v>88283.279999999984</v>
      </c>
      <c r="I18" s="22"/>
      <c r="J18" s="34">
        <f t="shared" ref="J18:J28" si="1">IF(H$12=0,0,H18/H$12)</f>
        <v>0</v>
      </c>
      <c r="K18" s="4"/>
      <c r="L18" s="22">
        <f t="shared" ref="L18:L28" si="2">+D18-H18</f>
        <v>11486.300000000003</v>
      </c>
      <c r="M18" s="4"/>
      <c r="N18" s="34">
        <f t="shared" ref="N18:N28" si="3">IF(H18=0,0,L18/H18)</f>
        <v>0.13010730910768159</v>
      </c>
      <c r="O18" s="10"/>
      <c r="P18" s="22">
        <f>SUM(OSRRefP22x_0)</f>
        <v>271490.52</v>
      </c>
      <c r="Q18" s="22"/>
      <c r="R18" s="34">
        <f t="shared" ref="R18:R28" si="4">IF(P$12=0,0,P18/P$12)</f>
        <v>0</v>
      </c>
      <c r="S18" s="22"/>
      <c r="T18" s="22">
        <f>SUM(OSRRefT22x_0)</f>
        <v>275416.19</v>
      </c>
      <c r="U18" s="22"/>
      <c r="V18" s="34">
        <f t="shared" ref="V18:V28" si="5">IF(T$12=0,0,T18/T$12)</f>
        <v>0</v>
      </c>
      <c r="W18" s="4"/>
      <c r="X18" s="22">
        <f t="shared" ref="X18:X28" si="6">+P18-T18</f>
        <v>-3925.6699999999837</v>
      </c>
      <c r="Y18" s="4"/>
      <c r="Z18" s="34">
        <f t="shared" ref="Z18:Z28" si="7">IF(T18=0,0,X18/T18)</f>
        <v>-1.4253591991088046E-2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9852.99</v>
      </c>
      <c r="E19" s="1"/>
      <c r="F19" s="5">
        <f t="shared" si="0"/>
        <v>0</v>
      </c>
      <c r="G19" s="1"/>
      <c r="H19" s="1">
        <f>SUM(OSRRefH22_0x_0)</f>
        <v>9658.67</v>
      </c>
      <c r="I19" s="1"/>
      <c r="J19" s="5">
        <f t="shared" si="1"/>
        <v>0</v>
      </c>
      <c r="K19" s="1"/>
      <c r="L19" s="1">
        <f t="shared" si="2"/>
        <v>194.31999999999971</v>
      </c>
      <c r="M19" s="1"/>
      <c r="N19" s="5">
        <f t="shared" si="3"/>
        <v>2.0118711996579209E-2</v>
      </c>
      <c r="O19" s="14"/>
      <c r="P19" s="1">
        <f>SUM(OSRRefP22_0x_0)</f>
        <v>32031.999999999996</v>
      </c>
      <c r="Q19" s="1"/>
      <c r="R19" s="5">
        <f t="shared" si="4"/>
        <v>0</v>
      </c>
      <c r="S19" s="1"/>
      <c r="T19" s="1">
        <f>SUM(OSRRefT22_0x_0)</f>
        <v>29159.609999999997</v>
      </c>
      <c r="U19" s="1"/>
      <c r="V19" s="5">
        <f t="shared" si="5"/>
        <v>0</v>
      </c>
      <c r="W19" s="1"/>
      <c r="X19" s="1">
        <f t="shared" si="6"/>
        <v>2872.3899999999994</v>
      </c>
      <c r="Y19" s="1"/>
      <c r="Z19" s="5">
        <f t="shared" si="7"/>
        <v>9.8505775625942857E-2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2041.68</v>
      </c>
      <c r="E20" s="2"/>
      <c r="F20" s="7">
        <f t="shared" si="0"/>
        <v>0</v>
      </c>
      <c r="G20" s="2"/>
      <c r="H20" s="6">
        <v>1641.06</v>
      </c>
      <c r="I20" s="2"/>
      <c r="J20" s="7">
        <f t="shared" si="1"/>
        <v>0</v>
      </c>
      <c r="K20" s="2"/>
      <c r="L20" s="6">
        <f t="shared" si="2"/>
        <v>400.62000000000012</v>
      </c>
      <c r="M20" s="2"/>
      <c r="N20" s="7">
        <f t="shared" si="3"/>
        <v>0.24412270118094409</v>
      </c>
      <c r="O20" s="11"/>
      <c r="P20" s="6">
        <v>6063.2</v>
      </c>
      <c r="Q20" s="2"/>
      <c r="R20" s="7">
        <f t="shared" si="4"/>
        <v>0</v>
      </c>
      <c r="S20" s="2"/>
      <c r="T20" s="6">
        <v>4491.54</v>
      </c>
      <c r="U20" s="2"/>
      <c r="V20" s="7">
        <f t="shared" si="5"/>
        <v>0</v>
      </c>
      <c r="W20" s="2"/>
      <c r="X20" s="6">
        <f t="shared" si="6"/>
        <v>1571.6599999999999</v>
      </c>
      <c r="Y20" s="2"/>
      <c r="Z20" s="7">
        <f t="shared" si="7"/>
        <v>0.34991561914176428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921.43</v>
      </c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921.43</v>
      </c>
      <c r="M21" s="2"/>
      <c r="N21" s="7">
        <f t="shared" si="3"/>
        <v>0</v>
      </c>
      <c r="O21" s="11"/>
      <c r="P21" s="6">
        <v>2391.2600000000002</v>
      </c>
      <c r="Q21" s="2"/>
      <c r="R21" s="7">
        <f t="shared" si="4"/>
        <v>0</v>
      </c>
      <c r="S21" s="2"/>
      <c r="T21" s="6">
        <v>1423.95</v>
      </c>
      <c r="U21" s="2"/>
      <c r="V21" s="7">
        <f t="shared" si="5"/>
        <v>0</v>
      </c>
      <c r="W21" s="2"/>
      <c r="X21" s="6">
        <f t="shared" si="6"/>
        <v>967.31000000000017</v>
      </c>
      <c r="Y21" s="2"/>
      <c r="Z21" s="7">
        <f t="shared" si="7"/>
        <v>0.67931458267495359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3654.84</v>
      </c>
      <c r="E22" s="2"/>
      <c r="F22" s="7">
        <f t="shared" si="0"/>
        <v>0</v>
      </c>
      <c r="G22" s="2"/>
      <c r="H22" s="6">
        <v>3578.11</v>
      </c>
      <c r="I22" s="2"/>
      <c r="J22" s="7">
        <f t="shared" si="1"/>
        <v>0</v>
      </c>
      <c r="K22" s="2"/>
      <c r="L22" s="6">
        <f t="shared" si="2"/>
        <v>76.730000000000018</v>
      </c>
      <c r="M22" s="2"/>
      <c r="N22" s="7">
        <f t="shared" si="3"/>
        <v>2.1444282037164877E-2</v>
      </c>
      <c r="O22" s="11"/>
      <c r="P22" s="6">
        <v>10964.6</v>
      </c>
      <c r="Q22" s="2"/>
      <c r="R22" s="7">
        <f t="shared" si="4"/>
        <v>0</v>
      </c>
      <c r="S22" s="2"/>
      <c r="T22" s="6">
        <v>8514.66</v>
      </c>
      <c r="U22" s="2"/>
      <c r="V22" s="7">
        <f t="shared" si="5"/>
        <v>0</v>
      </c>
      <c r="W22" s="2"/>
      <c r="X22" s="6">
        <f t="shared" si="6"/>
        <v>2449.9400000000005</v>
      </c>
      <c r="Y22" s="2"/>
      <c r="Z22" s="7">
        <f t="shared" si="7"/>
        <v>0.28773198225178698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73.400000000000006</v>
      </c>
      <c r="E23" s="2"/>
      <c r="F23" s="7">
        <f t="shared" si="0"/>
        <v>0</v>
      </c>
      <c r="G23" s="2"/>
      <c r="H23" s="6">
        <v>58.08</v>
      </c>
      <c r="I23" s="2"/>
      <c r="J23" s="7">
        <f t="shared" si="1"/>
        <v>0</v>
      </c>
      <c r="K23" s="2"/>
      <c r="L23" s="6">
        <f t="shared" si="2"/>
        <v>15.320000000000007</v>
      </c>
      <c r="M23" s="2"/>
      <c r="N23" s="7">
        <f t="shared" si="3"/>
        <v>0.26377410468319573</v>
      </c>
      <c r="O23" s="11"/>
      <c r="P23" s="6">
        <v>196.17</v>
      </c>
      <c r="Q23" s="2"/>
      <c r="R23" s="7">
        <f t="shared" si="4"/>
        <v>0</v>
      </c>
      <c r="S23" s="2"/>
      <c r="T23" s="6">
        <v>179.48</v>
      </c>
      <c r="U23" s="2"/>
      <c r="V23" s="7">
        <f t="shared" si="5"/>
        <v>0</v>
      </c>
      <c r="W23" s="2"/>
      <c r="X23" s="6">
        <f t="shared" si="6"/>
        <v>16.689999999999998</v>
      </c>
      <c r="Y23" s="2"/>
      <c r="Z23" s="7">
        <f t="shared" si="7"/>
        <v>9.2990862491642512E-2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1169.0899999999999</v>
      </c>
      <c r="E24" s="2"/>
      <c r="F24" s="7">
        <f t="shared" si="0"/>
        <v>0</v>
      </c>
      <c r="G24" s="2"/>
      <c r="H24" s="6">
        <v>1053.2</v>
      </c>
      <c r="I24" s="2"/>
      <c r="J24" s="7">
        <f t="shared" si="1"/>
        <v>0</v>
      </c>
      <c r="K24" s="2"/>
      <c r="L24" s="6">
        <f t="shared" si="2"/>
        <v>115.88999999999987</v>
      </c>
      <c r="M24" s="2"/>
      <c r="N24" s="7">
        <f t="shared" si="3"/>
        <v>0.11003608051652096</v>
      </c>
      <c r="O24" s="11"/>
      <c r="P24" s="6">
        <v>3507.27</v>
      </c>
      <c r="Q24" s="2"/>
      <c r="R24" s="7">
        <f t="shared" si="4"/>
        <v>0</v>
      </c>
      <c r="S24" s="2"/>
      <c r="T24" s="6">
        <v>3670.87</v>
      </c>
      <c r="U24" s="2"/>
      <c r="V24" s="7">
        <f t="shared" si="5"/>
        <v>0</v>
      </c>
      <c r="W24" s="2"/>
      <c r="X24" s="6">
        <f t="shared" si="6"/>
        <v>-163.59999999999991</v>
      </c>
      <c r="Y24" s="2"/>
      <c r="Z24" s="7">
        <f t="shared" si="7"/>
        <v>-4.4567091724849947E-2</v>
      </c>
    </row>
    <row r="25" spans="1:26" s="24" customFormat="1" hidden="1" outlineLevel="2" x14ac:dyDescent="0.25">
      <c r="A25" s="28"/>
      <c r="B25" s="11" t="str">
        <f>CONCATENATE("          ", "6117", " - ", "RETIREMENT STAFF HOURLY")</f>
        <v xml:space="preserve">          6117 - RETIREMENT STAFF HOURLY</v>
      </c>
      <c r="C25" s="11"/>
      <c r="D25" s="6">
        <v>84</v>
      </c>
      <c r="E25" s="2"/>
      <c r="F25" s="7">
        <f t="shared" si="0"/>
        <v>0</v>
      </c>
      <c r="G25" s="2"/>
      <c r="H25" s="6">
        <v>84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196</v>
      </c>
      <c r="Q25" s="2"/>
      <c r="R25" s="7">
        <f t="shared" si="4"/>
        <v>0</v>
      </c>
      <c r="S25" s="2"/>
      <c r="T25" s="6">
        <v>196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>
        <v>721.4</v>
      </c>
      <c r="E26" s="2"/>
      <c r="F26" s="7">
        <f t="shared" si="0"/>
        <v>0</v>
      </c>
      <c r="G26" s="2"/>
      <c r="H26" s="6">
        <v>1059.81</v>
      </c>
      <c r="I26" s="2"/>
      <c r="J26" s="7">
        <f t="shared" si="1"/>
        <v>0</v>
      </c>
      <c r="K26" s="2"/>
      <c r="L26" s="6">
        <f t="shared" si="2"/>
        <v>-338.40999999999997</v>
      </c>
      <c r="M26" s="2"/>
      <c r="N26" s="7">
        <f t="shared" si="3"/>
        <v>-0.31931195214236513</v>
      </c>
      <c r="O26" s="11"/>
      <c r="P26" s="6">
        <v>4212.84</v>
      </c>
      <c r="Q26" s="2"/>
      <c r="R26" s="7">
        <f t="shared" si="4"/>
        <v>0</v>
      </c>
      <c r="S26" s="2"/>
      <c r="T26" s="6">
        <v>4535.3</v>
      </c>
      <c r="U26" s="2"/>
      <c r="V26" s="7">
        <f t="shared" si="5"/>
        <v>0</v>
      </c>
      <c r="W26" s="2"/>
      <c r="X26" s="6">
        <f t="shared" si="6"/>
        <v>-322.46000000000004</v>
      </c>
      <c r="Y26" s="2"/>
      <c r="Z26" s="7">
        <f t="shared" si="7"/>
        <v>-7.1100037483738679E-2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>
        <v>716.34</v>
      </c>
      <c r="E27" s="2"/>
      <c r="F27" s="7">
        <f t="shared" si="0"/>
        <v>0</v>
      </c>
      <c r="G27" s="2"/>
      <c r="H27" s="6">
        <v>657.06</v>
      </c>
      <c r="I27" s="2"/>
      <c r="J27" s="7">
        <f t="shared" si="1"/>
        <v>0</v>
      </c>
      <c r="K27" s="2"/>
      <c r="L27" s="6">
        <f t="shared" si="2"/>
        <v>59.280000000000086</v>
      </c>
      <c r="M27" s="2"/>
      <c r="N27" s="7">
        <f t="shared" si="3"/>
        <v>9.0220071226372156E-2</v>
      </c>
      <c r="O27" s="11"/>
      <c r="P27" s="6">
        <v>3395.21</v>
      </c>
      <c r="Q27" s="2"/>
      <c r="R27" s="7">
        <f t="shared" si="4"/>
        <v>0</v>
      </c>
      <c r="S27" s="2"/>
      <c r="T27" s="6">
        <v>3961.78</v>
      </c>
      <c r="U27" s="2"/>
      <c r="V27" s="7">
        <f t="shared" si="5"/>
        <v>0</v>
      </c>
      <c r="W27" s="2"/>
      <c r="X27" s="6">
        <f t="shared" si="6"/>
        <v>-566.57000000000016</v>
      </c>
      <c r="Y27" s="2"/>
      <c r="Z27" s="7">
        <f t="shared" si="7"/>
        <v>-0.14300895052224002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>
        <v>470.81</v>
      </c>
      <c r="E28" s="2"/>
      <c r="F28" s="7">
        <f t="shared" si="0"/>
        <v>0</v>
      </c>
      <c r="G28" s="2"/>
      <c r="H28" s="6">
        <v>1527.35</v>
      </c>
      <c r="I28" s="2"/>
      <c r="J28" s="7">
        <f t="shared" si="1"/>
        <v>0</v>
      </c>
      <c r="K28" s="2"/>
      <c r="L28" s="6">
        <f t="shared" si="2"/>
        <v>-1056.54</v>
      </c>
      <c r="M28" s="2"/>
      <c r="N28" s="7">
        <f t="shared" si="3"/>
        <v>-0.69174714374570334</v>
      </c>
      <c r="O28" s="11"/>
      <c r="P28" s="6">
        <v>1105.45</v>
      </c>
      <c r="Q28" s="2"/>
      <c r="R28" s="7">
        <f t="shared" si="4"/>
        <v>0</v>
      </c>
      <c r="S28" s="2"/>
      <c r="T28" s="6">
        <v>2186.0300000000002</v>
      </c>
      <c r="U28" s="2"/>
      <c r="V28" s="7">
        <f t="shared" si="5"/>
        <v>0</v>
      </c>
      <c r="W28" s="2"/>
      <c r="X28" s="6">
        <f t="shared" si="6"/>
        <v>-1080.5800000000002</v>
      </c>
      <c r="Y28" s="2"/>
      <c r="Z28" s="7">
        <f t="shared" si="7"/>
        <v>-0.49431160597064089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27413.7</v>
      </c>
      <c r="E29" s="1"/>
      <c r="F29" s="5">
        <f t="shared" ref="F29:F35" si="8">IF(D$12=0,0,D29/D$12)</f>
        <v>0</v>
      </c>
      <c r="G29" s="1"/>
      <c r="H29" s="1">
        <f>SUM(OSRRefH22_1x_0)</f>
        <v>21127.35</v>
      </c>
      <c r="I29" s="1"/>
      <c r="J29" s="5">
        <f t="shared" ref="J29:J35" si="9">IF(H$12=0,0,H29/H$12)</f>
        <v>0</v>
      </c>
      <c r="K29" s="1"/>
      <c r="L29" s="1">
        <f t="shared" ref="L29:L35" si="10">+D29-H29</f>
        <v>6286.3500000000022</v>
      </c>
      <c r="M29" s="1"/>
      <c r="N29" s="5">
        <f t="shared" ref="N29:N35" si="11">IF(H29=0,0,L29/H29)</f>
        <v>0.2975455984778026</v>
      </c>
      <c r="O29" s="14"/>
      <c r="P29" s="1">
        <f>SUM(OSRRefP22_1x_0)</f>
        <v>82512.840000000011</v>
      </c>
      <c r="Q29" s="1"/>
      <c r="R29" s="5">
        <f t="shared" ref="R29:R35" si="12">IF(P$12=0,0,P29/P$12)</f>
        <v>0</v>
      </c>
      <c r="S29" s="1"/>
      <c r="T29" s="1">
        <f>SUM(OSRRefT22_1x_0)</f>
        <v>59041.8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23471.040000000008</v>
      </c>
      <c r="Y29" s="1"/>
      <c r="Z29" s="5">
        <f t="shared" ref="Z29:Z35" si="15">IF(T29=0,0,X29/T29)</f>
        <v>0.39753259555094878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6">
        <v>7932.49</v>
      </c>
      <c r="E30" s="2"/>
      <c r="F30" s="7">
        <f t="shared" si="8"/>
        <v>0</v>
      </c>
      <c r="G30" s="2"/>
      <c r="H30" s="6">
        <v>7701.44</v>
      </c>
      <c r="I30" s="2"/>
      <c r="J30" s="7">
        <f t="shared" si="9"/>
        <v>0</v>
      </c>
      <c r="K30" s="2"/>
      <c r="L30" s="6">
        <f t="shared" si="10"/>
        <v>231.05000000000018</v>
      </c>
      <c r="M30" s="2"/>
      <c r="N30" s="7">
        <f t="shared" si="11"/>
        <v>3.0000882951759695E-2</v>
      </c>
      <c r="O30" s="11"/>
      <c r="P30" s="6">
        <v>25119.08</v>
      </c>
      <c r="Q30" s="2"/>
      <c r="R30" s="7">
        <f t="shared" si="12"/>
        <v>0</v>
      </c>
      <c r="S30" s="2"/>
      <c r="T30" s="6">
        <v>24815.47</v>
      </c>
      <c r="U30" s="2"/>
      <c r="V30" s="7">
        <f t="shared" si="13"/>
        <v>0</v>
      </c>
      <c r="W30" s="2"/>
      <c r="X30" s="6">
        <f t="shared" si="14"/>
        <v>303.61000000000058</v>
      </c>
      <c r="Y30" s="2"/>
      <c r="Z30" s="7">
        <f t="shared" si="15"/>
        <v>1.2234706817964784E-2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6">
        <v>4409.24</v>
      </c>
      <c r="E31" s="2"/>
      <c r="F31" s="7">
        <f t="shared" si="8"/>
        <v>0</v>
      </c>
      <c r="G31" s="2"/>
      <c r="H31" s="6">
        <v>3625.6</v>
      </c>
      <c r="I31" s="2"/>
      <c r="J31" s="7">
        <f t="shared" si="9"/>
        <v>0</v>
      </c>
      <c r="K31" s="2"/>
      <c r="L31" s="6">
        <f t="shared" si="10"/>
        <v>783.63999999999987</v>
      </c>
      <c r="M31" s="2"/>
      <c r="N31" s="7">
        <f t="shared" si="11"/>
        <v>0.21614077669902909</v>
      </c>
      <c r="O31" s="11"/>
      <c r="P31" s="6">
        <v>12985.72</v>
      </c>
      <c r="Q31" s="2"/>
      <c r="R31" s="7">
        <f t="shared" si="12"/>
        <v>0</v>
      </c>
      <c r="S31" s="2"/>
      <c r="T31" s="6">
        <v>10876.4</v>
      </c>
      <c r="U31" s="2"/>
      <c r="V31" s="7">
        <f t="shared" si="13"/>
        <v>0</v>
      </c>
      <c r="W31" s="2"/>
      <c r="X31" s="6">
        <f t="shared" si="14"/>
        <v>2109.3199999999997</v>
      </c>
      <c r="Y31" s="2"/>
      <c r="Z31" s="7">
        <f t="shared" si="15"/>
        <v>0.1939354933617741</v>
      </c>
    </row>
    <row r="32" spans="1:26" s="24" customFormat="1" hidden="1" outlineLevel="2" x14ac:dyDescent="0.25">
      <c r="A32" s="28"/>
      <c r="B32" s="11" t="str">
        <f>CONCATENATE("          ", "6004", " - ", "STAFF HOURLY")</f>
        <v xml:space="preserve">          6004 - STAFF HOURLY</v>
      </c>
      <c r="C32" s="11"/>
      <c r="D32" s="6">
        <v>2307.1999999999998</v>
      </c>
      <c r="E32" s="2"/>
      <c r="F32" s="7">
        <f t="shared" si="8"/>
        <v>0</v>
      </c>
      <c r="G32" s="2"/>
      <c r="H32" s="6">
        <v>2062.4</v>
      </c>
      <c r="I32" s="2"/>
      <c r="J32" s="7">
        <f t="shared" si="9"/>
        <v>0</v>
      </c>
      <c r="K32" s="2"/>
      <c r="L32" s="6">
        <f t="shared" si="10"/>
        <v>244.79999999999973</v>
      </c>
      <c r="M32" s="2"/>
      <c r="N32" s="7">
        <f t="shared" si="11"/>
        <v>0.11869666408068257</v>
      </c>
      <c r="O32" s="11"/>
      <c r="P32" s="6">
        <v>6229.44</v>
      </c>
      <c r="Q32" s="2"/>
      <c r="R32" s="7">
        <f t="shared" si="12"/>
        <v>0</v>
      </c>
      <c r="S32" s="2"/>
      <c r="T32" s="6">
        <v>3809</v>
      </c>
      <c r="U32" s="2"/>
      <c r="V32" s="7">
        <f t="shared" si="13"/>
        <v>0</v>
      </c>
      <c r="W32" s="2"/>
      <c r="X32" s="6">
        <f t="shared" si="14"/>
        <v>2420.4399999999996</v>
      </c>
      <c r="Y32" s="2"/>
      <c r="Z32" s="7">
        <f t="shared" si="15"/>
        <v>0.63545287477028078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6">
        <v>11280.27</v>
      </c>
      <c r="E33" s="2"/>
      <c r="F33" s="7">
        <f t="shared" si="8"/>
        <v>0</v>
      </c>
      <c r="G33" s="2"/>
      <c r="H33" s="6">
        <v>7435.66</v>
      </c>
      <c r="I33" s="2"/>
      <c r="J33" s="7">
        <f t="shared" si="9"/>
        <v>0</v>
      </c>
      <c r="K33" s="2"/>
      <c r="L33" s="6">
        <f t="shared" si="10"/>
        <v>3844.6100000000006</v>
      </c>
      <c r="M33" s="2"/>
      <c r="N33" s="7">
        <f t="shared" si="11"/>
        <v>0.51705026857064484</v>
      </c>
      <c r="O33" s="11"/>
      <c r="P33" s="6">
        <v>27336.28</v>
      </c>
      <c r="Q33" s="2"/>
      <c r="R33" s="7">
        <f t="shared" si="12"/>
        <v>0</v>
      </c>
      <c r="S33" s="2"/>
      <c r="T33" s="6">
        <v>16590.929999999997</v>
      </c>
      <c r="U33" s="2"/>
      <c r="V33" s="7">
        <f t="shared" si="13"/>
        <v>0</v>
      </c>
      <c r="W33" s="2"/>
      <c r="X33" s="6">
        <f t="shared" si="14"/>
        <v>10745.350000000002</v>
      </c>
      <c r="Y33" s="2"/>
      <c r="Z33" s="7">
        <f t="shared" si="15"/>
        <v>0.64766411527262213</v>
      </c>
    </row>
    <row r="34" spans="1:26" s="24" customFormat="1" hidden="1" outlineLevel="2" x14ac:dyDescent="0.25">
      <c r="A34" s="28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>
        <v>1236.8800000000001</v>
      </c>
      <c r="Q34" s="2"/>
      <c r="R34" s="7">
        <f t="shared" si="12"/>
        <v>0</v>
      </c>
      <c r="S34" s="2"/>
      <c r="T34" s="6"/>
      <c r="U34" s="2"/>
      <c r="V34" s="7">
        <f t="shared" si="13"/>
        <v>0</v>
      </c>
      <c r="W34" s="2"/>
      <c r="X34" s="6">
        <f t="shared" si="14"/>
        <v>1236.8800000000001</v>
      </c>
      <c r="Y34" s="2"/>
      <c r="Z34" s="7">
        <f t="shared" si="15"/>
        <v>0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6">
        <v>1484.5</v>
      </c>
      <c r="E35" s="2"/>
      <c r="F35" s="7">
        <f t="shared" si="8"/>
        <v>0</v>
      </c>
      <c r="G35" s="2"/>
      <c r="H35" s="6">
        <v>302.25</v>
      </c>
      <c r="I35" s="2"/>
      <c r="J35" s="7">
        <f t="shared" si="9"/>
        <v>0</v>
      </c>
      <c r="K35" s="2"/>
      <c r="L35" s="6">
        <f t="shared" si="10"/>
        <v>1182.25</v>
      </c>
      <c r="M35" s="2"/>
      <c r="N35" s="7">
        <f t="shared" si="11"/>
        <v>3.9114971050454921</v>
      </c>
      <c r="O35" s="11"/>
      <c r="P35" s="6">
        <v>9605.44</v>
      </c>
      <c r="Q35" s="2"/>
      <c r="R35" s="7">
        <f t="shared" si="12"/>
        <v>0</v>
      </c>
      <c r="S35" s="2"/>
      <c r="T35" s="6">
        <v>2950</v>
      </c>
      <c r="U35" s="2"/>
      <c r="V35" s="7">
        <f t="shared" si="13"/>
        <v>0</v>
      </c>
      <c r="W35" s="2"/>
      <c r="X35" s="6">
        <f t="shared" si="14"/>
        <v>6655.4400000000005</v>
      </c>
      <c r="Y35" s="2"/>
      <c r="Z35" s="7">
        <f t="shared" si="15"/>
        <v>2.2560813559322037</v>
      </c>
    </row>
    <row r="36" spans="1:26" s="29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240.39</v>
      </c>
      <c r="E36" s="1"/>
      <c r="F36" s="5">
        <f t="shared" ref="F36:F41" si="16">IF(D$12=0,0,D36/D$12)</f>
        <v>0</v>
      </c>
      <c r="G36" s="1"/>
      <c r="H36" s="1">
        <f>SUM(OSRRefH22_2x_0)</f>
        <v>143.5</v>
      </c>
      <c r="I36" s="1"/>
      <c r="J36" s="5">
        <f t="shared" ref="J36:J41" si="17">IF(H$12=0,0,H36/H$12)</f>
        <v>0</v>
      </c>
      <c r="K36" s="1"/>
      <c r="L36" s="1">
        <f t="shared" ref="L36:L41" si="18">+D36-H36</f>
        <v>96.889999999999986</v>
      </c>
      <c r="M36" s="1"/>
      <c r="N36" s="5">
        <f t="shared" ref="N36:N41" si="19">IF(H36=0,0,L36/H36)</f>
        <v>0.67519163763066192</v>
      </c>
      <c r="O36" s="14"/>
      <c r="P36" s="1">
        <f>SUM(OSRRefP22_2x_0)</f>
        <v>305.81</v>
      </c>
      <c r="Q36" s="1"/>
      <c r="R36" s="5">
        <f t="shared" ref="R36:R41" si="20">IF(P$12=0,0,P36/P$12)</f>
        <v>0</v>
      </c>
      <c r="S36" s="1"/>
      <c r="T36" s="1">
        <f>SUM(OSRRefT22_2x_0)</f>
        <v>697.8</v>
      </c>
      <c r="U36" s="1"/>
      <c r="V36" s="5">
        <f t="shared" ref="V36:V41" si="21">IF(T$12=0,0,T36/T$12)</f>
        <v>0</v>
      </c>
      <c r="W36" s="1"/>
      <c r="X36" s="1">
        <f t="shared" ref="X36:X41" si="22">+P36-T36</f>
        <v>-391.98999999999995</v>
      </c>
      <c r="Y36" s="1"/>
      <c r="Z36" s="5">
        <f t="shared" ref="Z36:Z41" si="23">IF(T36=0,0,X36/T36)</f>
        <v>-0.5617512181140728</v>
      </c>
    </row>
    <row r="37" spans="1:26" s="24" customFormat="1" hidden="1" outlineLevel="2" x14ac:dyDescent="0.25">
      <c r="A37" s="28"/>
      <c r="B37" s="11" t="str">
        <f>CONCATENATE("          ", "6362", " - ", "ADVERTISING EXPENSE")</f>
        <v xml:space="preserve">          6362 - ADVERTISING EXPENSE</v>
      </c>
      <c r="C37" s="11"/>
      <c r="D37" s="6">
        <v>240.39</v>
      </c>
      <c r="E37" s="2"/>
      <c r="F37" s="7">
        <f t="shared" si="16"/>
        <v>0</v>
      </c>
      <c r="G37" s="2"/>
      <c r="H37" s="6">
        <v>143.5</v>
      </c>
      <c r="I37" s="2"/>
      <c r="J37" s="7">
        <f t="shared" si="17"/>
        <v>0</v>
      </c>
      <c r="K37" s="2"/>
      <c r="L37" s="6">
        <f t="shared" si="18"/>
        <v>96.889999999999986</v>
      </c>
      <c r="M37" s="2"/>
      <c r="N37" s="7">
        <f t="shared" si="19"/>
        <v>0.67519163763066192</v>
      </c>
      <c r="O37" s="11"/>
      <c r="P37" s="6">
        <v>305.81</v>
      </c>
      <c r="Q37" s="2"/>
      <c r="R37" s="7">
        <f t="shared" si="20"/>
        <v>0</v>
      </c>
      <c r="S37" s="2"/>
      <c r="T37" s="6">
        <v>697.8</v>
      </c>
      <c r="U37" s="2"/>
      <c r="V37" s="7">
        <f t="shared" si="21"/>
        <v>0</v>
      </c>
      <c r="W37" s="2"/>
      <c r="X37" s="6">
        <f t="shared" si="22"/>
        <v>-391.98999999999995</v>
      </c>
      <c r="Y37" s="2"/>
      <c r="Z37" s="7">
        <f t="shared" si="23"/>
        <v>-0.5617512181140728</v>
      </c>
    </row>
    <row r="38" spans="1:26" s="29" customFormat="1" outlineLevel="1" collapsed="1" x14ac:dyDescent="0.25">
      <c r="A38" s="27"/>
      <c r="B38" s="14" t="str">
        <f>CONCATENATE("     ","Depreciation                                      ")</f>
        <v xml:space="preserve">     Depreciation                                      </v>
      </c>
      <c r="C38" s="14"/>
      <c r="D38" s="1">
        <f>SUM(OSRRefD22_3x_0)</f>
        <v>6821.6399999999994</v>
      </c>
      <c r="E38" s="1"/>
      <c r="F38" s="5">
        <f t="shared" si="16"/>
        <v>0</v>
      </c>
      <c r="G38" s="1"/>
      <c r="H38" s="1">
        <f>SUM(OSRRefH22_3x_0)</f>
        <v>13523.130000000001</v>
      </c>
      <c r="I38" s="1"/>
      <c r="J38" s="5">
        <f t="shared" si="17"/>
        <v>0</v>
      </c>
      <c r="K38" s="1"/>
      <c r="L38" s="1">
        <f t="shared" si="18"/>
        <v>-6701.4900000000016</v>
      </c>
      <c r="M38" s="1"/>
      <c r="N38" s="5">
        <f t="shared" si="19"/>
        <v>-0.49555761129265202</v>
      </c>
      <c r="O38" s="14"/>
      <c r="P38" s="1">
        <f>SUM(OSRRefP22_3x_0)</f>
        <v>20464.919999999998</v>
      </c>
      <c r="Q38" s="1"/>
      <c r="R38" s="5">
        <f t="shared" si="20"/>
        <v>0</v>
      </c>
      <c r="S38" s="1"/>
      <c r="T38" s="1">
        <f>SUM(OSRRefT22_3x_0)</f>
        <v>40569.39</v>
      </c>
      <c r="U38" s="1"/>
      <c r="V38" s="5">
        <f t="shared" si="21"/>
        <v>0</v>
      </c>
      <c r="W38" s="1"/>
      <c r="X38" s="1">
        <f t="shared" si="22"/>
        <v>-20104.47</v>
      </c>
      <c r="Y38" s="1"/>
      <c r="Z38" s="5">
        <f t="shared" si="23"/>
        <v>-0.49555761129265197</v>
      </c>
    </row>
    <row r="39" spans="1:26" s="24" customFormat="1" hidden="1" outlineLevel="2" x14ac:dyDescent="0.25">
      <c r="A39" s="28"/>
      <c r="B39" s="11" t="str">
        <f>CONCATENATE("          ", "6321", " - ", "BUILDING DEPRECIATION")</f>
        <v xml:space="preserve">          6321 - BUILDING DEPRECIATION</v>
      </c>
      <c r="C39" s="11"/>
      <c r="D39" s="6">
        <v>2266.9499999999998</v>
      </c>
      <c r="E39" s="2"/>
      <c r="F39" s="7">
        <f t="shared" si="16"/>
        <v>0</v>
      </c>
      <c r="G39" s="2"/>
      <c r="H39" s="6">
        <v>10364.69</v>
      </c>
      <c r="I39" s="2"/>
      <c r="J39" s="7">
        <f t="shared" si="17"/>
        <v>0</v>
      </c>
      <c r="K39" s="2"/>
      <c r="L39" s="6">
        <f t="shared" si="18"/>
        <v>-8097.7400000000007</v>
      </c>
      <c r="M39" s="2"/>
      <c r="N39" s="7">
        <f t="shared" si="19"/>
        <v>-0.78128144691254642</v>
      </c>
      <c r="O39" s="11"/>
      <c r="P39" s="6">
        <v>6800.85</v>
      </c>
      <c r="Q39" s="2"/>
      <c r="R39" s="7">
        <f t="shared" si="20"/>
        <v>0</v>
      </c>
      <c r="S39" s="2"/>
      <c r="T39" s="6">
        <v>31094.070000000003</v>
      </c>
      <c r="U39" s="2"/>
      <c r="V39" s="7">
        <f t="shared" si="21"/>
        <v>0</v>
      </c>
      <c r="W39" s="2"/>
      <c r="X39" s="6">
        <f t="shared" si="22"/>
        <v>-24293.22</v>
      </c>
      <c r="Y39" s="2"/>
      <c r="Z39" s="7">
        <f t="shared" si="23"/>
        <v>-0.78128144691254631</v>
      </c>
    </row>
    <row r="40" spans="1:26" s="24" customFormat="1" hidden="1" outlineLevel="2" x14ac:dyDescent="0.25">
      <c r="A40" s="28"/>
      <c r="B40" s="11" t="str">
        <f>CONCATENATE("          ", "6322", " - ", "EQUIPMENT DEPRECIATION EXPENSE")</f>
        <v xml:space="preserve">          6322 - EQUIPMENT DEPRECIATION EXPENSE</v>
      </c>
      <c r="C40" s="11"/>
      <c r="D40" s="6">
        <v>4130.4399999999996</v>
      </c>
      <c r="E40" s="2"/>
      <c r="F40" s="7">
        <f t="shared" si="16"/>
        <v>0</v>
      </c>
      <c r="G40" s="2"/>
      <c r="H40" s="6">
        <v>2734.19</v>
      </c>
      <c r="I40" s="2"/>
      <c r="J40" s="7">
        <f t="shared" si="17"/>
        <v>0</v>
      </c>
      <c r="K40" s="2"/>
      <c r="L40" s="6">
        <f t="shared" si="18"/>
        <v>1396.2499999999995</v>
      </c>
      <c r="M40" s="2"/>
      <c r="N40" s="7">
        <f t="shared" si="19"/>
        <v>0.51066312143633019</v>
      </c>
      <c r="O40" s="11"/>
      <c r="P40" s="6">
        <v>12391.32</v>
      </c>
      <c r="Q40" s="2"/>
      <c r="R40" s="7">
        <f t="shared" si="20"/>
        <v>0</v>
      </c>
      <c r="S40" s="2"/>
      <c r="T40" s="6">
        <v>8202.57</v>
      </c>
      <c r="U40" s="2"/>
      <c r="V40" s="7">
        <f t="shared" si="21"/>
        <v>0</v>
      </c>
      <c r="W40" s="2"/>
      <c r="X40" s="6">
        <f t="shared" si="22"/>
        <v>4188.75</v>
      </c>
      <c r="Y40" s="2"/>
      <c r="Z40" s="7">
        <f t="shared" si="23"/>
        <v>0.5106631214363303</v>
      </c>
    </row>
    <row r="41" spans="1:26" s="24" customFormat="1" hidden="1" outlineLevel="2" x14ac:dyDescent="0.25">
      <c r="A41" s="28"/>
      <c r="B41" s="11" t="str">
        <f>CONCATENATE("          ", "6326", " - ", "VEHICLES DEPRECIATION EXPENSE")</f>
        <v xml:space="preserve">          6326 - VEHICLES DEPRECIATION EXPENSE</v>
      </c>
      <c r="C41" s="11"/>
      <c r="D41" s="6">
        <v>424.25</v>
      </c>
      <c r="E41" s="2"/>
      <c r="F41" s="7">
        <f t="shared" si="16"/>
        <v>0</v>
      </c>
      <c r="G41" s="2"/>
      <c r="H41" s="6">
        <v>424.25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1272.75</v>
      </c>
      <c r="Q41" s="2"/>
      <c r="R41" s="7">
        <f t="shared" si="20"/>
        <v>0</v>
      </c>
      <c r="S41" s="2"/>
      <c r="T41" s="6">
        <v>1272.75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9" customFormat="1" outlineLevel="1" collapsed="1" x14ac:dyDescent="0.25">
      <c r="A42" s="27"/>
      <c r="B42" s="14" t="str">
        <f>CONCATENATE("     ","Donations                                         ")</f>
        <v xml:space="preserve">     Donations                                         </v>
      </c>
      <c r="C42" s="14"/>
      <c r="D42" s="1">
        <f>SUM(OSRRefD22_4x_0)</f>
        <v>0</v>
      </c>
      <c r="E42" s="1"/>
      <c r="F42" s="5">
        <f t="shared" ref="F42:F55" si="24">IF(D$12=0,0,D42/D$12)</f>
        <v>0</v>
      </c>
      <c r="G42" s="1"/>
      <c r="H42" s="1">
        <f>SUM(OSRRefH22_4x_0)</f>
        <v>500</v>
      </c>
      <c r="I42" s="1"/>
      <c r="J42" s="5">
        <f t="shared" ref="J42:J55" si="25">IF(H$12=0,0,H42/H$12)</f>
        <v>0</v>
      </c>
      <c r="K42" s="1"/>
      <c r="L42" s="1">
        <f t="shared" ref="L42:L55" si="26">+D42-H42</f>
        <v>-500</v>
      </c>
      <c r="M42" s="1"/>
      <c r="N42" s="5">
        <f t="shared" ref="N42:N55" si="27">IF(H42=0,0,L42/H42)</f>
        <v>-1</v>
      </c>
      <c r="O42" s="14"/>
      <c r="P42" s="1">
        <f>SUM(OSRRefP22_4x_0)</f>
        <v>0</v>
      </c>
      <c r="Q42" s="1"/>
      <c r="R42" s="5">
        <f t="shared" ref="R42:R55" si="28">IF(P$12=0,0,P42/P$12)</f>
        <v>0</v>
      </c>
      <c r="S42" s="1"/>
      <c r="T42" s="1">
        <f>SUM(OSRRefT22_4x_0)</f>
        <v>500</v>
      </c>
      <c r="U42" s="1"/>
      <c r="V42" s="5">
        <f t="shared" ref="V42:V55" si="29">IF(T$12=0,0,T42/T$12)</f>
        <v>0</v>
      </c>
      <c r="W42" s="1"/>
      <c r="X42" s="1">
        <f t="shared" ref="X42:X55" si="30">+P42-T42</f>
        <v>-500</v>
      </c>
      <c r="Y42" s="1"/>
      <c r="Z42" s="5">
        <f t="shared" ref="Z42:Z55" si="31">IF(T42=0,0,X42/T42)</f>
        <v>-1</v>
      </c>
    </row>
    <row r="43" spans="1:26" s="24" customFormat="1" hidden="1" outlineLevel="2" x14ac:dyDescent="0.25">
      <c r="A43" s="28"/>
      <c r="B43" s="11" t="str">
        <f>CONCATENATE("          ", "6399", " - ", "DONATION-ON CAMPUS")</f>
        <v xml:space="preserve">          6399 - DONATION-ON CAMPUS</v>
      </c>
      <c r="C43" s="11"/>
      <c r="D43" s="6"/>
      <c r="E43" s="2"/>
      <c r="F43" s="7">
        <f t="shared" si="24"/>
        <v>0</v>
      </c>
      <c r="G43" s="2"/>
      <c r="H43" s="6">
        <v>500</v>
      </c>
      <c r="I43" s="2"/>
      <c r="J43" s="7">
        <f t="shared" si="25"/>
        <v>0</v>
      </c>
      <c r="K43" s="2"/>
      <c r="L43" s="6">
        <f t="shared" si="26"/>
        <v>-500</v>
      </c>
      <c r="M43" s="2"/>
      <c r="N43" s="7">
        <f t="shared" si="27"/>
        <v>-1</v>
      </c>
      <c r="O43" s="11"/>
      <c r="P43" s="6"/>
      <c r="Q43" s="2"/>
      <c r="R43" s="7">
        <f t="shared" si="28"/>
        <v>0</v>
      </c>
      <c r="S43" s="2"/>
      <c r="T43" s="6">
        <v>500</v>
      </c>
      <c r="U43" s="2"/>
      <c r="V43" s="7">
        <f t="shared" si="29"/>
        <v>0</v>
      </c>
      <c r="W43" s="2"/>
      <c r="X43" s="6">
        <f t="shared" si="30"/>
        <v>-500</v>
      </c>
      <c r="Y43" s="2"/>
      <c r="Z43" s="7">
        <f t="shared" si="31"/>
        <v>-1</v>
      </c>
    </row>
    <row r="44" spans="1:26" s="29" customFormat="1" outlineLevel="1" collapsed="1" x14ac:dyDescent="0.25">
      <c r="A44" s="27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SUM(OSRRefD22_5x_0)</f>
        <v>19.84</v>
      </c>
      <c r="E44" s="1"/>
      <c r="F44" s="5">
        <f t="shared" si="24"/>
        <v>0</v>
      </c>
      <c r="G44" s="1"/>
      <c r="H44" s="1">
        <f>SUM(OSRRefH22_5x_0)</f>
        <v>353.85</v>
      </c>
      <c r="I44" s="1"/>
      <c r="J44" s="5">
        <f t="shared" si="25"/>
        <v>0</v>
      </c>
      <c r="K44" s="1"/>
      <c r="L44" s="1">
        <f t="shared" si="26"/>
        <v>-334.01000000000005</v>
      </c>
      <c r="M44" s="1"/>
      <c r="N44" s="5">
        <f t="shared" si="27"/>
        <v>-0.94393104422778018</v>
      </c>
      <c r="O44" s="14"/>
      <c r="P44" s="1">
        <f>SUM(OSRRefP22_5x_0)</f>
        <v>192.72</v>
      </c>
      <c r="Q44" s="1"/>
      <c r="R44" s="5">
        <f t="shared" si="28"/>
        <v>0</v>
      </c>
      <c r="S44" s="1"/>
      <c r="T44" s="1">
        <f>SUM(OSRRefT22_5x_0)</f>
        <v>599.69000000000005</v>
      </c>
      <c r="U44" s="1"/>
      <c r="V44" s="5">
        <f t="shared" si="29"/>
        <v>0</v>
      </c>
      <c r="W44" s="1"/>
      <c r="X44" s="1">
        <f t="shared" si="30"/>
        <v>-406.97</v>
      </c>
      <c r="Y44" s="1"/>
      <c r="Z44" s="5">
        <f t="shared" si="31"/>
        <v>-0.67863396087978789</v>
      </c>
    </row>
    <row r="45" spans="1:26" s="24" customFormat="1" hidden="1" outlineLevel="2" x14ac:dyDescent="0.25">
      <c r="A45" s="28"/>
      <c r="B45" s="11" t="str">
        <f>CONCATENATE("          ", "6277", " - ", "EMPLOYEE APPRECIATION")</f>
        <v xml:space="preserve">          6277 - EMPLOYEE APPRECIATION</v>
      </c>
      <c r="C45" s="11"/>
      <c r="D45" s="6">
        <v>19.84</v>
      </c>
      <c r="E45" s="2"/>
      <c r="F45" s="7">
        <f t="shared" si="24"/>
        <v>0</v>
      </c>
      <c r="G45" s="2"/>
      <c r="H45" s="6">
        <v>353.85</v>
      </c>
      <c r="I45" s="2"/>
      <c r="J45" s="7">
        <f t="shared" si="25"/>
        <v>0</v>
      </c>
      <c r="K45" s="2"/>
      <c r="L45" s="6">
        <f t="shared" si="26"/>
        <v>-334.01000000000005</v>
      </c>
      <c r="M45" s="2"/>
      <c r="N45" s="7">
        <f t="shared" si="27"/>
        <v>-0.94393104422778018</v>
      </c>
      <c r="O45" s="11"/>
      <c r="P45" s="6">
        <v>192.72</v>
      </c>
      <c r="Q45" s="2"/>
      <c r="R45" s="7">
        <f t="shared" si="28"/>
        <v>0</v>
      </c>
      <c r="S45" s="2"/>
      <c r="T45" s="6">
        <v>599.69000000000005</v>
      </c>
      <c r="U45" s="2"/>
      <c r="V45" s="7">
        <f t="shared" si="29"/>
        <v>0</v>
      </c>
      <c r="W45" s="2"/>
      <c r="X45" s="6">
        <f t="shared" si="30"/>
        <v>-406.97</v>
      </c>
      <c r="Y45" s="2"/>
      <c r="Z45" s="7">
        <f t="shared" si="31"/>
        <v>-0.67863396087978789</v>
      </c>
    </row>
    <row r="46" spans="1:26" s="29" customFormat="1" outlineLevel="1" collapsed="1" x14ac:dyDescent="0.25">
      <c r="A46" s="27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972.8</v>
      </c>
      <c r="E46" s="1"/>
      <c r="F46" s="5">
        <f t="shared" si="24"/>
        <v>0</v>
      </c>
      <c r="G46" s="1"/>
      <c r="H46" s="1">
        <f>SUM(OSRRefH22_6x_0)</f>
        <v>1148.93</v>
      </c>
      <c r="I46" s="1"/>
      <c r="J46" s="5">
        <f t="shared" si="25"/>
        <v>0</v>
      </c>
      <c r="K46" s="1"/>
      <c r="L46" s="1">
        <f t="shared" si="26"/>
        <v>-176.13000000000011</v>
      </c>
      <c r="M46" s="1"/>
      <c r="N46" s="5">
        <f t="shared" si="27"/>
        <v>-0.15329915660658186</v>
      </c>
      <c r="O46" s="14"/>
      <c r="P46" s="1">
        <f>SUM(OSRRefP22_6x_0)</f>
        <v>2851.44</v>
      </c>
      <c r="Q46" s="1"/>
      <c r="R46" s="5">
        <f t="shared" si="28"/>
        <v>0</v>
      </c>
      <c r="S46" s="1"/>
      <c r="T46" s="1">
        <f>SUM(OSRRefT22_6x_0)</f>
        <v>3188.72</v>
      </c>
      <c r="U46" s="1"/>
      <c r="V46" s="5">
        <f t="shared" si="29"/>
        <v>0</v>
      </c>
      <c r="W46" s="1"/>
      <c r="X46" s="1">
        <f t="shared" si="30"/>
        <v>-337.27999999999975</v>
      </c>
      <c r="Y46" s="1"/>
      <c r="Z46" s="5">
        <f t="shared" si="31"/>
        <v>-0.10577284929376043</v>
      </c>
    </row>
    <row r="47" spans="1:26" s="24" customFormat="1" hidden="1" outlineLevel="2" x14ac:dyDescent="0.25">
      <c r="A47" s="28"/>
      <c r="B47" s="11" t="str">
        <f>CONCATENATE("          ", "6351", " - ", "EQUIPMENT RENTAL")</f>
        <v xml:space="preserve">          6351 - EQUIPMENT RENTAL</v>
      </c>
      <c r="C47" s="11"/>
      <c r="D47" s="6">
        <v>972.8</v>
      </c>
      <c r="E47" s="2"/>
      <c r="F47" s="7">
        <f t="shared" si="24"/>
        <v>0</v>
      </c>
      <c r="G47" s="2"/>
      <c r="H47" s="6">
        <v>1148.93</v>
      </c>
      <c r="I47" s="2"/>
      <c r="J47" s="7">
        <f t="shared" si="25"/>
        <v>0</v>
      </c>
      <c r="K47" s="2"/>
      <c r="L47" s="6">
        <f t="shared" si="26"/>
        <v>-176.13000000000011</v>
      </c>
      <c r="M47" s="2"/>
      <c r="N47" s="7">
        <f t="shared" si="27"/>
        <v>-0.15329915660658186</v>
      </c>
      <c r="O47" s="11"/>
      <c r="P47" s="6">
        <v>2851.44</v>
      </c>
      <c r="Q47" s="2"/>
      <c r="R47" s="7">
        <f t="shared" si="28"/>
        <v>0</v>
      </c>
      <c r="S47" s="2"/>
      <c r="T47" s="6">
        <v>3188.72</v>
      </c>
      <c r="U47" s="2"/>
      <c r="V47" s="7">
        <f t="shared" si="29"/>
        <v>0</v>
      </c>
      <c r="W47" s="2"/>
      <c r="X47" s="6">
        <f t="shared" si="30"/>
        <v>-337.27999999999975</v>
      </c>
      <c r="Y47" s="2"/>
      <c r="Z47" s="7">
        <f t="shared" si="31"/>
        <v>-0.10577284929376043</v>
      </c>
    </row>
    <row r="48" spans="1:26" s="29" customFormat="1" outlineLevel="1" collapsed="1" x14ac:dyDescent="0.25">
      <c r="A48" s="27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SUM(OSRRefD22_7x_0)</f>
        <v>3598.85</v>
      </c>
      <c r="E48" s="1"/>
      <c r="F48" s="5">
        <f t="shared" si="24"/>
        <v>0</v>
      </c>
      <c r="G48" s="1"/>
      <c r="H48" s="1">
        <f>SUM(OSRRefH22_7x_0)</f>
        <v>7977.02</v>
      </c>
      <c r="I48" s="1"/>
      <c r="J48" s="5">
        <f t="shared" si="25"/>
        <v>0</v>
      </c>
      <c r="K48" s="1"/>
      <c r="L48" s="1">
        <f t="shared" si="26"/>
        <v>-4378.17</v>
      </c>
      <c r="M48" s="1"/>
      <c r="N48" s="5">
        <f t="shared" si="27"/>
        <v>-0.54884781534959171</v>
      </c>
      <c r="O48" s="14"/>
      <c r="P48" s="1">
        <f>SUM(OSRRefP22_7x_0)</f>
        <v>10796.55</v>
      </c>
      <c r="Q48" s="1"/>
      <c r="R48" s="5">
        <f t="shared" si="28"/>
        <v>0</v>
      </c>
      <c r="S48" s="1"/>
      <c r="T48" s="1">
        <f>SUM(OSRRefT22_7x_0)</f>
        <v>14755.06</v>
      </c>
      <c r="U48" s="1"/>
      <c r="V48" s="5">
        <f t="shared" si="29"/>
        <v>0</v>
      </c>
      <c r="W48" s="1"/>
      <c r="X48" s="1">
        <f t="shared" si="30"/>
        <v>-3958.51</v>
      </c>
      <c r="Y48" s="1"/>
      <c r="Z48" s="5">
        <f t="shared" si="31"/>
        <v>-0.26828152511748515</v>
      </c>
    </row>
    <row r="49" spans="1:26" s="24" customFormat="1" hidden="1" outlineLevel="2" x14ac:dyDescent="0.25">
      <c r="A49" s="28"/>
      <c r="B49" s="11" t="str">
        <f>CONCATENATE("          ", "6314", " - ", "LIABILITY INSURANCE")</f>
        <v xml:space="preserve">          6314 - LIABILITY INSURANCE</v>
      </c>
      <c r="C49" s="11"/>
      <c r="D49" s="6">
        <v>3598.85</v>
      </c>
      <c r="E49" s="2"/>
      <c r="F49" s="7">
        <f t="shared" si="24"/>
        <v>0</v>
      </c>
      <c r="G49" s="2"/>
      <c r="H49" s="6">
        <v>7977.02</v>
      </c>
      <c r="I49" s="2"/>
      <c r="J49" s="7">
        <f t="shared" si="25"/>
        <v>0</v>
      </c>
      <c r="K49" s="2"/>
      <c r="L49" s="6">
        <f t="shared" si="26"/>
        <v>-4378.17</v>
      </c>
      <c r="M49" s="2"/>
      <c r="N49" s="7">
        <f t="shared" si="27"/>
        <v>-0.54884781534959171</v>
      </c>
      <c r="O49" s="11"/>
      <c r="P49" s="6">
        <v>10796.55</v>
      </c>
      <c r="Q49" s="2"/>
      <c r="R49" s="7">
        <f t="shared" si="28"/>
        <v>0</v>
      </c>
      <c r="S49" s="2"/>
      <c r="T49" s="6">
        <v>14755.06</v>
      </c>
      <c r="U49" s="2"/>
      <c r="V49" s="7">
        <f t="shared" si="29"/>
        <v>0</v>
      </c>
      <c r="W49" s="2"/>
      <c r="X49" s="6">
        <f t="shared" si="30"/>
        <v>-3958.51</v>
      </c>
      <c r="Y49" s="2"/>
      <c r="Z49" s="7">
        <f t="shared" si="31"/>
        <v>-0.26828152511748515</v>
      </c>
    </row>
    <row r="50" spans="1:26" s="29" customFormat="1" outlineLevel="1" collapsed="1" x14ac:dyDescent="0.25">
      <c r="A50" s="27"/>
      <c r="B50" s="14" t="str">
        <f>CONCATENATE("     ","Professional Services                             ")</f>
        <v xml:space="preserve">     Professional Services                             </v>
      </c>
      <c r="C50" s="14"/>
      <c r="D50" s="1">
        <f>SUM(OSRRefD22_8x_0)</f>
        <v>0</v>
      </c>
      <c r="E50" s="1"/>
      <c r="F50" s="5">
        <f t="shared" si="24"/>
        <v>0</v>
      </c>
      <c r="G50" s="1"/>
      <c r="H50" s="1">
        <f>SUM(OSRRefH22_8x_0)</f>
        <v>0</v>
      </c>
      <c r="I50" s="1"/>
      <c r="J50" s="5">
        <f t="shared" si="25"/>
        <v>0</v>
      </c>
      <c r="K50" s="1"/>
      <c r="L50" s="1">
        <f t="shared" si="26"/>
        <v>0</v>
      </c>
      <c r="M50" s="1"/>
      <c r="N50" s="5">
        <f t="shared" si="27"/>
        <v>0</v>
      </c>
      <c r="O50" s="14"/>
      <c r="P50" s="1">
        <f>SUM(OSRRefP22_8x_0)</f>
        <v>125</v>
      </c>
      <c r="Q50" s="1"/>
      <c r="R50" s="5">
        <f t="shared" si="28"/>
        <v>0</v>
      </c>
      <c r="S50" s="1"/>
      <c r="T50" s="1">
        <f>SUM(OSRRefT22_8x_0)</f>
        <v>0</v>
      </c>
      <c r="U50" s="1"/>
      <c r="V50" s="5">
        <f t="shared" si="29"/>
        <v>0</v>
      </c>
      <c r="W50" s="1"/>
      <c r="X50" s="1">
        <f t="shared" si="30"/>
        <v>125</v>
      </c>
      <c r="Y50" s="1"/>
      <c r="Z50" s="5">
        <f t="shared" si="31"/>
        <v>0</v>
      </c>
    </row>
    <row r="51" spans="1:26" s="24" customFormat="1" hidden="1" outlineLevel="2" x14ac:dyDescent="0.25">
      <c r="A51" s="28"/>
      <c r="B51" s="11" t="str">
        <f>CONCATENATE("          ", "6336", " - ", "PROFESSIONAL SERVICES")</f>
        <v xml:space="preserve">          6336 - PROFESSIONAL SERVICES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>
        <v>125</v>
      </c>
      <c r="Q51" s="2"/>
      <c r="R51" s="7">
        <f t="shared" si="28"/>
        <v>0</v>
      </c>
      <c r="S51" s="2"/>
      <c r="T51" s="6"/>
      <c r="U51" s="2"/>
      <c r="V51" s="7">
        <f t="shared" si="29"/>
        <v>0</v>
      </c>
      <c r="W51" s="2"/>
      <c r="X51" s="6">
        <f t="shared" si="30"/>
        <v>125</v>
      </c>
      <c r="Y51" s="2"/>
      <c r="Z51" s="7">
        <f t="shared" si="31"/>
        <v>0</v>
      </c>
    </row>
    <row r="52" spans="1:26" s="29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SUM(OSRRefD22_9x_0)</f>
        <v>9594.94</v>
      </c>
      <c r="E52" s="1"/>
      <c r="F52" s="5">
        <f t="shared" si="24"/>
        <v>0</v>
      </c>
      <c r="G52" s="1"/>
      <c r="H52" s="1">
        <f>SUM(OSRRefH22_9x_0)</f>
        <v>5816.3799999999992</v>
      </c>
      <c r="I52" s="1"/>
      <c r="J52" s="5">
        <f t="shared" si="25"/>
        <v>0</v>
      </c>
      <c r="K52" s="1"/>
      <c r="L52" s="1">
        <f t="shared" si="26"/>
        <v>3778.5600000000013</v>
      </c>
      <c r="M52" s="1"/>
      <c r="N52" s="5">
        <f t="shared" si="27"/>
        <v>0.64964118575471375</v>
      </c>
      <c r="O52" s="14"/>
      <c r="P52" s="1">
        <f>SUM(OSRRefP22_9x_0)</f>
        <v>36052.47</v>
      </c>
      <c r="Q52" s="1"/>
      <c r="R52" s="5">
        <f t="shared" si="28"/>
        <v>0</v>
      </c>
      <c r="S52" s="1"/>
      <c r="T52" s="1">
        <f>SUM(OSRRefT22_9x_0)</f>
        <v>31966.880000000001</v>
      </c>
      <c r="U52" s="1"/>
      <c r="V52" s="5">
        <f t="shared" si="29"/>
        <v>0</v>
      </c>
      <c r="W52" s="1"/>
      <c r="X52" s="1">
        <f t="shared" si="30"/>
        <v>4085.59</v>
      </c>
      <c r="Y52" s="1"/>
      <c r="Z52" s="5">
        <f t="shared" si="31"/>
        <v>0.12780696771158148</v>
      </c>
    </row>
    <row r="53" spans="1:26" s="24" customFormat="1" hidden="1" outlineLevel="2" x14ac:dyDescent="0.25">
      <c r="A53" s="28"/>
      <c r="B53" s="11" t="str">
        <f>CONCATENATE("          ", "6371", " - ", "COMPUTER SOFTWARE MAINTENANCE")</f>
        <v xml:space="preserve">          6371 - COMPUTER SOFTWARE MAINTENANCE</v>
      </c>
      <c r="C53" s="11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1"/>
      <c r="P53" s="6"/>
      <c r="Q53" s="2"/>
      <c r="R53" s="7">
        <f t="shared" si="28"/>
        <v>0</v>
      </c>
      <c r="S53" s="2"/>
      <c r="T53" s="6">
        <v>249</v>
      </c>
      <c r="U53" s="2"/>
      <c r="V53" s="7">
        <f t="shared" si="29"/>
        <v>0</v>
      </c>
      <c r="W53" s="2"/>
      <c r="X53" s="6">
        <f t="shared" si="30"/>
        <v>-249</v>
      </c>
      <c r="Y53" s="2"/>
      <c r="Z53" s="7">
        <f t="shared" si="31"/>
        <v>-1</v>
      </c>
    </row>
    <row r="54" spans="1:26" s="24" customFormat="1" hidden="1" outlineLevel="2" x14ac:dyDescent="0.25">
      <c r="A54" s="28"/>
      <c r="B54" s="11" t="str">
        <f>CONCATENATE("          ", "6373", " - ", "MAINTENANCE CONTRACTS")</f>
        <v xml:space="preserve">          6373 - MAINTENANCE CONTRACTS</v>
      </c>
      <c r="C54" s="11"/>
      <c r="D54" s="6">
        <v>5024.67</v>
      </c>
      <c r="E54" s="2"/>
      <c r="F54" s="7">
        <f t="shared" si="24"/>
        <v>0</v>
      </c>
      <c r="G54" s="2"/>
      <c r="H54" s="6">
        <v>5099.4799999999996</v>
      </c>
      <c r="I54" s="2"/>
      <c r="J54" s="7">
        <f t="shared" si="25"/>
        <v>0</v>
      </c>
      <c r="K54" s="2"/>
      <c r="L54" s="6">
        <f t="shared" si="26"/>
        <v>-74.809999999999491</v>
      </c>
      <c r="M54" s="2"/>
      <c r="N54" s="7">
        <f t="shared" si="27"/>
        <v>-1.4670123228250625E-2</v>
      </c>
      <c r="O54" s="11"/>
      <c r="P54" s="6">
        <v>19097.419999999998</v>
      </c>
      <c r="Q54" s="2"/>
      <c r="R54" s="7">
        <f t="shared" si="28"/>
        <v>0</v>
      </c>
      <c r="S54" s="2"/>
      <c r="T54" s="6">
        <v>23535.190000000002</v>
      </c>
      <c r="U54" s="2"/>
      <c r="V54" s="7">
        <f t="shared" si="29"/>
        <v>0</v>
      </c>
      <c r="W54" s="2"/>
      <c r="X54" s="6">
        <f t="shared" si="30"/>
        <v>-4437.7700000000041</v>
      </c>
      <c r="Y54" s="2"/>
      <c r="Z54" s="7">
        <f t="shared" si="31"/>
        <v>-0.18855891964330876</v>
      </c>
    </row>
    <row r="55" spans="1:26" s="24" customFormat="1" hidden="1" outlineLevel="2" x14ac:dyDescent="0.25">
      <c r="A55" s="28"/>
      <c r="B55" s="11" t="str">
        <f>CONCATENATE("          ", "6375", " - ", "OUTSIDE REPAIRS &amp; MAINTENANCE")</f>
        <v xml:space="preserve">          6375 - OUTSIDE REPAIRS &amp; MAINTENANCE</v>
      </c>
      <c r="C55" s="11"/>
      <c r="D55" s="6">
        <v>4570.2700000000004</v>
      </c>
      <c r="E55" s="2"/>
      <c r="F55" s="7">
        <f t="shared" si="24"/>
        <v>0</v>
      </c>
      <c r="G55" s="2"/>
      <c r="H55" s="6">
        <v>716.9</v>
      </c>
      <c r="I55" s="2"/>
      <c r="J55" s="7">
        <f t="shared" si="25"/>
        <v>0</v>
      </c>
      <c r="K55" s="2"/>
      <c r="L55" s="6">
        <f t="shared" si="26"/>
        <v>3853.3700000000003</v>
      </c>
      <c r="M55" s="2"/>
      <c r="N55" s="7">
        <f t="shared" si="27"/>
        <v>5.3750453340772779</v>
      </c>
      <c r="O55" s="11"/>
      <c r="P55" s="6">
        <v>16955.05</v>
      </c>
      <c r="Q55" s="2"/>
      <c r="R55" s="7">
        <f t="shared" si="28"/>
        <v>0</v>
      </c>
      <c r="S55" s="2"/>
      <c r="T55" s="6">
        <v>8182.69</v>
      </c>
      <c r="U55" s="2"/>
      <c r="V55" s="7">
        <f t="shared" si="29"/>
        <v>0</v>
      </c>
      <c r="W55" s="2"/>
      <c r="X55" s="6">
        <f t="shared" si="30"/>
        <v>8772.36</v>
      </c>
      <c r="Y55" s="2"/>
      <c r="Z55" s="7">
        <f t="shared" si="31"/>
        <v>1.072063099054223</v>
      </c>
    </row>
    <row r="56" spans="1:26" s="29" customFormat="1" outlineLevel="1" collapsed="1" x14ac:dyDescent="0.25">
      <c r="A56" s="27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SUM(OSRRefD22_10x_0)</f>
        <v>11295.3</v>
      </c>
      <c r="E56" s="1"/>
      <c r="F56" s="5">
        <f t="shared" ref="F56:F61" si="32">IF(D$12=0,0,D56/D$12)</f>
        <v>0</v>
      </c>
      <c r="G56" s="1"/>
      <c r="H56" s="1">
        <f>SUM(OSRRefH22_10x_0)</f>
        <v>15743.98</v>
      </c>
      <c r="I56" s="1"/>
      <c r="J56" s="5">
        <f t="shared" ref="J56:J61" si="33">IF(H$12=0,0,H56/H$12)</f>
        <v>0</v>
      </c>
      <c r="K56" s="1"/>
      <c r="L56" s="1">
        <f t="shared" ref="L56:L61" si="34">+D56-H56</f>
        <v>-4448.68</v>
      </c>
      <c r="M56" s="1"/>
      <c r="N56" s="5">
        <f t="shared" ref="N56:N61" si="35">IF(H56=0,0,L56/H56)</f>
        <v>-0.28256387520817483</v>
      </c>
      <c r="O56" s="14"/>
      <c r="P56" s="1">
        <f>SUM(OSRRefP22_10x_0)</f>
        <v>35887.340000000004</v>
      </c>
      <c r="Q56" s="1"/>
      <c r="R56" s="5">
        <f t="shared" ref="R56:R61" si="36">IF(P$12=0,0,P56/P$12)</f>
        <v>0</v>
      </c>
      <c r="S56" s="1"/>
      <c r="T56" s="1">
        <f>SUM(OSRRefT22_10x_0)</f>
        <v>41484.19</v>
      </c>
      <c r="U56" s="1"/>
      <c r="V56" s="5">
        <f t="shared" ref="V56:V61" si="37">IF(T$12=0,0,T56/T$12)</f>
        <v>0</v>
      </c>
      <c r="W56" s="1"/>
      <c r="X56" s="1">
        <f t="shared" ref="X56:X61" si="38">+P56-T56</f>
        <v>-5596.8499999999985</v>
      </c>
      <c r="Y56" s="1"/>
      <c r="Z56" s="5">
        <f t="shared" ref="Z56:Z61" si="39">IF(T56=0,0,X56/T56)</f>
        <v>-0.13491525325672257</v>
      </c>
    </row>
    <row r="57" spans="1:26" s="24" customFormat="1" hidden="1" outlineLevel="2" x14ac:dyDescent="0.25">
      <c r="A57" s="28"/>
      <c r="B57" s="11" t="str">
        <f>CONCATENATE("          ", "6282", " - ", "JANITORIAL/EXTERMINATOR EXPENS")</f>
        <v xml:space="preserve">          6282 - JANITORIAL/EXTERMINATOR EXPENS</v>
      </c>
      <c r="C57" s="11"/>
      <c r="D57" s="6">
        <v>626.26</v>
      </c>
      <c r="E57" s="2"/>
      <c r="F57" s="7">
        <f t="shared" si="32"/>
        <v>0</v>
      </c>
      <c r="G57" s="2"/>
      <c r="H57" s="6">
        <v>626.26</v>
      </c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>
        <v>1878.78</v>
      </c>
      <c r="Q57" s="2"/>
      <c r="R57" s="7">
        <f t="shared" si="36"/>
        <v>0</v>
      </c>
      <c r="S57" s="2"/>
      <c r="T57" s="6">
        <v>1878.78</v>
      </c>
      <c r="U57" s="2"/>
      <c r="V57" s="7">
        <f t="shared" si="37"/>
        <v>0</v>
      </c>
      <c r="W57" s="2"/>
      <c r="X57" s="6">
        <f t="shared" si="38"/>
        <v>0</v>
      </c>
      <c r="Y57" s="2"/>
      <c r="Z57" s="7">
        <f t="shared" si="39"/>
        <v>0</v>
      </c>
    </row>
    <row r="58" spans="1:26" s="24" customFormat="1" hidden="1" outlineLevel="2" x14ac:dyDescent="0.25">
      <c r="A58" s="28"/>
      <c r="B58" s="11" t="str">
        <f>CONCATENATE("          ", "6283", " - ", "PLANT SERVICE")</f>
        <v xml:space="preserve">          6283 - PLANT SERVICE</v>
      </c>
      <c r="C58" s="11"/>
      <c r="D58" s="6">
        <v>35.53</v>
      </c>
      <c r="E58" s="2"/>
      <c r="F58" s="7">
        <f t="shared" si="32"/>
        <v>0</v>
      </c>
      <c r="G58" s="2"/>
      <c r="H58" s="6">
        <v>33</v>
      </c>
      <c r="I58" s="2"/>
      <c r="J58" s="7">
        <f t="shared" si="33"/>
        <v>0</v>
      </c>
      <c r="K58" s="2"/>
      <c r="L58" s="6">
        <f t="shared" si="34"/>
        <v>2.5300000000000011</v>
      </c>
      <c r="M58" s="2"/>
      <c r="N58" s="7">
        <f t="shared" si="35"/>
        <v>7.6666666666666702E-2</v>
      </c>
      <c r="O58" s="11"/>
      <c r="P58" s="6">
        <v>106.59</v>
      </c>
      <c r="Q58" s="2"/>
      <c r="R58" s="7">
        <f t="shared" si="36"/>
        <v>0</v>
      </c>
      <c r="S58" s="2"/>
      <c r="T58" s="6">
        <v>99</v>
      </c>
      <c r="U58" s="2"/>
      <c r="V58" s="7">
        <f t="shared" si="37"/>
        <v>0</v>
      </c>
      <c r="W58" s="2"/>
      <c r="X58" s="6">
        <f t="shared" si="38"/>
        <v>7.5900000000000034</v>
      </c>
      <c r="Y58" s="2"/>
      <c r="Z58" s="7">
        <f t="shared" si="39"/>
        <v>7.6666666666666702E-2</v>
      </c>
    </row>
    <row r="59" spans="1:26" s="24" customFormat="1" hidden="1" outlineLevel="2" x14ac:dyDescent="0.25">
      <c r="A59" s="28"/>
      <c r="B59" s="11" t="str">
        <f>CONCATENATE("          ", "6284", " - ", "TRASH REMOVAL EXPENSE")</f>
        <v xml:space="preserve">          6284 - TRASH REMOVAL EXPENSE</v>
      </c>
      <c r="C59" s="11"/>
      <c r="D59" s="6"/>
      <c r="E59" s="2"/>
      <c r="F59" s="7">
        <f t="shared" si="32"/>
        <v>0</v>
      </c>
      <c r="G59" s="2"/>
      <c r="H59" s="6">
        <v>5150</v>
      </c>
      <c r="I59" s="2"/>
      <c r="J59" s="7">
        <f t="shared" si="33"/>
        <v>0</v>
      </c>
      <c r="K59" s="2"/>
      <c r="L59" s="6">
        <f t="shared" si="34"/>
        <v>-5150</v>
      </c>
      <c r="M59" s="2"/>
      <c r="N59" s="7">
        <f t="shared" si="35"/>
        <v>-1</v>
      </c>
      <c r="O59" s="11"/>
      <c r="P59" s="6">
        <v>3482</v>
      </c>
      <c r="Q59" s="2"/>
      <c r="R59" s="7">
        <f t="shared" si="36"/>
        <v>0</v>
      </c>
      <c r="S59" s="2"/>
      <c r="T59" s="6">
        <v>10446</v>
      </c>
      <c r="U59" s="2"/>
      <c r="V59" s="7">
        <f t="shared" si="37"/>
        <v>0</v>
      </c>
      <c r="W59" s="2"/>
      <c r="X59" s="6">
        <f t="shared" si="38"/>
        <v>-6964</v>
      </c>
      <c r="Y59" s="2"/>
      <c r="Z59" s="7">
        <f t="shared" si="39"/>
        <v>-0.66666666666666663</v>
      </c>
    </row>
    <row r="60" spans="1:26" s="24" customFormat="1" hidden="1" outlineLevel="2" x14ac:dyDescent="0.25">
      <c r="A60" s="28"/>
      <c r="B60" s="11" t="str">
        <f>CONCATENATE("          ", "6285", " - ", "JANITORIAL SERVICES")</f>
        <v xml:space="preserve">          6285 - JANITORIAL SERVICES</v>
      </c>
      <c r="C60" s="11"/>
      <c r="D60" s="6">
        <v>10633.51</v>
      </c>
      <c r="E60" s="2"/>
      <c r="F60" s="7">
        <f t="shared" si="32"/>
        <v>0</v>
      </c>
      <c r="G60" s="2"/>
      <c r="H60" s="6">
        <v>9916.7199999999993</v>
      </c>
      <c r="I60" s="2"/>
      <c r="J60" s="7">
        <f t="shared" si="33"/>
        <v>0</v>
      </c>
      <c r="K60" s="2"/>
      <c r="L60" s="6">
        <f t="shared" si="34"/>
        <v>716.79000000000087</v>
      </c>
      <c r="M60" s="2"/>
      <c r="N60" s="7">
        <f t="shared" si="35"/>
        <v>7.2280955799901667E-2</v>
      </c>
      <c r="O60" s="11"/>
      <c r="P60" s="6">
        <v>30340.53</v>
      </c>
      <c r="Q60" s="2"/>
      <c r="R60" s="7">
        <f t="shared" si="36"/>
        <v>0</v>
      </c>
      <c r="S60" s="2"/>
      <c r="T60" s="6">
        <v>28472.5</v>
      </c>
      <c r="U60" s="2"/>
      <c r="V60" s="7">
        <f t="shared" si="37"/>
        <v>0</v>
      </c>
      <c r="W60" s="2"/>
      <c r="X60" s="6">
        <f t="shared" si="38"/>
        <v>1868.0299999999988</v>
      </c>
      <c r="Y60" s="2"/>
      <c r="Z60" s="7">
        <f t="shared" si="39"/>
        <v>6.5608218456405257E-2</v>
      </c>
    </row>
    <row r="61" spans="1:26" s="24" customFormat="1" hidden="1" outlineLevel="2" x14ac:dyDescent="0.25">
      <c r="A61" s="28"/>
      <c r="B61" s="11" t="str">
        <f>CONCATENATE("          ", "6286", " - ", "LAUNDRY EXPENSE")</f>
        <v xml:space="preserve">          6286 - LAUNDRY EXPENSE</v>
      </c>
      <c r="C61" s="11"/>
      <c r="D61" s="6"/>
      <c r="E61" s="2"/>
      <c r="F61" s="7">
        <f t="shared" si="32"/>
        <v>0</v>
      </c>
      <c r="G61" s="2"/>
      <c r="H61" s="6">
        <v>18</v>
      </c>
      <c r="I61" s="2"/>
      <c r="J61" s="7">
        <f t="shared" si="33"/>
        <v>0</v>
      </c>
      <c r="K61" s="2"/>
      <c r="L61" s="6">
        <f t="shared" si="34"/>
        <v>-18</v>
      </c>
      <c r="M61" s="2"/>
      <c r="N61" s="7">
        <f t="shared" si="35"/>
        <v>-1</v>
      </c>
      <c r="O61" s="11"/>
      <c r="P61" s="6">
        <v>79.44</v>
      </c>
      <c r="Q61" s="2"/>
      <c r="R61" s="7">
        <f t="shared" si="36"/>
        <v>0</v>
      </c>
      <c r="S61" s="2"/>
      <c r="T61" s="6">
        <v>587.91</v>
      </c>
      <c r="U61" s="2"/>
      <c r="V61" s="7">
        <f t="shared" si="37"/>
        <v>0</v>
      </c>
      <c r="W61" s="2"/>
      <c r="X61" s="6">
        <f t="shared" si="38"/>
        <v>-508.46999999999997</v>
      </c>
      <c r="Y61" s="2"/>
      <c r="Z61" s="7">
        <f t="shared" si="39"/>
        <v>-0.86487727713425522</v>
      </c>
    </row>
    <row r="62" spans="1:26" s="29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SUM(OSRRefD22_11x_0)</f>
        <v>14323.31</v>
      </c>
      <c r="E62" s="1"/>
      <c r="F62" s="5">
        <f t="shared" ref="F62:F69" si="40">IF(D$12=0,0,D62/D$12)</f>
        <v>0</v>
      </c>
      <c r="G62" s="1"/>
      <c r="H62" s="1">
        <f>SUM(OSRRefH22_11x_0)</f>
        <v>3167.7499999999995</v>
      </c>
      <c r="I62" s="1"/>
      <c r="J62" s="5">
        <f t="shared" ref="J62:J69" si="41">IF(H$12=0,0,H62/H$12)</f>
        <v>0</v>
      </c>
      <c r="K62" s="1"/>
      <c r="L62" s="1">
        <f t="shared" ref="L62:L69" si="42">+D62-H62</f>
        <v>11155.56</v>
      </c>
      <c r="M62" s="1"/>
      <c r="N62" s="5">
        <f t="shared" ref="N62:N69" si="43">IF(H62=0,0,L62/H62)</f>
        <v>3.5216036619051381</v>
      </c>
      <c r="O62" s="14"/>
      <c r="P62" s="1">
        <f>SUM(OSRRefP22_11x_0)</f>
        <v>21715.7</v>
      </c>
      <c r="Q62" s="1"/>
      <c r="R62" s="5">
        <f t="shared" ref="R62:R69" si="44">IF(P$12=0,0,P62/P$12)</f>
        <v>0</v>
      </c>
      <c r="S62" s="1"/>
      <c r="T62" s="1">
        <f>SUM(OSRRefT22_11x_0)</f>
        <v>17665.68</v>
      </c>
      <c r="U62" s="1"/>
      <c r="V62" s="5">
        <f t="shared" ref="V62:V69" si="45">IF(T$12=0,0,T62/T$12)</f>
        <v>0</v>
      </c>
      <c r="W62" s="1"/>
      <c r="X62" s="1">
        <f t="shared" ref="X62:X69" si="46">+P62-T62</f>
        <v>4050.0200000000004</v>
      </c>
      <c r="Y62" s="1"/>
      <c r="Z62" s="5">
        <f t="shared" ref="Z62:Z69" si="47">IF(T62=0,0,X62/T62)</f>
        <v>0.2292592190054388</v>
      </c>
    </row>
    <row r="63" spans="1:26" s="24" customFormat="1" hidden="1" outlineLevel="2" x14ac:dyDescent="0.25">
      <c r="A63" s="28"/>
      <c r="B63" s="11" t="str">
        <f>CONCATENATE("          ", "6234", " - ", "EXPENDABLE SUPPLIES &amp; EQUIPMEN")</f>
        <v xml:space="preserve">          6234 - EXPENDABLE SUPPLIES &amp; EQUIPMEN</v>
      </c>
      <c r="C63" s="11"/>
      <c r="D63" s="6">
        <v>7670.09</v>
      </c>
      <c r="E63" s="2"/>
      <c r="F63" s="7">
        <f t="shared" si="40"/>
        <v>0</v>
      </c>
      <c r="G63" s="2"/>
      <c r="H63" s="6">
        <v>732.36</v>
      </c>
      <c r="I63" s="2"/>
      <c r="J63" s="7">
        <f t="shared" si="41"/>
        <v>0</v>
      </c>
      <c r="K63" s="2"/>
      <c r="L63" s="6">
        <f t="shared" si="42"/>
        <v>6937.7300000000005</v>
      </c>
      <c r="M63" s="2"/>
      <c r="N63" s="7">
        <f t="shared" si="43"/>
        <v>9.4731143153640289</v>
      </c>
      <c r="O63" s="11"/>
      <c r="P63" s="6">
        <v>7670.09</v>
      </c>
      <c r="Q63" s="2"/>
      <c r="R63" s="7">
        <f t="shared" si="44"/>
        <v>0</v>
      </c>
      <c r="S63" s="2"/>
      <c r="T63" s="6">
        <v>732.36</v>
      </c>
      <c r="U63" s="2"/>
      <c r="V63" s="7">
        <f t="shared" si="45"/>
        <v>0</v>
      </c>
      <c r="W63" s="2"/>
      <c r="X63" s="6">
        <f t="shared" si="46"/>
        <v>6937.7300000000005</v>
      </c>
      <c r="Y63" s="2"/>
      <c r="Z63" s="7">
        <f t="shared" si="47"/>
        <v>9.4731143153640289</v>
      </c>
    </row>
    <row r="64" spans="1:26" s="24" customFormat="1" hidden="1" outlineLevel="2" x14ac:dyDescent="0.25">
      <c r="A64" s="28"/>
      <c r="B64" s="11" t="str">
        <f>CONCATENATE("          ", "6237", " - ", "JANITORIAL SUPPLIES")</f>
        <v xml:space="preserve">          6237 - JANITORIAL SUPPLIES</v>
      </c>
      <c r="C64" s="11"/>
      <c r="D64" s="6">
        <v>3257.81</v>
      </c>
      <c r="E64" s="2"/>
      <c r="F64" s="7">
        <f t="shared" si="40"/>
        <v>0</v>
      </c>
      <c r="G64" s="2"/>
      <c r="H64" s="6">
        <v>2472.87</v>
      </c>
      <c r="I64" s="2"/>
      <c r="J64" s="7">
        <f t="shared" si="41"/>
        <v>0</v>
      </c>
      <c r="K64" s="2"/>
      <c r="L64" s="6">
        <f t="shared" si="42"/>
        <v>784.94</v>
      </c>
      <c r="M64" s="2"/>
      <c r="N64" s="7">
        <f t="shared" si="43"/>
        <v>0.31742064888166382</v>
      </c>
      <c r="O64" s="11"/>
      <c r="P64" s="6">
        <v>8915.19</v>
      </c>
      <c r="Q64" s="2"/>
      <c r="R64" s="7">
        <f t="shared" si="44"/>
        <v>0</v>
      </c>
      <c r="S64" s="2"/>
      <c r="T64" s="6">
        <v>7689.13</v>
      </c>
      <c r="U64" s="2"/>
      <c r="V64" s="7">
        <f t="shared" si="45"/>
        <v>0</v>
      </c>
      <c r="W64" s="2"/>
      <c r="X64" s="6">
        <f t="shared" si="46"/>
        <v>1226.0600000000004</v>
      </c>
      <c r="Y64" s="2"/>
      <c r="Z64" s="7">
        <f t="shared" si="47"/>
        <v>0.15945367031120561</v>
      </c>
    </row>
    <row r="65" spans="1:26" s="24" customFormat="1" hidden="1" outlineLevel="2" x14ac:dyDescent="0.25">
      <c r="A65" s="28"/>
      <c r="B65" s="11" t="str">
        <f>CONCATENATE("          ", "6239", " - ", "KITCHEN SUPPLIES")</f>
        <v xml:space="preserve">          6239 - KITCHEN SUPPLIES</v>
      </c>
      <c r="C65" s="11"/>
      <c r="D65" s="6">
        <v>2841.98</v>
      </c>
      <c r="E65" s="2"/>
      <c r="F65" s="7">
        <f t="shared" si="40"/>
        <v>0</v>
      </c>
      <c r="G65" s="2"/>
      <c r="H65" s="6">
        <v>2630.93</v>
      </c>
      <c r="I65" s="2"/>
      <c r="J65" s="7">
        <f t="shared" si="41"/>
        <v>0</v>
      </c>
      <c r="K65" s="2"/>
      <c r="L65" s="6">
        <f t="shared" si="42"/>
        <v>211.05000000000018</v>
      </c>
      <c r="M65" s="2"/>
      <c r="N65" s="7">
        <f t="shared" si="43"/>
        <v>8.0218781951629348E-2</v>
      </c>
      <c r="O65" s="11"/>
      <c r="P65" s="6">
        <v>5807.45</v>
      </c>
      <c r="Q65" s="2"/>
      <c r="R65" s="7">
        <f t="shared" si="44"/>
        <v>0</v>
      </c>
      <c r="S65" s="2"/>
      <c r="T65" s="6">
        <v>4385.29</v>
      </c>
      <c r="U65" s="2"/>
      <c r="V65" s="7">
        <f t="shared" si="45"/>
        <v>0</v>
      </c>
      <c r="W65" s="2"/>
      <c r="X65" s="6">
        <f t="shared" si="46"/>
        <v>1422.1599999999999</v>
      </c>
      <c r="Y65" s="2"/>
      <c r="Z65" s="7">
        <f t="shared" si="47"/>
        <v>0.32430238365079617</v>
      </c>
    </row>
    <row r="66" spans="1:26" s="24" customFormat="1" hidden="1" outlineLevel="2" x14ac:dyDescent="0.25">
      <c r="A66" s="28"/>
      <c r="B66" s="11" t="str">
        <f>CONCATENATE("          ", "6241", " - ", "OFFICE EXPENSE")</f>
        <v xml:space="preserve">          6241 - OFFICE EXPENSE</v>
      </c>
      <c r="C66" s="11"/>
      <c r="D66" s="6">
        <v>553.42999999999995</v>
      </c>
      <c r="E66" s="2"/>
      <c r="F66" s="7">
        <f t="shared" si="40"/>
        <v>0</v>
      </c>
      <c r="G66" s="2"/>
      <c r="H66" s="6">
        <v>-3051.03</v>
      </c>
      <c r="I66" s="2"/>
      <c r="J66" s="7">
        <f t="shared" si="41"/>
        <v>0</v>
      </c>
      <c r="K66" s="2"/>
      <c r="L66" s="6">
        <f t="shared" si="42"/>
        <v>3604.46</v>
      </c>
      <c r="M66" s="2"/>
      <c r="N66" s="7">
        <f t="shared" si="43"/>
        <v>-1.1813912023152837</v>
      </c>
      <c r="O66" s="11"/>
      <c r="P66" s="6">
        <v>-909.84</v>
      </c>
      <c r="Q66" s="2"/>
      <c r="R66" s="7">
        <f t="shared" si="44"/>
        <v>0</v>
      </c>
      <c r="S66" s="2"/>
      <c r="T66" s="6">
        <v>2640.96</v>
      </c>
      <c r="U66" s="2"/>
      <c r="V66" s="7">
        <f t="shared" si="45"/>
        <v>0</v>
      </c>
      <c r="W66" s="2"/>
      <c r="X66" s="6">
        <f t="shared" si="46"/>
        <v>-3550.8</v>
      </c>
      <c r="Y66" s="2"/>
      <c r="Z66" s="7">
        <f t="shared" si="47"/>
        <v>-1.3445110868774992</v>
      </c>
    </row>
    <row r="67" spans="1:26" s="24" customFormat="1" hidden="1" outlineLevel="2" x14ac:dyDescent="0.25">
      <c r="A67" s="28"/>
      <c r="B67" s="11" t="str">
        <f>CONCATENATE("          ", "6243", " - ", "PAPER SUPPLIES")</f>
        <v xml:space="preserve">          6243 - PAPER SUPPLIES</v>
      </c>
      <c r="C67" s="11"/>
      <c r="D67" s="6"/>
      <c r="E67" s="2"/>
      <c r="F67" s="7">
        <f t="shared" si="40"/>
        <v>0</v>
      </c>
      <c r="G67" s="2"/>
      <c r="H67" s="6">
        <v>382.62</v>
      </c>
      <c r="I67" s="2"/>
      <c r="J67" s="7">
        <f t="shared" si="41"/>
        <v>0</v>
      </c>
      <c r="K67" s="2"/>
      <c r="L67" s="6">
        <f t="shared" si="42"/>
        <v>-382.62</v>
      </c>
      <c r="M67" s="2"/>
      <c r="N67" s="7">
        <f t="shared" si="43"/>
        <v>-1</v>
      </c>
      <c r="O67" s="11"/>
      <c r="P67" s="6"/>
      <c r="Q67" s="2"/>
      <c r="R67" s="7">
        <f t="shared" si="44"/>
        <v>0</v>
      </c>
      <c r="S67" s="2"/>
      <c r="T67" s="6">
        <v>860.32</v>
      </c>
      <c r="U67" s="2"/>
      <c r="V67" s="7">
        <f t="shared" si="45"/>
        <v>0</v>
      </c>
      <c r="W67" s="2"/>
      <c r="X67" s="6">
        <f t="shared" si="46"/>
        <v>-860.32</v>
      </c>
      <c r="Y67" s="2"/>
      <c r="Z67" s="7">
        <f t="shared" si="47"/>
        <v>-1</v>
      </c>
    </row>
    <row r="68" spans="1:26" s="24" customFormat="1" hidden="1" outlineLevel="2" x14ac:dyDescent="0.25">
      <c r="A68" s="28"/>
      <c r="B68" s="11" t="str">
        <f>CONCATENATE("          ", "6247", " - ", "STORE SUPPLIES")</f>
        <v xml:space="preserve">          6247 - STORE SUPPLIES</v>
      </c>
      <c r="C68" s="11"/>
      <c r="D68" s="6"/>
      <c r="E68" s="2"/>
      <c r="F68" s="7">
        <f t="shared" si="40"/>
        <v>0</v>
      </c>
      <c r="G68" s="2"/>
      <c r="H68" s="6"/>
      <c r="I68" s="2"/>
      <c r="J68" s="7">
        <f t="shared" si="41"/>
        <v>0</v>
      </c>
      <c r="K68" s="2"/>
      <c r="L68" s="6">
        <f t="shared" si="42"/>
        <v>0</v>
      </c>
      <c r="M68" s="2"/>
      <c r="N68" s="7">
        <f t="shared" si="43"/>
        <v>0</v>
      </c>
      <c r="O68" s="11"/>
      <c r="P68" s="6"/>
      <c r="Q68" s="2"/>
      <c r="R68" s="7">
        <f t="shared" si="44"/>
        <v>0</v>
      </c>
      <c r="S68" s="2"/>
      <c r="T68" s="6">
        <v>81.99</v>
      </c>
      <c r="U68" s="2"/>
      <c r="V68" s="7">
        <f t="shared" si="45"/>
        <v>0</v>
      </c>
      <c r="W68" s="2"/>
      <c r="X68" s="6">
        <f t="shared" si="46"/>
        <v>-81.99</v>
      </c>
      <c r="Y68" s="2"/>
      <c r="Z68" s="7">
        <f t="shared" si="47"/>
        <v>-1</v>
      </c>
    </row>
    <row r="69" spans="1:26" s="24" customFormat="1" hidden="1" outlineLevel="2" x14ac:dyDescent="0.25">
      <c r="A69" s="28"/>
      <c r="B69" s="11" t="str">
        <f>CONCATENATE("          ", "6248", " - ", "UNIFORMS")</f>
        <v xml:space="preserve">          6248 - UNIFORMS</v>
      </c>
      <c r="C69" s="11"/>
      <c r="D69" s="6"/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>
        <v>232.81</v>
      </c>
      <c r="Q69" s="2"/>
      <c r="R69" s="7">
        <f t="shared" si="44"/>
        <v>0</v>
      </c>
      <c r="S69" s="2"/>
      <c r="T69" s="6">
        <v>1275.6300000000001</v>
      </c>
      <c r="U69" s="2"/>
      <c r="V69" s="7">
        <f t="shared" si="45"/>
        <v>0</v>
      </c>
      <c r="W69" s="2"/>
      <c r="X69" s="6">
        <f t="shared" si="46"/>
        <v>-1042.8200000000002</v>
      </c>
      <c r="Y69" s="2"/>
      <c r="Z69" s="7">
        <f t="shared" si="47"/>
        <v>-0.81749410095403841</v>
      </c>
    </row>
    <row r="70" spans="1:26" s="29" customFormat="1" outlineLevel="1" collapsed="1" x14ac:dyDescent="0.25">
      <c r="A70" s="27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SUM(OSRRefD22_12x_0)</f>
        <v>550</v>
      </c>
      <c r="E70" s="1"/>
      <c r="F70" s="5">
        <f t="shared" ref="F70:F77" si="48">IF(D$12=0,0,D70/D$12)</f>
        <v>0</v>
      </c>
      <c r="G70" s="1"/>
      <c r="H70" s="1">
        <f>SUM(OSRRefH22_12x_0)</f>
        <v>550</v>
      </c>
      <c r="I70" s="1"/>
      <c r="J70" s="5">
        <f t="shared" ref="J70:J77" si="49">IF(H$12=0,0,H70/H$12)</f>
        <v>0</v>
      </c>
      <c r="K70" s="1"/>
      <c r="L70" s="1">
        <f t="shared" ref="L70:L77" si="50">+D70-H70</f>
        <v>0</v>
      </c>
      <c r="M70" s="1"/>
      <c r="N70" s="5">
        <f t="shared" ref="N70:N77" si="51">IF(H70=0,0,L70/H70)</f>
        <v>0</v>
      </c>
      <c r="O70" s="14"/>
      <c r="P70" s="1">
        <f>SUM(OSRRefP22_12x_0)</f>
        <v>1022.55</v>
      </c>
      <c r="Q70" s="1"/>
      <c r="R70" s="5">
        <f t="shared" ref="R70:R77" si="52">IF(P$12=0,0,P70/P$12)</f>
        <v>0</v>
      </c>
      <c r="S70" s="1"/>
      <c r="T70" s="1">
        <f>SUM(OSRRefT22_12x_0)</f>
        <v>1316.25</v>
      </c>
      <c r="U70" s="1"/>
      <c r="V70" s="5">
        <f t="shared" ref="V70:V77" si="53">IF(T$12=0,0,T70/T$12)</f>
        <v>0</v>
      </c>
      <c r="W70" s="1"/>
      <c r="X70" s="1">
        <f t="shared" ref="X70:X77" si="54">+P70-T70</f>
        <v>-293.70000000000005</v>
      </c>
      <c r="Y70" s="1"/>
      <c r="Z70" s="5">
        <f t="shared" ref="Z70:Z77" si="55">IF(T70=0,0,X70/T70)</f>
        <v>-0.22313390313390316</v>
      </c>
    </row>
    <row r="71" spans="1:26" s="24" customFormat="1" hidden="1" outlineLevel="2" x14ac:dyDescent="0.25">
      <c r="A71" s="28"/>
      <c r="B71" s="11" t="str">
        <f>CONCATENATE("          ", "6309", " - ", "TELEPHONE")</f>
        <v xml:space="preserve">          6309 - TELEPHONE</v>
      </c>
      <c r="C71" s="11"/>
      <c r="D71" s="6">
        <v>550</v>
      </c>
      <c r="E71" s="2"/>
      <c r="F71" s="7">
        <f t="shared" si="48"/>
        <v>0</v>
      </c>
      <c r="G71" s="2"/>
      <c r="H71" s="6">
        <v>550</v>
      </c>
      <c r="I71" s="2"/>
      <c r="J71" s="7">
        <f t="shared" si="49"/>
        <v>0</v>
      </c>
      <c r="K71" s="2"/>
      <c r="L71" s="6">
        <f t="shared" si="50"/>
        <v>0</v>
      </c>
      <c r="M71" s="2"/>
      <c r="N71" s="7">
        <f t="shared" si="51"/>
        <v>0</v>
      </c>
      <c r="O71" s="11"/>
      <c r="P71" s="6">
        <v>1022.55</v>
      </c>
      <c r="Q71" s="2"/>
      <c r="R71" s="7">
        <f t="shared" si="52"/>
        <v>0</v>
      </c>
      <c r="S71" s="2"/>
      <c r="T71" s="6">
        <v>1316.25</v>
      </c>
      <c r="U71" s="2"/>
      <c r="V71" s="7">
        <f t="shared" si="53"/>
        <v>0</v>
      </c>
      <c r="W71" s="2"/>
      <c r="X71" s="6">
        <f t="shared" si="54"/>
        <v>-293.70000000000005</v>
      </c>
      <c r="Y71" s="2"/>
      <c r="Z71" s="7">
        <f t="shared" si="55"/>
        <v>-0.22313390313390316</v>
      </c>
    </row>
    <row r="72" spans="1:26" s="29" customFormat="1" outlineLevel="1" collapsed="1" x14ac:dyDescent="0.25">
      <c r="A72" s="27"/>
      <c r="B72" s="14" t="str">
        <f>CONCATENATE("     ","Training                                          ")</f>
        <v xml:space="preserve">     Training                                          </v>
      </c>
      <c r="C72" s="14"/>
      <c r="D72" s="1">
        <f>SUM(OSRRefD22_13x_0)</f>
        <v>0</v>
      </c>
      <c r="E72" s="1"/>
      <c r="F72" s="5">
        <f t="shared" si="48"/>
        <v>0</v>
      </c>
      <c r="G72" s="1"/>
      <c r="H72" s="1">
        <f>SUM(OSRRefH22_13x_0)</f>
        <v>0</v>
      </c>
      <c r="I72" s="1"/>
      <c r="J72" s="5">
        <f t="shared" si="49"/>
        <v>0</v>
      </c>
      <c r="K72" s="1"/>
      <c r="L72" s="1">
        <f t="shared" si="50"/>
        <v>0</v>
      </c>
      <c r="M72" s="1"/>
      <c r="N72" s="5">
        <f t="shared" si="51"/>
        <v>0</v>
      </c>
      <c r="O72" s="14"/>
      <c r="P72" s="1">
        <f>SUM(OSRRefP22_13x_0)</f>
        <v>240</v>
      </c>
      <c r="Q72" s="1"/>
      <c r="R72" s="5">
        <f t="shared" si="52"/>
        <v>0</v>
      </c>
      <c r="S72" s="1"/>
      <c r="T72" s="1">
        <f>SUM(OSRRefT22_13x_0)</f>
        <v>0</v>
      </c>
      <c r="U72" s="1"/>
      <c r="V72" s="5">
        <f t="shared" si="53"/>
        <v>0</v>
      </c>
      <c r="W72" s="1"/>
      <c r="X72" s="1">
        <f t="shared" si="54"/>
        <v>240</v>
      </c>
      <c r="Y72" s="1"/>
      <c r="Z72" s="5">
        <f t="shared" si="55"/>
        <v>0</v>
      </c>
    </row>
    <row r="73" spans="1:26" s="24" customFormat="1" hidden="1" outlineLevel="2" x14ac:dyDescent="0.25">
      <c r="A73" s="28"/>
      <c r="B73" s="11" t="str">
        <f>CONCATENATE("          ", "6376", " - ", "TRAINING")</f>
        <v xml:space="preserve">          6376 - TRAINING</v>
      </c>
      <c r="C73" s="11"/>
      <c r="D73" s="6"/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0</v>
      </c>
      <c r="M73" s="2"/>
      <c r="N73" s="7">
        <f t="shared" si="51"/>
        <v>0</v>
      </c>
      <c r="O73" s="11"/>
      <c r="P73" s="6">
        <v>240</v>
      </c>
      <c r="Q73" s="2"/>
      <c r="R73" s="7">
        <f t="shared" si="52"/>
        <v>0</v>
      </c>
      <c r="S73" s="2"/>
      <c r="T73" s="6"/>
      <c r="U73" s="2"/>
      <c r="V73" s="7">
        <f t="shared" si="53"/>
        <v>0</v>
      </c>
      <c r="W73" s="2"/>
      <c r="X73" s="6">
        <f t="shared" si="54"/>
        <v>240</v>
      </c>
      <c r="Y73" s="2"/>
      <c r="Z73" s="7">
        <f t="shared" si="55"/>
        <v>0</v>
      </c>
    </row>
    <row r="74" spans="1:26" s="29" customFormat="1" outlineLevel="1" collapsed="1" x14ac:dyDescent="0.25">
      <c r="A74" s="27"/>
      <c r="B74" s="14" t="str">
        <f>CONCATENATE("     ","Travel                                            ")</f>
        <v xml:space="preserve">     Travel                                            </v>
      </c>
      <c r="C74" s="14"/>
      <c r="D74" s="1">
        <f>SUM(OSRRefD22_14x_0)</f>
        <v>249.82</v>
      </c>
      <c r="E74" s="1"/>
      <c r="F74" s="5">
        <f t="shared" si="48"/>
        <v>0</v>
      </c>
      <c r="G74" s="1"/>
      <c r="H74" s="1">
        <f>SUM(OSRRefH22_14x_0)</f>
        <v>78.72</v>
      </c>
      <c r="I74" s="1"/>
      <c r="J74" s="5">
        <f t="shared" si="49"/>
        <v>0</v>
      </c>
      <c r="K74" s="1"/>
      <c r="L74" s="1">
        <f t="shared" si="50"/>
        <v>171.1</v>
      </c>
      <c r="M74" s="1"/>
      <c r="N74" s="5">
        <f t="shared" si="51"/>
        <v>2.1735264227642275</v>
      </c>
      <c r="O74" s="14"/>
      <c r="P74" s="1">
        <f>SUM(OSRRefP22_14x_0)</f>
        <v>1101.18</v>
      </c>
      <c r="Q74" s="1"/>
      <c r="R74" s="5">
        <f t="shared" si="52"/>
        <v>0</v>
      </c>
      <c r="S74" s="1"/>
      <c r="T74" s="1">
        <f>SUM(OSRRefT22_14x_0)</f>
        <v>409.12</v>
      </c>
      <c r="U74" s="1"/>
      <c r="V74" s="5">
        <f t="shared" si="53"/>
        <v>0</v>
      </c>
      <c r="W74" s="1"/>
      <c r="X74" s="1">
        <f t="shared" si="54"/>
        <v>692.06000000000006</v>
      </c>
      <c r="Y74" s="1"/>
      <c r="Z74" s="5">
        <f t="shared" si="55"/>
        <v>1.6915819319515057</v>
      </c>
    </row>
    <row r="75" spans="1:26" s="24" customFormat="1" hidden="1" outlineLevel="2" x14ac:dyDescent="0.25">
      <c r="A75" s="28"/>
      <c r="B75" s="11" t="str">
        <f>CONCATENATE("          ", "6292", " - ", "TRAVEL/CONFERENCE")</f>
        <v xml:space="preserve">          6292 - TRAVEL/CONFERENCE</v>
      </c>
      <c r="C75" s="11"/>
      <c r="D75" s="6"/>
      <c r="E75" s="2"/>
      <c r="F75" s="7">
        <f t="shared" si="48"/>
        <v>0</v>
      </c>
      <c r="G75" s="2"/>
      <c r="H75" s="6">
        <v>12.05</v>
      </c>
      <c r="I75" s="2"/>
      <c r="J75" s="7">
        <f t="shared" si="49"/>
        <v>0</v>
      </c>
      <c r="K75" s="2"/>
      <c r="L75" s="6">
        <f t="shared" si="50"/>
        <v>-12.05</v>
      </c>
      <c r="M75" s="2"/>
      <c r="N75" s="7">
        <f t="shared" si="51"/>
        <v>-1</v>
      </c>
      <c r="O75" s="11"/>
      <c r="P75" s="6">
        <v>545.69000000000005</v>
      </c>
      <c r="Q75" s="2"/>
      <c r="R75" s="7">
        <f t="shared" si="52"/>
        <v>0</v>
      </c>
      <c r="S75" s="2"/>
      <c r="T75" s="6">
        <v>190.08</v>
      </c>
      <c r="U75" s="2"/>
      <c r="V75" s="7">
        <f t="shared" si="53"/>
        <v>0</v>
      </c>
      <c r="W75" s="2"/>
      <c r="X75" s="6">
        <f t="shared" si="54"/>
        <v>355.61</v>
      </c>
      <c r="Y75" s="2"/>
      <c r="Z75" s="7">
        <f t="shared" si="55"/>
        <v>1.8708438552188551</v>
      </c>
    </row>
    <row r="76" spans="1:26" s="24" customFormat="1" hidden="1" outlineLevel="2" x14ac:dyDescent="0.25">
      <c r="A76" s="28"/>
      <c r="B76" s="11" t="str">
        <f>CONCATENATE("          ", "6294", " - ", "TRAVEL OPERATIONAL")</f>
        <v xml:space="preserve">          6294 - TRAVEL OPERATIONAL</v>
      </c>
      <c r="C76" s="11"/>
      <c r="D76" s="6"/>
      <c r="E76" s="2"/>
      <c r="F76" s="7">
        <f t="shared" si="48"/>
        <v>0</v>
      </c>
      <c r="G76" s="2"/>
      <c r="H76" s="6"/>
      <c r="I76" s="2"/>
      <c r="J76" s="7">
        <f t="shared" si="49"/>
        <v>0</v>
      </c>
      <c r="K76" s="2"/>
      <c r="L76" s="6">
        <f t="shared" si="50"/>
        <v>0</v>
      </c>
      <c r="M76" s="2"/>
      <c r="N76" s="7">
        <f t="shared" si="51"/>
        <v>0</v>
      </c>
      <c r="O76" s="11"/>
      <c r="P76" s="6">
        <v>45.49</v>
      </c>
      <c r="Q76" s="2"/>
      <c r="R76" s="7">
        <f t="shared" si="52"/>
        <v>0</v>
      </c>
      <c r="S76" s="2"/>
      <c r="T76" s="6"/>
      <c r="U76" s="2"/>
      <c r="V76" s="7">
        <f t="shared" si="53"/>
        <v>0</v>
      </c>
      <c r="W76" s="2"/>
      <c r="X76" s="6">
        <f t="shared" si="54"/>
        <v>45.49</v>
      </c>
      <c r="Y76" s="2"/>
      <c r="Z76" s="7">
        <f t="shared" si="55"/>
        <v>0</v>
      </c>
    </row>
    <row r="77" spans="1:26" s="24" customFormat="1" hidden="1" outlineLevel="2" x14ac:dyDescent="0.25">
      <c r="A77" s="28"/>
      <c r="B77" s="11" t="str">
        <f>CONCATENATE("          ", "6298", " - ", "VEHICLE MILEAGE")</f>
        <v xml:space="preserve">          6298 - VEHICLE MILEAGE</v>
      </c>
      <c r="C77" s="11"/>
      <c r="D77" s="6">
        <v>249.82</v>
      </c>
      <c r="E77" s="2"/>
      <c r="F77" s="7">
        <f t="shared" si="48"/>
        <v>0</v>
      </c>
      <c r="G77" s="2"/>
      <c r="H77" s="6">
        <v>66.67</v>
      </c>
      <c r="I77" s="2"/>
      <c r="J77" s="7">
        <f t="shared" si="49"/>
        <v>0</v>
      </c>
      <c r="K77" s="2"/>
      <c r="L77" s="6">
        <f t="shared" si="50"/>
        <v>183.14999999999998</v>
      </c>
      <c r="M77" s="2"/>
      <c r="N77" s="7">
        <f t="shared" si="51"/>
        <v>2.7471126443677814</v>
      </c>
      <c r="O77" s="11"/>
      <c r="P77" s="6">
        <v>510</v>
      </c>
      <c r="Q77" s="2"/>
      <c r="R77" s="7">
        <f t="shared" si="52"/>
        <v>0</v>
      </c>
      <c r="S77" s="2"/>
      <c r="T77" s="6">
        <v>219.04</v>
      </c>
      <c r="U77" s="2"/>
      <c r="V77" s="7">
        <f t="shared" si="53"/>
        <v>0</v>
      </c>
      <c r="W77" s="2"/>
      <c r="X77" s="6">
        <f t="shared" si="54"/>
        <v>290.96000000000004</v>
      </c>
      <c r="Y77" s="2"/>
      <c r="Z77" s="7">
        <f t="shared" si="55"/>
        <v>1.3283418553688826</v>
      </c>
    </row>
    <row r="78" spans="1:26" s="29" customFormat="1" outlineLevel="1" collapsed="1" x14ac:dyDescent="0.25">
      <c r="A78" s="27"/>
      <c r="B78" s="14" t="str">
        <f>CONCATENATE("     ","Utilities                                         ")</f>
        <v xml:space="preserve">     Utilities                                         </v>
      </c>
      <c r="C78" s="14"/>
      <c r="D78" s="1">
        <f>SUM(OSRRefD22_15x_0)</f>
        <v>14836</v>
      </c>
      <c r="E78" s="1"/>
      <c r="F78" s="5">
        <f t="shared" ref="F78:F79" si="56">IF(D$12=0,0,D78/D$12)</f>
        <v>0</v>
      </c>
      <c r="G78" s="1"/>
      <c r="H78" s="1">
        <f>SUM(OSRRefH22_15x_0)</f>
        <v>8494</v>
      </c>
      <c r="I78" s="1"/>
      <c r="J78" s="5">
        <f t="shared" ref="J78:J79" si="57">IF(H$12=0,0,H78/H$12)</f>
        <v>0</v>
      </c>
      <c r="K78" s="1"/>
      <c r="L78" s="1">
        <f t="shared" ref="L78:L79" si="58">+D78-H78</f>
        <v>6342</v>
      </c>
      <c r="M78" s="1"/>
      <c r="N78" s="5">
        <f t="shared" ref="N78:N79" si="59">IF(H78=0,0,L78/H78)</f>
        <v>0.74664469036967274</v>
      </c>
      <c r="O78" s="14"/>
      <c r="P78" s="1">
        <f>SUM(OSRRefP22_15x_0)</f>
        <v>26190</v>
      </c>
      <c r="Q78" s="1"/>
      <c r="R78" s="5">
        <f t="shared" ref="R78:R79" si="60">IF(P$12=0,0,P78/P$12)</f>
        <v>0</v>
      </c>
      <c r="S78" s="1"/>
      <c r="T78" s="1">
        <f>SUM(OSRRefT22_15x_0)</f>
        <v>34062</v>
      </c>
      <c r="U78" s="1"/>
      <c r="V78" s="5">
        <f t="shared" ref="V78:V79" si="61">IF(T$12=0,0,T78/T$12)</f>
        <v>0</v>
      </c>
      <c r="W78" s="1"/>
      <c r="X78" s="1">
        <f t="shared" ref="X78:X79" si="62">+P78-T78</f>
        <v>-7872</v>
      </c>
      <c r="Y78" s="1"/>
      <c r="Z78" s="5">
        <f t="shared" ref="Z78:Z79" si="63">IF(T78=0,0,X78/T78)</f>
        <v>-0.23110797956667253</v>
      </c>
    </row>
    <row r="79" spans="1:26" s="24" customFormat="1" hidden="1" outlineLevel="2" x14ac:dyDescent="0.25">
      <c r="A79" s="28"/>
      <c r="B79" s="11" t="str">
        <f>CONCATENATE("          ", "6274", " - ", "UTILITIES")</f>
        <v xml:space="preserve">          6274 - UTILITIES</v>
      </c>
      <c r="C79" s="11"/>
      <c r="D79" s="6">
        <v>14836</v>
      </c>
      <c r="E79" s="2"/>
      <c r="F79" s="7">
        <f t="shared" si="56"/>
        <v>0</v>
      </c>
      <c r="G79" s="2"/>
      <c r="H79" s="6">
        <v>8494</v>
      </c>
      <c r="I79" s="2"/>
      <c r="J79" s="7">
        <f t="shared" si="57"/>
        <v>0</v>
      </c>
      <c r="K79" s="2"/>
      <c r="L79" s="6">
        <f t="shared" si="58"/>
        <v>6342</v>
      </c>
      <c r="M79" s="2"/>
      <c r="N79" s="7">
        <f t="shared" si="59"/>
        <v>0.74664469036967274</v>
      </c>
      <c r="O79" s="11"/>
      <c r="P79" s="6">
        <v>26190</v>
      </c>
      <c r="Q79" s="2"/>
      <c r="R79" s="7">
        <f t="shared" si="60"/>
        <v>0</v>
      </c>
      <c r="S79" s="2"/>
      <c r="T79" s="6">
        <v>34062</v>
      </c>
      <c r="U79" s="2"/>
      <c r="V79" s="7">
        <f t="shared" si="61"/>
        <v>0</v>
      </c>
      <c r="W79" s="2"/>
      <c r="X79" s="6">
        <f t="shared" si="62"/>
        <v>-7872</v>
      </c>
      <c r="Y79" s="2"/>
      <c r="Z79" s="7">
        <f t="shared" si="63"/>
        <v>-0.23110797956667253</v>
      </c>
    </row>
    <row r="80" spans="1:26" s="53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collapsed="1" x14ac:dyDescent="0.25">
      <c r="A81" s="10"/>
      <c r="B81" s="25" t="s">
        <v>0</v>
      </c>
      <c r="C81" s="10"/>
      <c r="D81" s="4">
        <f>SUM(OSRRefD25x_0)</f>
        <v>7639.18</v>
      </c>
      <c r="E81" s="4"/>
      <c r="F81" s="12">
        <f t="shared" ref="F81:F83" si="64">IF(D$12=0,0,D81/D$12)</f>
        <v>0</v>
      </c>
      <c r="G81" s="4"/>
      <c r="H81" s="4">
        <f>SUM(OSRRefH25x_0)</f>
        <v>4938.96</v>
      </c>
      <c r="I81" s="4"/>
      <c r="J81" s="12">
        <f t="shared" ref="J81:J83" si="65">IF(H$12=0,0,H81/H$12)</f>
        <v>0</v>
      </c>
      <c r="K81" s="4"/>
      <c r="L81" s="4">
        <f t="shared" ref="L81:L83" si="66">+D81-H81</f>
        <v>2700.2200000000003</v>
      </c>
      <c r="M81" s="4"/>
      <c r="N81" s="12">
        <f t="shared" ref="N81:N83" si="67">IF(H81=0,0,L81/H81)</f>
        <v>0.54671833746375764</v>
      </c>
      <c r="O81" s="10"/>
      <c r="P81" s="4">
        <f>SUM(OSRRefP25x_0)</f>
        <v>10454.32</v>
      </c>
      <c r="Q81" s="4"/>
      <c r="R81" s="12">
        <f t="shared" ref="R81:R83" si="68">IF(P$12=0,0,P81/P$12)</f>
        <v>0</v>
      </c>
      <c r="S81" s="4"/>
      <c r="T81" s="4">
        <f>SUM(OSRRefT25x_0)</f>
        <v>6769.5</v>
      </c>
      <c r="U81" s="4"/>
      <c r="V81" s="12">
        <f t="shared" ref="V81:V83" si="69">IF(T$12=0,0,T81/T$12)</f>
        <v>0</v>
      </c>
      <c r="W81" s="4"/>
      <c r="X81" s="4">
        <f t="shared" ref="X81:X83" si="70">+P81-T81</f>
        <v>3684.8199999999997</v>
      </c>
      <c r="Y81" s="4"/>
      <c r="Z81" s="12">
        <f t="shared" ref="Z81:Z83" si="71">IF(T81=0,0,X81/T81)</f>
        <v>0.54432675973114697</v>
      </c>
    </row>
    <row r="82" spans="1:26" s="24" customFormat="1" hidden="1" outlineLevel="1" x14ac:dyDescent="0.25">
      <c r="A82" s="44"/>
      <c r="B82" s="11" t="str">
        <f>CONCATENATE("          ", "9150", " - ", "MISC. INCOME")</f>
        <v xml:space="preserve">          9150 - MISC. INCOME</v>
      </c>
      <c r="C82" s="11"/>
      <c r="D82" s="2">
        <f>--7639.18</f>
        <v>7639.18</v>
      </c>
      <c r="E82" s="2"/>
      <c r="F82" s="19">
        <f t="shared" si="64"/>
        <v>0</v>
      </c>
      <c r="G82" s="2"/>
      <c r="H82" s="2">
        <f>--4938.96</f>
        <v>4938.96</v>
      </c>
      <c r="I82" s="2"/>
      <c r="J82" s="19">
        <f t="shared" si="65"/>
        <v>0</v>
      </c>
      <c r="K82" s="2"/>
      <c r="L82" s="2">
        <f t="shared" si="66"/>
        <v>2700.2200000000003</v>
      </c>
      <c r="M82" s="2"/>
      <c r="N82" s="19">
        <f t="shared" si="67"/>
        <v>0.54671833746375764</v>
      </c>
      <c r="O82" s="11"/>
      <c r="P82" s="2">
        <f>--9443.39</f>
        <v>9443.39</v>
      </c>
      <c r="Q82" s="2"/>
      <c r="R82" s="19">
        <f t="shared" si="68"/>
        <v>0</v>
      </c>
      <c r="S82" s="2"/>
      <c r="T82" s="2">
        <f>--6270.85</f>
        <v>6270.85</v>
      </c>
      <c r="U82" s="2"/>
      <c r="V82" s="19">
        <f t="shared" si="69"/>
        <v>0</v>
      </c>
      <c r="W82" s="2"/>
      <c r="X82" s="2">
        <f t="shared" si="70"/>
        <v>3172.5399999999991</v>
      </c>
      <c r="Y82" s="2"/>
      <c r="Z82" s="19">
        <f t="shared" si="71"/>
        <v>0.5059186553656998</v>
      </c>
    </row>
    <row r="83" spans="1:26" s="24" customFormat="1" hidden="1" outlineLevel="1" x14ac:dyDescent="0.25">
      <c r="A83" s="44"/>
      <c r="B83" s="11" t="str">
        <f>CONCATENATE("          ", "9160", " - ", "MISC. INCOME")</f>
        <v xml:space="preserve">          9160 - MISC. INCOME</v>
      </c>
      <c r="C83" s="11"/>
      <c r="D83" s="2">
        <f>0</f>
        <v>0</v>
      </c>
      <c r="E83" s="2"/>
      <c r="F83" s="19">
        <f t="shared" si="64"/>
        <v>0</v>
      </c>
      <c r="G83" s="2"/>
      <c r="H83" s="2">
        <f>0</f>
        <v>0</v>
      </c>
      <c r="I83" s="2"/>
      <c r="J83" s="19">
        <f t="shared" si="65"/>
        <v>0</v>
      </c>
      <c r="K83" s="2"/>
      <c r="L83" s="2">
        <f t="shared" si="66"/>
        <v>0</v>
      </c>
      <c r="M83" s="2"/>
      <c r="N83" s="19">
        <f t="shared" si="67"/>
        <v>0</v>
      </c>
      <c r="O83" s="11"/>
      <c r="P83" s="2">
        <f>--1010.93</f>
        <v>1010.93</v>
      </c>
      <c r="Q83" s="2"/>
      <c r="R83" s="19">
        <f t="shared" si="68"/>
        <v>0</v>
      </c>
      <c r="S83" s="2"/>
      <c r="T83" s="2">
        <f>--498.65</f>
        <v>498.65</v>
      </c>
      <c r="U83" s="2"/>
      <c r="V83" s="19">
        <f t="shared" si="69"/>
        <v>0</v>
      </c>
      <c r="W83" s="2"/>
      <c r="X83" s="2">
        <f t="shared" si="70"/>
        <v>512.28</v>
      </c>
      <c r="Y83" s="2"/>
      <c r="Z83" s="19">
        <f t="shared" si="71"/>
        <v>1.0273338012634112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6" t="s">
        <v>3</v>
      </c>
      <c r="C85" s="26"/>
      <c r="D85" s="21">
        <f>+D16-D18+D81</f>
        <v>-92130.4</v>
      </c>
      <c r="E85" s="13"/>
      <c r="F85" s="20">
        <f>IF(D$12=0,0,D85/D$12)</f>
        <v>0</v>
      </c>
      <c r="G85" s="13"/>
      <c r="H85" s="21">
        <f>+H16-H18+H81</f>
        <v>-83344.319999999978</v>
      </c>
      <c r="I85" s="13"/>
      <c r="J85" s="20">
        <f>IF(H$12=0,0,H85/H$12)</f>
        <v>0</v>
      </c>
      <c r="K85" s="15"/>
      <c r="L85" s="21">
        <f>+D85-H85</f>
        <v>-8786.0800000000163</v>
      </c>
      <c r="M85" s="15"/>
      <c r="N85" s="20">
        <f>IF(H85=0,0,L85/H85)</f>
        <v>0.10541906155092536</v>
      </c>
      <c r="O85" s="25"/>
      <c r="P85" s="21">
        <f>+P16-P18+P81</f>
        <v>-261036.2</v>
      </c>
      <c r="Q85" s="13"/>
      <c r="R85" s="20">
        <f>IF(P$12=0,0,P85/P$12)</f>
        <v>0</v>
      </c>
      <c r="S85" s="13"/>
      <c r="T85" s="21">
        <f>+T16-T18+T81</f>
        <v>-268646.69</v>
      </c>
      <c r="U85" s="13"/>
      <c r="V85" s="20">
        <f>IF(T$12=0,0,T85/T$12)</f>
        <v>0</v>
      </c>
      <c r="W85" s="15"/>
      <c r="X85" s="21">
        <f>+P85-T85</f>
        <v>7610.4899999999907</v>
      </c>
      <c r="Y85" s="15"/>
      <c r="Z85" s="20">
        <f>IF(T85=0,0,X85/T85)</f>
        <v>-2.8328992253729202E-2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/>
      <c r="E87" s="4"/>
      <c r="F87" s="12">
        <f>IF(D$12=0,0,D87/D$12)</f>
        <v>0</v>
      </c>
      <c r="G87" s="4"/>
      <c r="H87" s="4"/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/>
      <c r="Q87" s="4"/>
      <c r="R87" s="12">
        <f>IF(P$12=0,0,P87/P$12)</f>
        <v>0</v>
      </c>
      <c r="S87" s="4"/>
      <c r="T87" s="4"/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6" t="s">
        <v>4</v>
      </c>
      <c r="C89" s="26"/>
      <c r="D89" s="35">
        <f>+D85-D87</f>
        <v>-92130.4</v>
      </c>
      <c r="E89" s="13"/>
      <c r="F89" s="30">
        <f>IF(D$12=0,0,D89/D$12)</f>
        <v>0</v>
      </c>
      <c r="G89" s="13"/>
      <c r="H89" s="35">
        <f>+H85-H87</f>
        <v>-83344.319999999978</v>
      </c>
      <c r="I89" s="13"/>
      <c r="J89" s="30">
        <f>IF(H$12=0,0,H89/H$12)</f>
        <v>0</v>
      </c>
      <c r="K89" s="15"/>
      <c r="L89" s="35">
        <f>D89-H89</f>
        <v>-8786.0800000000163</v>
      </c>
      <c r="M89" s="15"/>
      <c r="N89" s="30">
        <f>IF(H89=0,0,L89/H89)</f>
        <v>0.10541906155092536</v>
      </c>
      <c r="O89" s="25"/>
      <c r="P89" s="35">
        <f>+P85-P87</f>
        <v>-261036.2</v>
      </c>
      <c r="Q89" s="13"/>
      <c r="R89" s="30">
        <f>IF(P$12=0,0,P89/P$12)</f>
        <v>0</v>
      </c>
      <c r="S89" s="13"/>
      <c r="T89" s="35">
        <f>+T85-T87</f>
        <v>-268646.69</v>
      </c>
      <c r="U89" s="13"/>
      <c r="V89" s="30">
        <f>IF(T$12=0,0,T89/T$12)</f>
        <v>0</v>
      </c>
      <c r="W89" s="15"/>
      <c r="X89" s="35">
        <f>P89-T89</f>
        <v>7610.4899999999907</v>
      </c>
      <c r="Y89" s="15"/>
      <c r="Z89" s="30">
        <f>IF(T89=0,0,X89/T89)</f>
        <v>-2.8328992253729202E-2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6" t="s">
        <v>5</v>
      </c>
      <c r="C92" s="26"/>
      <c r="D92" s="36">
        <f>SUM(D89:D91)</f>
        <v>-92130.4</v>
      </c>
      <c r="E92" s="13"/>
      <c r="F92" s="31">
        <f>IF(D$12=0,0,D92/D$12)</f>
        <v>0</v>
      </c>
      <c r="G92" s="13"/>
      <c r="H92" s="36">
        <f>SUM(H89:H91)</f>
        <v>-83344.319999999978</v>
      </c>
      <c r="I92" s="13"/>
      <c r="J92" s="31">
        <f>IF(H$12=0,0,H92/H$12)</f>
        <v>0</v>
      </c>
      <c r="K92" s="15"/>
      <c r="L92" s="36">
        <f>+D92-H92</f>
        <v>-8786.0800000000163</v>
      </c>
      <c r="M92" s="15"/>
      <c r="N92" s="31">
        <f>IF(H92=0,0,L92/H92)</f>
        <v>0.10541906155092536</v>
      </c>
      <c r="O92" s="25"/>
      <c r="P92" s="36">
        <f>SUM(P89:P91)</f>
        <v>-261036.2</v>
      </c>
      <c r="Q92" s="13"/>
      <c r="R92" s="31">
        <f>IF(P$12=0,0,P92/P$12)</f>
        <v>0</v>
      </c>
      <c r="S92" s="13"/>
      <c r="T92" s="36">
        <f>SUM(T89:T91)</f>
        <v>-268646.69</v>
      </c>
      <c r="U92" s="13"/>
      <c r="V92" s="31">
        <f>IF(T$12=0,0,T92/T$12)</f>
        <v>0</v>
      </c>
      <c r="W92" s="15"/>
      <c r="X92" s="36">
        <f>+P92-T92</f>
        <v>7610.4899999999907</v>
      </c>
      <c r="Y92" s="15"/>
      <c r="Z92" s="31">
        <f>IF(T92=0,0,X92/T92)</f>
        <v>-2.8328992253729202E-2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5">
        <v>43756.463321331015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6" t="s">
        <v>313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7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4:24" x14ac:dyDescent="0.25"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298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","412", " - ", "Chartroom")</f>
        <v>Department 412 - Chartroom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82791.37</v>
      </c>
      <c r="E12" s="4"/>
      <c r="F12" s="12"/>
      <c r="G12" s="4"/>
      <c r="H12" s="4">
        <f>SUM(OSRRefH13x_0)</f>
        <v>73099.77</v>
      </c>
      <c r="I12" s="4"/>
      <c r="J12" s="12"/>
      <c r="K12" s="4"/>
      <c r="L12" s="4">
        <f t="shared" ref="L12:L14" si="0">+D12-H12</f>
        <v>9691.5999999999913</v>
      </c>
      <c r="M12" s="4"/>
      <c r="N12" s="12">
        <f t="shared" ref="N12:N14" si="1">IF(H12=0,0,L12/H12)</f>
        <v>0.13258044450755441</v>
      </c>
      <c r="O12" s="10"/>
      <c r="P12" s="4">
        <f>SUM(OSRRefP13x_0)</f>
        <v>195474.26</v>
      </c>
      <c r="Q12" s="4"/>
      <c r="R12" s="12"/>
      <c r="S12" s="4"/>
      <c r="T12" s="4">
        <f>SUM(OSRRefT13x_0)</f>
        <v>253502.25</v>
      </c>
      <c r="U12" s="4"/>
      <c r="V12" s="12"/>
      <c r="W12" s="4"/>
      <c r="X12" s="4">
        <f t="shared" ref="X12:X14" si="2">+P12-T12</f>
        <v>-58027.989999999991</v>
      </c>
      <c r="Y12" s="4"/>
      <c r="Z12" s="12">
        <f t="shared" ref="Z12:Z14" si="3">IF(T12=0,0,X12/T12)</f>
        <v>-0.22890522667944757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--74659.83</f>
        <v>74659.83</v>
      </c>
      <c r="E13" s="2"/>
      <c r="F13" s="19"/>
      <c r="G13" s="2"/>
      <c r="H13" s="2">
        <f>--65472.38</f>
        <v>65472.38</v>
      </c>
      <c r="I13" s="2"/>
      <c r="J13" s="19"/>
      <c r="K13" s="2"/>
      <c r="L13" s="2">
        <f t="shared" si="0"/>
        <v>9187.4500000000044</v>
      </c>
      <c r="M13" s="2"/>
      <c r="N13" s="19">
        <f t="shared" si="1"/>
        <v>0.14032558462056832</v>
      </c>
      <c r="O13" s="11"/>
      <c r="P13" s="2">
        <f>--179685.2</f>
        <v>179685.2</v>
      </c>
      <c r="Q13" s="2"/>
      <c r="R13" s="19"/>
      <c r="S13" s="2"/>
      <c r="T13" s="2">
        <f>--238202.33</f>
        <v>238202.33</v>
      </c>
      <c r="U13" s="2"/>
      <c r="V13" s="19"/>
      <c r="W13" s="2"/>
      <c r="X13" s="2">
        <f t="shared" si="2"/>
        <v>-58517.129999999976</v>
      </c>
      <c r="Y13" s="2"/>
      <c r="Z13" s="19">
        <f t="shared" si="3"/>
        <v>-0.24566145091863703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--8131.54</f>
        <v>8131.54</v>
      </c>
      <c r="E14" s="2"/>
      <c r="F14" s="19"/>
      <c r="G14" s="2"/>
      <c r="H14" s="2">
        <f>--7627.39</f>
        <v>7627.39</v>
      </c>
      <c r="I14" s="2"/>
      <c r="J14" s="19"/>
      <c r="K14" s="2"/>
      <c r="L14" s="2">
        <f t="shared" si="0"/>
        <v>504.14999999999964</v>
      </c>
      <c r="M14" s="2"/>
      <c r="N14" s="19">
        <f t="shared" si="1"/>
        <v>6.6097315071079313E-2</v>
      </c>
      <c r="O14" s="11"/>
      <c r="P14" s="2">
        <f>--15789.06</f>
        <v>15789.06</v>
      </c>
      <c r="Q14" s="2"/>
      <c r="R14" s="19"/>
      <c r="S14" s="2"/>
      <c r="T14" s="2">
        <f>--15299.92</f>
        <v>15299.92</v>
      </c>
      <c r="U14" s="2"/>
      <c r="V14" s="19"/>
      <c r="W14" s="2"/>
      <c r="X14" s="2">
        <f t="shared" si="2"/>
        <v>489.13999999999942</v>
      </c>
      <c r="Y14" s="2"/>
      <c r="Z14" s="19">
        <f t="shared" si="3"/>
        <v>3.1970101804453845E-2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20941.09</v>
      </c>
      <c r="E16" s="4"/>
      <c r="F16" s="12">
        <f t="shared" ref="F16:F17" si="4">IF(D$12=0,0,D16/D$12)</f>
        <v>0.25293807796633877</v>
      </c>
      <c r="G16" s="4"/>
      <c r="H16" s="4">
        <f>SUM(OSRRefH16x_0)</f>
        <v>22668.809999999998</v>
      </c>
      <c r="I16" s="4"/>
      <c r="J16" s="12">
        <f t="shared" ref="J16:J17" si="5">IF(H$12=0,0,H16/H$12)</f>
        <v>0.31010781566070589</v>
      </c>
      <c r="K16" s="4"/>
      <c r="L16" s="4">
        <f t="shared" ref="L16:L17" si="6">+D16-H16</f>
        <v>-1727.7199999999975</v>
      </c>
      <c r="M16" s="4"/>
      <c r="N16" s="12">
        <f t="shared" ref="N16:N17" si="7">IF(H16=0,0,L16/H16)</f>
        <v>-7.6215734306300048E-2</v>
      </c>
      <c r="O16" s="10"/>
      <c r="P16" s="4">
        <f>SUM(OSRRefP16x_0)</f>
        <v>59945.45</v>
      </c>
      <c r="Q16" s="4"/>
      <c r="R16" s="12">
        <f t="shared" ref="R16:R17" si="8">IF(P$12=0,0,P16/P$12)</f>
        <v>0.3066667191885008</v>
      </c>
      <c r="S16" s="4"/>
      <c r="T16" s="4">
        <f>SUM(OSRRefT16x_0)</f>
        <v>75661.88</v>
      </c>
      <c r="U16" s="4"/>
      <c r="V16" s="12">
        <f t="shared" ref="V16:V17" si="9">IF(T$12=0,0,T16/T$12)</f>
        <v>0.29846630552588788</v>
      </c>
      <c r="W16" s="4"/>
      <c r="X16" s="4">
        <f t="shared" ref="X16:X17" si="10">+P16-T16</f>
        <v>-15716.430000000008</v>
      </c>
      <c r="Y16" s="4"/>
      <c r="Z16" s="12">
        <f t="shared" ref="Z16:Z17" si="11">IF(T16=0,0,X16/T16)</f>
        <v>-0.20771926365033497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20941.09</v>
      </c>
      <c r="E17" s="2"/>
      <c r="F17" s="19">
        <f t="shared" si="4"/>
        <v>0.25293807796633877</v>
      </c>
      <c r="G17" s="2"/>
      <c r="H17" s="2">
        <v>22668.809999999998</v>
      </c>
      <c r="I17" s="2"/>
      <c r="J17" s="19">
        <f t="shared" si="5"/>
        <v>0.31010781566070589</v>
      </c>
      <c r="K17" s="2"/>
      <c r="L17" s="2">
        <f t="shared" si="6"/>
        <v>-1727.7199999999975</v>
      </c>
      <c r="M17" s="2"/>
      <c r="N17" s="19">
        <f t="shared" si="7"/>
        <v>-7.6215734306300048E-2</v>
      </c>
      <c r="O17" s="11"/>
      <c r="P17" s="2">
        <v>59945.45</v>
      </c>
      <c r="Q17" s="2"/>
      <c r="R17" s="19">
        <f t="shared" si="8"/>
        <v>0.3066667191885008</v>
      </c>
      <c r="S17" s="2"/>
      <c r="T17" s="2">
        <v>75661.88</v>
      </c>
      <c r="U17" s="2"/>
      <c r="V17" s="19">
        <f t="shared" si="9"/>
        <v>0.29846630552588788</v>
      </c>
      <c r="W17" s="2"/>
      <c r="X17" s="2">
        <f t="shared" si="10"/>
        <v>-15716.430000000008</v>
      </c>
      <c r="Y17" s="2"/>
      <c r="Z17" s="19">
        <f t="shared" si="11"/>
        <v>-0.20771926365033497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1">
        <f>D12-D16</f>
        <v>61850.28</v>
      </c>
      <c r="E19" s="13"/>
      <c r="F19" s="20">
        <f>IF(D$12=0,0,D19/D$12)</f>
        <v>0.74706192203366129</v>
      </c>
      <c r="G19" s="13"/>
      <c r="H19" s="21">
        <f>H12-H16</f>
        <v>50430.960000000006</v>
      </c>
      <c r="I19" s="13"/>
      <c r="J19" s="20">
        <f>IF(H$12=0,0,H19/H$12)</f>
        <v>0.68989218433929411</v>
      </c>
      <c r="K19" s="15"/>
      <c r="L19" s="21">
        <f>+D19-H19</f>
        <v>11419.319999999992</v>
      </c>
      <c r="M19" s="15"/>
      <c r="N19" s="20">
        <f>IF(H19=0,0,L19/H19)</f>
        <v>0.22643471391383371</v>
      </c>
      <c r="O19" s="25"/>
      <c r="P19" s="21">
        <f>P12-P16</f>
        <v>135528.81</v>
      </c>
      <c r="Q19" s="13"/>
      <c r="R19" s="20">
        <f>IF(P$12=0,0,P19/P$12)</f>
        <v>0.69333328081149914</v>
      </c>
      <c r="S19" s="13"/>
      <c r="T19" s="21">
        <f>T12-T16</f>
        <v>177840.37</v>
      </c>
      <c r="U19" s="13"/>
      <c r="V19" s="20">
        <f>IF(T$12=0,0,T19/T$12)</f>
        <v>0.70153369447411218</v>
      </c>
      <c r="W19" s="15"/>
      <c r="X19" s="21">
        <f>+P19-T19</f>
        <v>-42311.56</v>
      </c>
      <c r="Y19" s="15"/>
      <c r="Z19" s="20">
        <f>IF(T19=0,0,X19/T19)</f>
        <v>-0.23791875826619119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22">
        <f>SUM(OSRRefD22x_0)</f>
        <v>60268.08</v>
      </c>
      <c r="E21" s="22"/>
      <c r="F21" s="34">
        <f t="shared" ref="F21:F30" si="12">IF(D$12=0,0,D21/D$12)</f>
        <v>0.72795123453084554</v>
      </c>
      <c r="G21" s="22"/>
      <c r="H21" s="22">
        <f>SUM(OSRRefH22x_0)</f>
        <v>48664.799999999996</v>
      </c>
      <c r="I21" s="22"/>
      <c r="J21" s="34">
        <f t="shared" ref="J21:J30" si="13">IF(H$12=0,0,H21/H$12)</f>
        <v>0.6657312328068884</v>
      </c>
      <c r="K21" s="4"/>
      <c r="L21" s="22">
        <f t="shared" ref="L21:L30" si="14">+D21-H21</f>
        <v>11603.280000000006</v>
      </c>
      <c r="M21" s="4"/>
      <c r="N21" s="34">
        <f t="shared" ref="N21:N30" si="15">IF(H21=0,0,L21/H21)</f>
        <v>0.23843270700794017</v>
      </c>
      <c r="O21" s="10"/>
      <c r="P21" s="22">
        <f>SUM(OSRRefP22x_0)</f>
        <v>167410.21</v>
      </c>
      <c r="Q21" s="22"/>
      <c r="R21" s="34">
        <f t="shared" ref="R21:R30" si="16">IF(P$12=0,0,P21/P$12)</f>
        <v>0.85643096947905051</v>
      </c>
      <c r="S21" s="22"/>
      <c r="T21" s="22">
        <f>SUM(OSRRefT22x_0)</f>
        <v>174853.48</v>
      </c>
      <c r="U21" s="22"/>
      <c r="V21" s="34">
        <f t="shared" ref="V21:V30" si="17">IF(T$12=0,0,T21/T$12)</f>
        <v>0.68975119550220954</v>
      </c>
      <c r="W21" s="4"/>
      <c r="X21" s="22">
        <f t="shared" ref="X21:X30" si="18">+P21-T21</f>
        <v>-7443.2700000000186</v>
      </c>
      <c r="Y21" s="4"/>
      <c r="Z21" s="34">
        <f t="shared" ref="Z21:Z30" si="19">IF(T21=0,0,X21/T21)</f>
        <v>-4.2568612303283973E-2</v>
      </c>
    </row>
    <row r="22" spans="1:26" s="29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18630.240000000002</v>
      </c>
      <c r="E22" s="1"/>
      <c r="F22" s="5">
        <f t="shared" si="12"/>
        <v>0.22502635238431254</v>
      </c>
      <c r="G22" s="1"/>
      <c r="H22" s="1">
        <f>SUM(OSRRefH22_0x_0)</f>
        <v>10637.12</v>
      </c>
      <c r="I22" s="1"/>
      <c r="J22" s="5">
        <f t="shared" si="13"/>
        <v>0.14551509532793333</v>
      </c>
      <c r="K22" s="1"/>
      <c r="L22" s="1">
        <f t="shared" si="14"/>
        <v>7993.1200000000008</v>
      </c>
      <c r="M22" s="1"/>
      <c r="N22" s="5">
        <f t="shared" si="15"/>
        <v>0.75143647904696009</v>
      </c>
      <c r="O22" s="14"/>
      <c r="P22" s="1">
        <f>SUM(OSRRefP22_0x_0)</f>
        <v>45103.430000000008</v>
      </c>
      <c r="Q22" s="1"/>
      <c r="R22" s="5">
        <f t="shared" si="16"/>
        <v>0.23073846142197957</v>
      </c>
      <c r="S22" s="1"/>
      <c r="T22" s="1">
        <f>SUM(OSRRefT22_0x_0)</f>
        <v>34985.29</v>
      </c>
      <c r="U22" s="1"/>
      <c r="V22" s="5">
        <f t="shared" si="17"/>
        <v>0.13800780860919382</v>
      </c>
      <c r="W22" s="1"/>
      <c r="X22" s="1">
        <f t="shared" si="18"/>
        <v>10118.140000000007</v>
      </c>
      <c r="Y22" s="1"/>
      <c r="Z22" s="5">
        <f t="shared" si="19"/>
        <v>0.28921126564907729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6">
        <v>2048.87</v>
      </c>
      <c r="E23" s="2"/>
      <c r="F23" s="7">
        <f t="shared" si="12"/>
        <v>2.4747386110412231E-2</v>
      </c>
      <c r="G23" s="2"/>
      <c r="H23" s="6">
        <v>1841.76</v>
      </c>
      <c r="I23" s="2"/>
      <c r="J23" s="7">
        <f t="shared" si="13"/>
        <v>2.5195154512798055E-2</v>
      </c>
      <c r="K23" s="2"/>
      <c r="L23" s="6">
        <f t="shared" si="14"/>
        <v>207.1099999999999</v>
      </c>
      <c r="M23" s="2"/>
      <c r="N23" s="7">
        <f t="shared" si="15"/>
        <v>0.11245221961601941</v>
      </c>
      <c r="O23" s="11"/>
      <c r="P23" s="6">
        <v>7022.4</v>
      </c>
      <c r="Q23" s="2"/>
      <c r="R23" s="7">
        <f t="shared" si="16"/>
        <v>3.5924934566832475E-2</v>
      </c>
      <c r="S23" s="2"/>
      <c r="T23" s="6">
        <v>7336.76</v>
      </c>
      <c r="U23" s="2"/>
      <c r="V23" s="7">
        <f t="shared" si="17"/>
        <v>2.8941597165311157E-2</v>
      </c>
      <c r="W23" s="2"/>
      <c r="X23" s="6">
        <f t="shared" si="18"/>
        <v>-314.36000000000058</v>
      </c>
      <c r="Y23" s="2"/>
      <c r="Z23" s="7">
        <f t="shared" si="19"/>
        <v>-4.2847251375266543E-2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6">
        <v>1322.36</v>
      </c>
      <c r="E24" s="2"/>
      <c r="F24" s="7">
        <f t="shared" si="12"/>
        <v>1.5972196135901603E-2</v>
      </c>
      <c r="G24" s="2"/>
      <c r="H24" s="6"/>
      <c r="I24" s="2"/>
      <c r="J24" s="7">
        <f t="shared" si="13"/>
        <v>0</v>
      </c>
      <c r="K24" s="2"/>
      <c r="L24" s="6">
        <f t="shared" si="14"/>
        <v>1322.36</v>
      </c>
      <c r="M24" s="2"/>
      <c r="N24" s="7">
        <f t="shared" si="15"/>
        <v>0</v>
      </c>
      <c r="O24" s="11"/>
      <c r="P24" s="6">
        <v>3432.27</v>
      </c>
      <c r="Q24" s="2"/>
      <c r="R24" s="7">
        <f t="shared" si="16"/>
        <v>1.7558680104480251E-2</v>
      </c>
      <c r="S24" s="2"/>
      <c r="T24" s="6">
        <v>2584.6</v>
      </c>
      <c r="U24" s="2"/>
      <c r="V24" s="7">
        <f t="shared" si="17"/>
        <v>1.0195570256279776E-2</v>
      </c>
      <c r="W24" s="2"/>
      <c r="X24" s="6">
        <f t="shared" si="18"/>
        <v>847.67000000000007</v>
      </c>
      <c r="Y24" s="2"/>
      <c r="Z24" s="7">
        <f t="shared" si="19"/>
        <v>0.32796951172328409</v>
      </c>
    </row>
    <row r="25" spans="1:26" s="24" customFormat="1" hidden="1" outlineLevel="2" x14ac:dyDescent="0.25">
      <c r="A25" s="28"/>
      <c r="B25" s="11" t="str">
        <f>CONCATENATE("          ", "6113", " - ", "GROUP INSURANCE")</f>
        <v xml:space="preserve">          6113 - GROUP INSURANCE</v>
      </c>
      <c r="C25" s="11"/>
      <c r="D25" s="6">
        <v>5334.36</v>
      </c>
      <c r="E25" s="2"/>
      <c r="F25" s="7">
        <f t="shared" si="12"/>
        <v>6.4431353171230291E-2</v>
      </c>
      <c r="G25" s="2"/>
      <c r="H25" s="6">
        <v>5466.7</v>
      </c>
      <c r="I25" s="2"/>
      <c r="J25" s="7">
        <f t="shared" si="13"/>
        <v>7.4784093027926074E-2</v>
      </c>
      <c r="K25" s="2"/>
      <c r="L25" s="6">
        <f t="shared" si="14"/>
        <v>-132.34000000000015</v>
      </c>
      <c r="M25" s="2"/>
      <c r="N25" s="7">
        <f t="shared" si="15"/>
        <v>-2.4208388973237994E-2</v>
      </c>
      <c r="O25" s="11"/>
      <c r="P25" s="6">
        <v>16003.08</v>
      </c>
      <c r="Q25" s="2"/>
      <c r="R25" s="7">
        <f t="shared" si="16"/>
        <v>8.1867965633940748E-2</v>
      </c>
      <c r="S25" s="2"/>
      <c r="T25" s="6">
        <v>12970.66</v>
      </c>
      <c r="U25" s="2"/>
      <c r="V25" s="7">
        <f t="shared" si="17"/>
        <v>5.1165857502250965E-2</v>
      </c>
      <c r="W25" s="2"/>
      <c r="X25" s="6">
        <f t="shared" si="18"/>
        <v>3032.42</v>
      </c>
      <c r="Y25" s="2"/>
      <c r="Z25" s="7">
        <f t="shared" si="19"/>
        <v>0.23379072460460765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6">
        <v>92.7</v>
      </c>
      <c r="E26" s="2"/>
      <c r="F26" s="7">
        <f t="shared" si="12"/>
        <v>1.1196819185381279E-3</v>
      </c>
      <c r="G26" s="2"/>
      <c r="H26" s="6">
        <v>80.81</v>
      </c>
      <c r="I26" s="2"/>
      <c r="J26" s="7">
        <f t="shared" si="13"/>
        <v>1.1054754344644313E-3</v>
      </c>
      <c r="K26" s="2"/>
      <c r="L26" s="6">
        <f t="shared" si="14"/>
        <v>11.89</v>
      </c>
      <c r="M26" s="2"/>
      <c r="N26" s="7">
        <f t="shared" si="15"/>
        <v>0.14713525553768098</v>
      </c>
      <c r="O26" s="11"/>
      <c r="P26" s="6">
        <v>243.53</v>
      </c>
      <c r="Q26" s="2"/>
      <c r="R26" s="7">
        <f t="shared" si="16"/>
        <v>1.2458417798844716E-3</v>
      </c>
      <c r="S26" s="2"/>
      <c r="T26" s="6">
        <v>284.04000000000002</v>
      </c>
      <c r="U26" s="2"/>
      <c r="V26" s="7">
        <f t="shared" si="17"/>
        <v>1.120463427839398E-3</v>
      </c>
      <c r="W26" s="2"/>
      <c r="X26" s="6">
        <f t="shared" si="18"/>
        <v>-40.510000000000019</v>
      </c>
      <c r="Y26" s="2"/>
      <c r="Z26" s="7">
        <f t="shared" si="19"/>
        <v>-0.14262075763976911</v>
      </c>
    </row>
    <row r="27" spans="1:26" s="24" customFormat="1" hidden="1" outlineLevel="2" x14ac:dyDescent="0.25">
      <c r="A27" s="28"/>
      <c r="B27" s="11" t="str">
        <f>CONCATENATE("          ", "6115", " - ", "P.E.R.S.")</f>
        <v xml:space="preserve">          6115 - P.E.R.S.</v>
      </c>
      <c r="C27" s="11"/>
      <c r="D27" s="6">
        <v>1285.6300000000001</v>
      </c>
      <c r="E27" s="2"/>
      <c r="F27" s="7">
        <f t="shared" si="12"/>
        <v>1.5528550862245669E-2</v>
      </c>
      <c r="G27" s="2"/>
      <c r="H27" s="6">
        <v>1045.72</v>
      </c>
      <c r="I27" s="2"/>
      <c r="J27" s="7">
        <f t="shared" si="13"/>
        <v>1.4305380167406819E-2</v>
      </c>
      <c r="K27" s="2"/>
      <c r="L27" s="6">
        <f t="shared" si="14"/>
        <v>239.91000000000008</v>
      </c>
      <c r="M27" s="2"/>
      <c r="N27" s="7">
        <f t="shared" si="15"/>
        <v>0.22942087748154388</v>
      </c>
      <c r="O27" s="11"/>
      <c r="P27" s="6">
        <v>3617.21</v>
      </c>
      <c r="Q27" s="2"/>
      <c r="R27" s="7">
        <f t="shared" si="16"/>
        <v>1.850478932622638E-2</v>
      </c>
      <c r="S27" s="2"/>
      <c r="T27" s="6">
        <v>3644.79</v>
      </c>
      <c r="U27" s="2"/>
      <c r="V27" s="7">
        <f t="shared" si="17"/>
        <v>1.4377742209388674E-2</v>
      </c>
      <c r="W27" s="2"/>
      <c r="X27" s="6">
        <f t="shared" si="18"/>
        <v>-27.579999999999927</v>
      </c>
      <c r="Y27" s="2"/>
      <c r="Z27" s="7">
        <f t="shared" si="19"/>
        <v>-7.5669654493125604E-3</v>
      </c>
    </row>
    <row r="28" spans="1:26" s="24" customFormat="1" hidden="1" outlineLevel="2" x14ac:dyDescent="0.25">
      <c r="A28" s="28"/>
      <c r="B28" s="11" t="str">
        <f>CONCATENATE("          ", "6118", " - ", "VACATION")</f>
        <v xml:space="preserve">          6118 - VACATION</v>
      </c>
      <c r="C28" s="11"/>
      <c r="D28" s="6">
        <v>3064.38</v>
      </c>
      <c r="E28" s="2"/>
      <c r="F28" s="7">
        <f t="shared" si="12"/>
        <v>3.7013278074755865E-2</v>
      </c>
      <c r="G28" s="2"/>
      <c r="H28" s="6">
        <v>904.7</v>
      </c>
      <c r="I28" s="2"/>
      <c r="J28" s="7">
        <f t="shared" si="13"/>
        <v>1.2376235930701286E-2</v>
      </c>
      <c r="K28" s="2"/>
      <c r="L28" s="6">
        <f t="shared" si="14"/>
        <v>2159.6800000000003</v>
      </c>
      <c r="M28" s="2"/>
      <c r="N28" s="7">
        <f t="shared" si="15"/>
        <v>2.387178070078479</v>
      </c>
      <c r="O28" s="11"/>
      <c r="P28" s="6">
        <v>5451.87</v>
      </c>
      <c r="Q28" s="2"/>
      <c r="R28" s="7">
        <f t="shared" si="16"/>
        <v>2.7890475196069291E-2</v>
      </c>
      <c r="S28" s="2"/>
      <c r="T28" s="6">
        <v>3243.18</v>
      </c>
      <c r="U28" s="2"/>
      <c r="V28" s="7">
        <f t="shared" si="17"/>
        <v>1.2793495915716723E-2</v>
      </c>
      <c r="W28" s="2"/>
      <c r="X28" s="6">
        <f t="shared" si="18"/>
        <v>2208.69</v>
      </c>
      <c r="Y28" s="2"/>
      <c r="Z28" s="7">
        <f t="shared" si="19"/>
        <v>0.68102603000758521</v>
      </c>
    </row>
    <row r="29" spans="1:26" s="24" customFormat="1" hidden="1" outlineLevel="2" x14ac:dyDescent="0.25">
      <c r="A29" s="28"/>
      <c r="B29" s="11" t="str">
        <f>CONCATENATE("          ", "6119", " - ", "SICK LEAVE")</f>
        <v xml:space="preserve">          6119 - SICK LEAVE</v>
      </c>
      <c r="C29" s="11"/>
      <c r="D29" s="6">
        <v>4961.6899999999996</v>
      </c>
      <c r="E29" s="2"/>
      <c r="F29" s="7">
        <f t="shared" si="12"/>
        <v>5.9930038601849443E-2</v>
      </c>
      <c r="G29" s="2"/>
      <c r="H29" s="6">
        <v>759.66</v>
      </c>
      <c r="I29" s="2"/>
      <c r="J29" s="7">
        <f t="shared" si="13"/>
        <v>1.0392098360911395E-2</v>
      </c>
      <c r="K29" s="2"/>
      <c r="L29" s="6">
        <f t="shared" si="14"/>
        <v>4202.03</v>
      </c>
      <c r="M29" s="2"/>
      <c r="N29" s="7">
        <f t="shared" si="15"/>
        <v>5.5314614432772551</v>
      </c>
      <c r="O29" s="11"/>
      <c r="P29" s="6">
        <v>7828.41</v>
      </c>
      <c r="Q29" s="2"/>
      <c r="R29" s="7">
        <f t="shared" si="16"/>
        <v>4.0048290757054149E-2</v>
      </c>
      <c r="S29" s="2"/>
      <c r="T29" s="6">
        <v>3281.15</v>
      </c>
      <c r="U29" s="2"/>
      <c r="V29" s="7">
        <f t="shared" si="17"/>
        <v>1.2943277623768625E-2</v>
      </c>
      <c r="W29" s="2"/>
      <c r="X29" s="6">
        <f t="shared" si="18"/>
        <v>4547.26</v>
      </c>
      <c r="Y29" s="2"/>
      <c r="Z29" s="7">
        <f t="shared" si="19"/>
        <v>1.3858738552032062</v>
      </c>
    </row>
    <row r="30" spans="1:26" s="24" customFormat="1" hidden="1" outlineLevel="2" x14ac:dyDescent="0.25">
      <c r="A30" s="28"/>
      <c r="B30" s="11" t="str">
        <f>CONCATENATE("          ", "6156", " - ", "EMPLOYEE MEALS")</f>
        <v xml:space="preserve">          6156 - EMPLOYEE MEALS</v>
      </c>
      <c r="C30" s="11"/>
      <c r="D30" s="6">
        <v>520.25</v>
      </c>
      <c r="E30" s="2"/>
      <c r="F30" s="7">
        <f t="shared" si="12"/>
        <v>6.2838675093792994E-3</v>
      </c>
      <c r="G30" s="2"/>
      <c r="H30" s="6">
        <v>537.77</v>
      </c>
      <c r="I30" s="2"/>
      <c r="J30" s="7">
        <f t="shared" si="13"/>
        <v>7.3566578937252465E-3</v>
      </c>
      <c r="K30" s="2"/>
      <c r="L30" s="6">
        <f t="shared" si="14"/>
        <v>-17.519999999999982</v>
      </c>
      <c r="M30" s="2"/>
      <c r="N30" s="7">
        <f t="shared" si="15"/>
        <v>-3.2578983580341003E-2</v>
      </c>
      <c r="O30" s="11"/>
      <c r="P30" s="6">
        <v>1504.66</v>
      </c>
      <c r="Q30" s="2"/>
      <c r="R30" s="7">
        <f t="shared" si="16"/>
        <v>7.6974840574917641E-3</v>
      </c>
      <c r="S30" s="2"/>
      <c r="T30" s="6">
        <v>1640.11</v>
      </c>
      <c r="U30" s="2"/>
      <c r="V30" s="7">
        <f t="shared" si="17"/>
        <v>6.4698045086384829E-3</v>
      </c>
      <c r="W30" s="2"/>
      <c r="X30" s="6">
        <f t="shared" si="18"/>
        <v>-135.44999999999982</v>
      </c>
      <c r="Y30" s="2"/>
      <c r="Z30" s="7">
        <f t="shared" si="19"/>
        <v>-8.2585924114845846E-2</v>
      </c>
    </row>
    <row r="31" spans="1:26" s="29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31414.429999999997</v>
      </c>
      <c r="E31" s="1"/>
      <c r="F31" s="5">
        <f t="shared" ref="F31:F37" si="20">IF(D$12=0,0,D31/D$12)</f>
        <v>0.37944087650681463</v>
      </c>
      <c r="G31" s="1"/>
      <c r="H31" s="1">
        <f>SUM(OSRRefH22_1x_0)</f>
        <v>30202.47</v>
      </c>
      <c r="I31" s="1"/>
      <c r="J31" s="5">
        <f t="shared" ref="J31:J37" si="21">IF(H$12=0,0,H31/H$12)</f>
        <v>0.41316778424884237</v>
      </c>
      <c r="K31" s="1"/>
      <c r="L31" s="1">
        <f t="shared" ref="L31:L37" si="22">+D31-H31</f>
        <v>1211.9599999999955</v>
      </c>
      <c r="M31" s="1"/>
      <c r="N31" s="5">
        <f t="shared" ref="N31:N37" si="23">IF(H31=0,0,L31/H31)</f>
        <v>4.0127843848532768E-2</v>
      </c>
      <c r="O31" s="14"/>
      <c r="P31" s="1">
        <f>SUM(OSRRefP22_1x_0)</f>
        <v>100870.26999999999</v>
      </c>
      <c r="Q31" s="1"/>
      <c r="R31" s="5">
        <f t="shared" ref="R31:R37" si="24">IF(P$12=0,0,P31/P$12)</f>
        <v>0.5160284018980299</v>
      </c>
      <c r="S31" s="1"/>
      <c r="T31" s="1">
        <f>SUM(OSRRefT22_1x_0)</f>
        <v>105339.67</v>
      </c>
      <c r="U31" s="1"/>
      <c r="V31" s="5">
        <f t="shared" ref="V31:V37" si="25">IF(T$12=0,0,T31/T$12)</f>
        <v>0.41553741633456903</v>
      </c>
      <c r="W31" s="1"/>
      <c r="X31" s="1">
        <f t="shared" ref="X31:X37" si="26">+P31-T31</f>
        <v>-4469.4000000000087</v>
      </c>
      <c r="Y31" s="1"/>
      <c r="Z31" s="5">
        <f t="shared" ref="Z31:Z37" si="27">IF(T31=0,0,X31/T31)</f>
        <v>-4.2428460237249735E-2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6">
        <v>10012.799999999999</v>
      </c>
      <c r="E32" s="2"/>
      <c r="F32" s="7">
        <f t="shared" si="20"/>
        <v>0.12094014146643545</v>
      </c>
      <c r="G32" s="2"/>
      <c r="H32" s="6">
        <v>10188.459999999999</v>
      </c>
      <c r="I32" s="2"/>
      <c r="J32" s="7">
        <f t="shared" si="21"/>
        <v>0.139377456317578</v>
      </c>
      <c r="K32" s="2"/>
      <c r="L32" s="6">
        <f t="shared" si="22"/>
        <v>-175.65999999999985</v>
      </c>
      <c r="M32" s="2"/>
      <c r="N32" s="7">
        <f t="shared" si="23"/>
        <v>-1.7241074706089033E-2</v>
      </c>
      <c r="O32" s="11"/>
      <c r="P32" s="6">
        <v>40283.72</v>
      </c>
      <c r="Q32" s="2"/>
      <c r="R32" s="7">
        <f t="shared" si="24"/>
        <v>0.20608196700680692</v>
      </c>
      <c r="S32" s="2"/>
      <c r="T32" s="6">
        <v>36512.36</v>
      </c>
      <c r="U32" s="2"/>
      <c r="V32" s="7">
        <f t="shared" si="25"/>
        <v>0.14403169991587847</v>
      </c>
      <c r="W32" s="2"/>
      <c r="X32" s="6">
        <f t="shared" si="26"/>
        <v>3771.3600000000006</v>
      </c>
      <c r="Y32" s="2"/>
      <c r="Z32" s="7">
        <f t="shared" si="27"/>
        <v>0.10328995441543633</v>
      </c>
    </row>
    <row r="33" spans="1:26" s="24" customFormat="1" hidden="1" outlineLevel="2" x14ac:dyDescent="0.25">
      <c r="A33" s="28"/>
      <c r="B33" s="11" t="str">
        <f>CONCATENATE("          ", "6004", " - ", "STAFF HOURLY")</f>
        <v xml:space="preserve">          6004 - STAFF HOURLY</v>
      </c>
      <c r="C33" s="11"/>
      <c r="D33" s="6">
        <v>4787.55</v>
      </c>
      <c r="E33" s="2"/>
      <c r="F33" s="7">
        <f t="shared" si="20"/>
        <v>5.7826679278287101E-2</v>
      </c>
      <c r="G33" s="2"/>
      <c r="H33" s="6">
        <v>4522.22</v>
      </c>
      <c r="I33" s="2"/>
      <c r="J33" s="7">
        <f t="shared" si="21"/>
        <v>6.1863669338494499E-2</v>
      </c>
      <c r="K33" s="2"/>
      <c r="L33" s="6">
        <f t="shared" si="22"/>
        <v>265.32999999999993</v>
      </c>
      <c r="M33" s="2"/>
      <c r="N33" s="7">
        <f t="shared" si="23"/>
        <v>5.8672510404181998E-2</v>
      </c>
      <c r="O33" s="11"/>
      <c r="P33" s="6">
        <v>15490.06</v>
      </c>
      <c r="Q33" s="2"/>
      <c r="R33" s="7">
        <f t="shared" si="24"/>
        <v>7.9243476864933521E-2</v>
      </c>
      <c r="S33" s="2"/>
      <c r="T33" s="6">
        <v>16824.419999999998</v>
      </c>
      <c r="U33" s="2"/>
      <c r="V33" s="7">
        <f t="shared" si="25"/>
        <v>6.6367931645577097E-2</v>
      </c>
      <c r="W33" s="2"/>
      <c r="X33" s="6">
        <f t="shared" si="26"/>
        <v>-1334.3599999999988</v>
      </c>
      <c r="Y33" s="2"/>
      <c r="Z33" s="7">
        <f t="shared" si="27"/>
        <v>-7.9310906408660675E-2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>
        <v>6112.94</v>
      </c>
      <c r="E34" s="2"/>
      <c r="F34" s="7">
        <f t="shared" si="20"/>
        <v>7.3835473431590762E-2</v>
      </c>
      <c r="G34" s="2"/>
      <c r="H34" s="6">
        <v>7045.63</v>
      </c>
      <c r="I34" s="2"/>
      <c r="J34" s="7">
        <f t="shared" si="21"/>
        <v>9.6383750591828118E-2</v>
      </c>
      <c r="K34" s="2"/>
      <c r="L34" s="6">
        <f t="shared" si="22"/>
        <v>-932.69000000000051</v>
      </c>
      <c r="M34" s="2"/>
      <c r="N34" s="7">
        <f t="shared" si="23"/>
        <v>-0.13237850979969151</v>
      </c>
      <c r="O34" s="11"/>
      <c r="P34" s="6">
        <v>19791.769999999997</v>
      </c>
      <c r="Q34" s="2"/>
      <c r="R34" s="7">
        <f t="shared" si="24"/>
        <v>0.10125000601102159</v>
      </c>
      <c r="S34" s="2"/>
      <c r="T34" s="6">
        <v>28733.8</v>
      </c>
      <c r="U34" s="2"/>
      <c r="V34" s="7">
        <f t="shared" si="25"/>
        <v>0.11334731743012143</v>
      </c>
      <c r="W34" s="2"/>
      <c r="X34" s="6">
        <f t="shared" si="26"/>
        <v>-8942.0300000000025</v>
      </c>
      <c r="Y34" s="2"/>
      <c r="Z34" s="7">
        <f t="shared" si="27"/>
        <v>-0.31120248627052471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6">
        <v>969.75</v>
      </c>
      <c r="E35" s="2"/>
      <c r="F35" s="7">
        <f t="shared" si="20"/>
        <v>1.1713177351697406E-2</v>
      </c>
      <c r="G35" s="2"/>
      <c r="H35" s="6"/>
      <c r="I35" s="2"/>
      <c r="J35" s="7">
        <f t="shared" si="21"/>
        <v>0</v>
      </c>
      <c r="K35" s="2"/>
      <c r="L35" s="6">
        <f t="shared" si="22"/>
        <v>969.75</v>
      </c>
      <c r="M35" s="2"/>
      <c r="N35" s="7">
        <f t="shared" si="23"/>
        <v>0</v>
      </c>
      <c r="O35" s="11"/>
      <c r="P35" s="6">
        <v>1299.6300000000001</v>
      </c>
      <c r="Q35" s="2"/>
      <c r="R35" s="7">
        <f t="shared" si="24"/>
        <v>6.6485991557149269E-3</v>
      </c>
      <c r="S35" s="2"/>
      <c r="T35" s="6"/>
      <c r="U35" s="2"/>
      <c r="V35" s="7">
        <f t="shared" si="25"/>
        <v>0</v>
      </c>
      <c r="W35" s="2"/>
      <c r="X35" s="6">
        <f t="shared" si="26"/>
        <v>1299.6300000000001</v>
      </c>
      <c r="Y35" s="2"/>
      <c r="Z35" s="7">
        <f t="shared" si="27"/>
        <v>0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6">
        <v>8681.08</v>
      </c>
      <c r="E36" s="2"/>
      <c r="F36" s="7">
        <f t="shared" si="20"/>
        <v>0.10485489006885622</v>
      </c>
      <c r="G36" s="2"/>
      <c r="H36" s="6">
        <v>6897.88</v>
      </c>
      <c r="I36" s="2"/>
      <c r="J36" s="7">
        <f t="shared" si="21"/>
        <v>9.4362540401973907E-2</v>
      </c>
      <c r="K36" s="2"/>
      <c r="L36" s="6">
        <f t="shared" si="22"/>
        <v>1783.1999999999998</v>
      </c>
      <c r="M36" s="2"/>
      <c r="N36" s="7">
        <f t="shared" si="23"/>
        <v>0.25851421016312254</v>
      </c>
      <c r="O36" s="11"/>
      <c r="P36" s="6">
        <v>20868.62</v>
      </c>
      <c r="Q36" s="2"/>
      <c r="R36" s="7">
        <f t="shared" si="24"/>
        <v>0.10675891547050746</v>
      </c>
      <c r="S36" s="2"/>
      <c r="T36" s="6">
        <v>17468.939999999999</v>
      </c>
      <c r="U36" s="2"/>
      <c r="V36" s="7">
        <f t="shared" si="25"/>
        <v>6.8910394286441246E-2</v>
      </c>
      <c r="W36" s="2"/>
      <c r="X36" s="6">
        <f t="shared" si="26"/>
        <v>3399.6800000000003</v>
      </c>
      <c r="Y36" s="2"/>
      <c r="Z36" s="7">
        <f t="shared" si="27"/>
        <v>0.19461283855803505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>
        <v>850.31</v>
      </c>
      <c r="E37" s="2"/>
      <c r="F37" s="7">
        <f t="shared" si="20"/>
        <v>1.027051490994774E-2</v>
      </c>
      <c r="G37" s="2"/>
      <c r="H37" s="6">
        <v>1548.28</v>
      </c>
      <c r="I37" s="2"/>
      <c r="J37" s="7">
        <f t="shared" si="21"/>
        <v>2.1180367598967822E-2</v>
      </c>
      <c r="K37" s="2"/>
      <c r="L37" s="6">
        <f t="shared" si="22"/>
        <v>-697.97</v>
      </c>
      <c r="M37" s="2"/>
      <c r="N37" s="7">
        <f t="shared" si="23"/>
        <v>-0.45080347224016332</v>
      </c>
      <c r="O37" s="11"/>
      <c r="P37" s="6">
        <v>3136.47</v>
      </c>
      <c r="Q37" s="2"/>
      <c r="R37" s="7">
        <f t="shared" si="24"/>
        <v>1.6045437389045493E-2</v>
      </c>
      <c r="S37" s="2"/>
      <c r="T37" s="6">
        <v>5800.15</v>
      </c>
      <c r="U37" s="2"/>
      <c r="V37" s="7">
        <f t="shared" si="25"/>
        <v>2.2880073056550779E-2</v>
      </c>
      <c r="W37" s="2"/>
      <c r="X37" s="6">
        <f t="shared" si="26"/>
        <v>-2663.68</v>
      </c>
      <c r="Y37" s="2"/>
      <c r="Z37" s="7">
        <f t="shared" si="27"/>
        <v>-0.4592432954320147</v>
      </c>
    </row>
    <row r="38" spans="1:26" s="29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52" si="28">IF(D$12=0,0,D38/D$12)</f>
        <v>0</v>
      </c>
      <c r="G38" s="1"/>
      <c r="H38" s="1">
        <f>SUM(OSRRefH22_2x_0)</f>
        <v>52.5</v>
      </c>
      <c r="I38" s="1"/>
      <c r="J38" s="5">
        <f t="shared" ref="J38:J52" si="29">IF(H$12=0,0,H38/H$12)</f>
        <v>7.1819651416139883E-4</v>
      </c>
      <c r="K38" s="1"/>
      <c r="L38" s="1">
        <f t="shared" ref="L38:L52" si="30">+D38-H38</f>
        <v>-52.5</v>
      </c>
      <c r="M38" s="1"/>
      <c r="N38" s="5">
        <f t="shared" ref="N38:N52" si="31">IF(H38=0,0,L38/H38)</f>
        <v>-1</v>
      </c>
      <c r="O38" s="14"/>
      <c r="P38" s="1">
        <f>SUM(OSRRefP22_2x_0)</f>
        <v>12.52</v>
      </c>
      <c r="Q38" s="1"/>
      <c r="R38" s="5">
        <f t="shared" ref="R38:R52" si="32">IF(P$12=0,0,P38/P$12)</f>
        <v>6.4049353607989104E-5</v>
      </c>
      <c r="S38" s="1"/>
      <c r="T38" s="1">
        <f>SUM(OSRRefT22_2x_0)</f>
        <v>562.49</v>
      </c>
      <c r="U38" s="1"/>
      <c r="V38" s="5">
        <f t="shared" ref="V38:V52" si="33">IF(T$12=0,0,T38/T$12)</f>
        <v>2.2188757693472148E-3</v>
      </c>
      <c r="W38" s="1"/>
      <c r="X38" s="1">
        <f t="shared" ref="X38:X52" si="34">+P38-T38</f>
        <v>-549.97</v>
      </c>
      <c r="Y38" s="1"/>
      <c r="Z38" s="5">
        <f t="shared" ref="Z38:Z52" si="35">IF(T38=0,0,X38/T38)</f>
        <v>-0.97774182652136044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28"/>
        <v>0</v>
      </c>
      <c r="G39" s="2"/>
      <c r="H39" s="6">
        <v>52.5</v>
      </c>
      <c r="I39" s="2"/>
      <c r="J39" s="7">
        <f t="shared" si="29"/>
        <v>7.1819651416139883E-4</v>
      </c>
      <c r="K39" s="2"/>
      <c r="L39" s="6">
        <f t="shared" si="30"/>
        <v>-52.5</v>
      </c>
      <c r="M39" s="2"/>
      <c r="N39" s="7">
        <f t="shared" si="31"/>
        <v>-1</v>
      </c>
      <c r="O39" s="11"/>
      <c r="P39" s="6">
        <v>12.52</v>
      </c>
      <c r="Q39" s="2"/>
      <c r="R39" s="7">
        <f t="shared" si="32"/>
        <v>6.4049353607989104E-5</v>
      </c>
      <c r="S39" s="2"/>
      <c r="T39" s="6">
        <v>562.49</v>
      </c>
      <c r="U39" s="2"/>
      <c r="V39" s="7">
        <f t="shared" si="33"/>
        <v>2.2188757693472148E-3</v>
      </c>
      <c r="W39" s="2"/>
      <c r="X39" s="6">
        <f t="shared" si="34"/>
        <v>-549.97</v>
      </c>
      <c r="Y39" s="2"/>
      <c r="Z39" s="7">
        <f t="shared" si="35"/>
        <v>-0.97774182652136044</v>
      </c>
    </row>
    <row r="40" spans="1:26" s="29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-1.86</v>
      </c>
      <c r="E40" s="1"/>
      <c r="F40" s="5">
        <f t="shared" si="28"/>
        <v>-2.2466109692350788E-5</v>
      </c>
      <c r="G40" s="1"/>
      <c r="H40" s="1">
        <f>SUM(OSRRefH22_3x_0)</f>
        <v>-1.37</v>
      </c>
      <c r="I40" s="1"/>
      <c r="J40" s="5">
        <f t="shared" si="29"/>
        <v>-1.8741509036211741E-5</v>
      </c>
      <c r="K40" s="1"/>
      <c r="L40" s="1">
        <f t="shared" si="30"/>
        <v>-0.49</v>
      </c>
      <c r="M40" s="1"/>
      <c r="N40" s="5">
        <f t="shared" si="31"/>
        <v>0.35766423357664229</v>
      </c>
      <c r="O40" s="14"/>
      <c r="P40" s="1">
        <f>SUM(OSRRefP22_3x_0)</f>
        <v>-1.1299999999999999</v>
      </c>
      <c r="Q40" s="1"/>
      <c r="R40" s="5">
        <f t="shared" si="32"/>
        <v>-5.7808122665357568E-6</v>
      </c>
      <c r="S40" s="1"/>
      <c r="T40" s="1">
        <f>SUM(OSRRefT22_3x_0)</f>
        <v>-5.97</v>
      </c>
      <c r="U40" s="1"/>
      <c r="V40" s="5">
        <f t="shared" si="33"/>
        <v>-2.3550086833548815E-5</v>
      </c>
      <c r="W40" s="1"/>
      <c r="X40" s="1">
        <f t="shared" si="34"/>
        <v>4.84</v>
      </c>
      <c r="Y40" s="1"/>
      <c r="Z40" s="5">
        <f t="shared" si="35"/>
        <v>-0.81072026800670016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6">
        <v>-1.86</v>
      </c>
      <c r="E41" s="2"/>
      <c r="F41" s="7">
        <f t="shared" si="28"/>
        <v>-2.2466109692350788E-5</v>
      </c>
      <c r="G41" s="2"/>
      <c r="H41" s="6">
        <v>-1.37</v>
      </c>
      <c r="I41" s="2"/>
      <c r="J41" s="7">
        <f t="shared" si="29"/>
        <v>-1.8741509036211741E-5</v>
      </c>
      <c r="K41" s="2"/>
      <c r="L41" s="6">
        <f t="shared" si="30"/>
        <v>-0.49</v>
      </c>
      <c r="M41" s="2"/>
      <c r="N41" s="7">
        <f t="shared" si="31"/>
        <v>0.35766423357664229</v>
      </c>
      <c r="O41" s="11"/>
      <c r="P41" s="6">
        <v>-1.1299999999999999</v>
      </c>
      <c r="Q41" s="2"/>
      <c r="R41" s="7">
        <f t="shared" si="32"/>
        <v>-5.7808122665357568E-6</v>
      </c>
      <c r="S41" s="2"/>
      <c r="T41" s="6">
        <v>-5.97</v>
      </c>
      <c r="U41" s="2"/>
      <c r="V41" s="7">
        <f t="shared" si="33"/>
        <v>-2.3550086833548815E-5</v>
      </c>
      <c r="W41" s="2"/>
      <c r="X41" s="6">
        <f t="shared" si="34"/>
        <v>4.84</v>
      </c>
      <c r="Y41" s="2"/>
      <c r="Z41" s="7">
        <f t="shared" si="35"/>
        <v>-0.81072026800670016</v>
      </c>
    </row>
    <row r="42" spans="1:26" s="29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1409.22</v>
      </c>
      <c r="E42" s="1"/>
      <c r="F42" s="5">
        <f t="shared" si="28"/>
        <v>1.7021339301427192E-2</v>
      </c>
      <c r="G42" s="1"/>
      <c r="H42" s="1">
        <f>SUM(OSRRefH22_4x_0)</f>
        <v>1095.96</v>
      </c>
      <c r="I42" s="1"/>
      <c r="J42" s="5">
        <f t="shared" si="29"/>
        <v>1.499266003162527E-2</v>
      </c>
      <c r="K42" s="1"/>
      <c r="L42" s="1">
        <f t="shared" si="30"/>
        <v>313.26</v>
      </c>
      <c r="M42" s="1"/>
      <c r="N42" s="5">
        <f t="shared" si="31"/>
        <v>0.28583159969341942</v>
      </c>
      <c r="O42" s="14"/>
      <c r="P42" s="1">
        <f>SUM(OSRRefP22_4x_0)</f>
        <v>2384.92</v>
      </c>
      <c r="Q42" s="1"/>
      <c r="R42" s="5">
        <f t="shared" si="32"/>
        <v>1.2200685655492441E-2</v>
      </c>
      <c r="S42" s="1"/>
      <c r="T42" s="1">
        <f>SUM(OSRRefT22_4x_0)</f>
        <v>2360.25</v>
      </c>
      <c r="U42" s="1"/>
      <c r="V42" s="5">
        <f t="shared" si="33"/>
        <v>9.3105682493942361E-3</v>
      </c>
      <c r="W42" s="1"/>
      <c r="X42" s="1">
        <f t="shared" si="34"/>
        <v>24.670000000000073</v>
      </c>
      <c r="Y42" s="1"/>
      <c r="Z42" s="5">
        <f t="shared" si="35"/>
        <v>1.0452282597182533E-2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6">
        <v>1409.22</v>
      </c>
      <c r="E43" s="2"/>
      <c r="F43" s="7">
        <f t="shared" si="28"/>
        <v>1.7021339301427192E-2</v>
      </c>
      <c r="G43" s="2"/>
      <c r="H43" s="6">
        <v>1095.96</v>
      </c>
      <c r="I43" s="2"/>
      <c r="J43" s="7">
        <f t="shared" si="29"/>
        <v>1.499266003162527E-2</v>
      </c>
      <c r="K43" s="2"/>
      <c r="L43" s="6">
        <f t="shared" si="30"/>
        <v>313.26</v>
      </c>
      <c r="M43" s="2"/>
      <c r="N43" s="7">
        <f t="shared" si="31"/>
        <v>0.28583159969341942</v>
      </c>
      <c r="O43" s="11"/>
      <c r="P43" s="6">
        <v>2384.92</v>
      </c>
      <c r="Q43" s="2"/>
      <c r="R43" s="7">
        <f t="shared" si="32"/>
        <v>1.2200685655492441E-2</v>
      </c>
      <c r="S43" s="2"/>
      <c r="T43" s="6">
        <v>2360.25</v>
      </c>
      <c r="U43" s="2"/>
      <c r="V43" s="7">
        <f t="shared" si="33"/>
        <v>9.3105682493942361E-3</v>
      </c>
      <c r="W43" s="2"/>
      <c r="X43" s="6">
        <f t="shared" si="34"/>
        <v>24.670000000000073</v>
      </c>
      <c r="Y43" s="2"/>
      <c r="Z43" s="7">
        <f t="shared" si="35"/>
        <v>1.0452282597182533E-2</v>
      </c>
    </row>
    <row r="44" spans="1:26" s="29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297.99</v>
      </c>
      <c r="E44" s="1"/>
      <c r="F44" s="5">
        <f t="shared" si="28"/>
        <v>3.5992881866793607E-3</v>
      </c>
      <c r="G44" s="1"/>
      <c r="H44" s="1">
        <f>SUM(OSRRefH22_5x_0)</f>
        <v>696.82</v>
      </c>
      <c r="I44" s="1"/>
      <c r="J44" s="5">
        <f t="shared" si="29"/>
        <v>9.532451333294209E-3</v>
      </c>
      <c r="K44" s="1"/>
      <c r="L44" s="1">
        <f t="shared" si="30"/>
        <v>-398.83000000000004</v>
      </c>
      <c r="M44" s="1"/>
      <c r="N44" s="5">
        <f t="shared" si="31"/>
        <v>-0.57235728021583765</v>
      </c>
      <c r="O44" s="14"/>
      <c r="P44" s="1">
        <f>SUM(OSRRefP22_5x_0)</f>
        <v>893.97</v>
      </c>
      <c r="Q44" s="1"/>
      <c r="R44" s="5">
        <f t="shared" si="32"/>
        <v>4.5733387096592668E-3</v>
      </c>
      <c r="S44" s="1"/>
      <c r="T44" s="1">
        <f>SUM(OSRRefT22_5x_0)</f>
        <v>2090.46</v>
      </c>
      <c r="U44" s="1"/>
      <c r="V44" s="5">
        <f t="shared" si="33"/>
        <v>8.2463173403786363E-3</v>
      </c>
      <c r="W44" s="1"/>
      <c r="X44" s="1">
        <f t="shared" si="34"/>
        <v>-1196.49</v>
      </c>
      <c r="Y44" s="1"/>
      <c r="Z44" s="5">
        <f t="shared" si="35"/>
        <v>-0.57235728021583765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297.99</v>
      </c>
      <c r="E45" s="2"/>
      <c r="F45" s="7">
        <f t="shared" si="28"/>
        <v>3.5992881866793607E-3</v>
      </c>
      <c r="G45" s="2"/>
      <c r="H45" s="6">
        <v>696.82</v>
      </c>
      <c r="I45" s="2"/>
      <c r="J45" s="7">
        <f t="shared" si="29"/>
        <v>9.532451333294209E-3</v>
      </c>
      <c r="K45" s="2"/>
      <c r="L45" s="6">
        <f t="shared" si="30"/>
        <v>-398.83000000000004</v>
      </c>
      <c r="M45" s="2"/>
      <c r="N45" s="7">
        <f t="shared" si="31"/>
        <v>-0.57235728021583765</v>
      </c>
      <c r="O45" s="11"/>
      <c r="P45" s="6">
        <v>893.97</v>
      </c>
      <c r="Q45" s="2"/>
      <c r="R45" s="7">
        <f t="shared" si="32"/>
        <v>4.5733387096592668E-3</v>
      </c>
      <c r="S45" s="2"/>
      <c r="T45" s="6">
        <v>2090.46</v>
      </c>
      <c r="U45" s="2"/>
      <c r="V45" s="7">
        <f t="shared" si="33"/>
        <v>8.2463173403786363E-3</v>
      </c>
      <c r="W45" s="2"/>
      <c r="X45" s="6">
        <f t="shared" si="34"/>
        <v>-1196.49</v>
      </c>
      <c r="Y45" s="2"/>
      <c r="Z45" s="7">
        <f t="shared" si="35"/>
        <v>-0.57235728021583765</v>
      </c>
    </row>
    <row r="46" spans="1:26" s="29" customFormat="1" outlineLevel="1" collapsed="1" x14ac:dyDescent="0.25">
      <c r="A46" s="27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148.9</v>
      </c>
      <c r="E46" s="1"/>
      <c r="F46" s="5">
        <f t="shared" si="28"/>
        <v>1.7984966307478668E-3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148.9</v>
      </c>
      <c r="M46" s="1"/>
      <c r="N46" s="5">
        <f t="shared" si="31"/>
        <v>0</v>
      </c>
      <c r="O46" s="14"/>
      <c r="P46" s="1">
        <f>SUM(OSRRefP22_6x_0)</f>
        <v>173.87</v>
      </c>
      <c r="Q46" s="1"/>
      <c r="R46" s="5">
        <f t="shared" si="32"/>
        <v>8.8947772458634704E-4</v>
      </c>
      <c r="S46" s="1"/>
      <c r="T46" s="1">
        <f>SUM(OSRRefT22_6x_0)</f>
        <v>116.48</v>
      </c>
      <c r="U46" s="1"/>
      <c r="V46" s="5">
        <f t="shared" si="33"/>
        <v>4.5948310123480169E-4</v>
      </c>
      <c r="W46" s="1"/>
      <c r="X46" s="1">
        <f t="shared" si="34"/>
        <v>57.39</v>
      </c>
      <c r="Y46" s="1"/>
      <c r="Z46" s="5">
        <f t="shared" si="35"/>
        <v>0.49270260989010989</v>
      </c>
    </row>
    <row r="47" spans="1:26" s="24" customFormat="1" hidden="1" outlineLevel="2" x14ac:dyDescent="0.25">
      <c r="A47" s="28"/>
      <c r="B47" s="11" t="str">
        <f>CONCATENATE("          ", "6351", " - ", "EQUIPMENT RENTAL")</f>
        <v xml:space="preserve">          6351 - EQUIPMENT RENTAL</v>
      </c>
      <c r="C47" s="11"/>
      <c r="D47" s="6">
        <v>148.9</v>
      </c>
      <c r="E47" s="2"/>
      <c r="F47" s="7">
        <f t="shared" si="28"/>
        <v>1.7984966307478668E-3</v>
      </c>
      <c r="G47" s="2"/>
      <c r="H47" s="6"/>
      <c r="I47" s="2"/>
      <c r="J47" s="7">
        <f t="shared" si="29"/>
        <v>0</v>
      </c>
      <c r="K47" s="2"/>
      <c r="L47" s="6">
        <f t="shared" si="30"/>
        <v>148.9</v>
      </c>
      <c r="M47" s="2"/>
      <c r="N47" s="7">
        <f t="shared" si="31"/>
        <v>0</v>
      </c>
      <c r="O47" s="11"/>
      <c r="P47" s="6">
        <v>173.87</v>
      </c>
      <c r="Q47" s="2"/>
      <c r="R47" s="7">
        <f t="shared" si="32"/>
        <v>8.8947772458634704E-4</v>
      </c>
      <c r="S47" s="2"/>
      <c r="T47" s="6">
        <v>116.48</v>
      </c>
      <c r="U47" s="2"/>
      <c r="V47" s="7">
        <f t="shared" si="33"/>
        <v>4.5948310123480169E-4</v>
      </c>
      <c r="W47" s="2"/>
      <c r="X47" s="6">
        <f t="shared" si="34"/>
        <v>57.39</v>
      </c>
      <c r="Y47" s="2"/>
      <c r="Z47" s="7">
        <f t="shared" si="35"/>
        <v>0.49270260989010989</v>
      </c>
    </row>
    <row r="48" spans="1:26" s="29" customFormat="1" outlineLevel="1" collapsed="1" x14ac:dyDescent="0.2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543.54999999999995</v>
      </c>
      <c r="E48" s="1"/>
      <c r="F48" s="5">
        <f t="shared" si="28"/>
        <v>6.5652978082135858E-3</v>
      </c>
      <c r="G48" s="1"/>
      <c r="H48" s="1">
        <f>SUM(OSRRefH22_7x_0)</f>
        <v>30</v>
      </c>
      <c r="I48" s="1"/>
      <c r="J48" s="5">
        <f t="shared" si="29"/>
        <v>4.1039800809222792E-4</v>
      </c>
      <c r="K48" s="1"/>
      <c r="L48" s="1">
        <f t="shared" si="30"/>
        <v>513.54999999999995</v>
      </c>
      <c r="M48" s="1"/>
      <c r="N48" s="5">
        <f t="shared" si="31"/>
        <v>17.118333333333332</v>
      </c>
      <c r="O48" s="14"/>
      <c r="P48" s="1">
        <f>SUM(OSRRefP22_7x_0)</f>
        <v>2447.08</v>
      </c>
      <c r="Q48" s="1"/>
      <c r="R48" s="5">
        <f t="shared" si="32"/>
        <v>1.2518681487782585E-2</v>
      </c>
      <c r="S48" s="1"/>
      <c r="T48" s="1">
        <f>SUM(OSRRefT22_7x_0)</f>
        <v>1364.2</v>
      </c>
      <c r="U48" s="1"/>
      <c r="V48" s="5">
        <f t="shared" si="33"/>
        <v>5.3814118020648737E-3</v>
      </c>
      <c r="W48" s="1"/>
      <c r="X48" s="1">
        <f t="shared" si="34"/>
        <v>1082.8799999999999</v>
      </c>
      <c r="Y48" s="1"/>
      <c r="Z48" s="5">
        <f t="shared" si="35"/>
        <v>0.7937839026535698</v>
      </c>
    </row>
    <row r="49" spans="1:26" s="24" customFormat="1" hidden="1" outlineLevel="2" x14ac:dyDescent="0.25">
      <c r="A49" s="28"/>
      <c r="B49" s="11" t="str">
        <f>CONCATENATE("          ", "6279", " - ", "GENERAL EXPENSE")</f>
        <v xml:space="preserve">          6279 - GENERAL EXPENSE</v>
      </c>
      <c r="C49" s="11"/>
      <c r="D49" s="6">
        <v>543.54999999999995</v>
      </c>
      <c r="E49" s="2"/>
      <c r="F49" s="7">
        <f t="shared" si="28"/>
        <v>6.5652978082135858E-3</v>
      </c>
      <c r="G49" s="2"/>
      <c r="H49" s="6">
        <v>30</v>
      </c>
      <c r="I49" s="2"/>
      <c r="J49" s="7">
        <f t="shared" si="29"/>
        <v>4.1039800809222792E-4</v>
      </c>
      <c r="K49" s="2"/>
      <c r="L49" s="6">
        <f t="shared" si="30"/>
        <v>513.54999999999995</v>
      </c>
      <c r="M49" s="2"/>
      <c r="N49" s="7">
        <f t="shared" si="31"/>
        <v>17.118333333333332</v>
      </c>
      <c r="O49" s="11"/>
      <c r="P49" s="6">
        <v>2447.08</v>
      </c>
      <c r="Q49" s="2"/>
      <c r="R49" s="7">
        <f t="shared" si="32"/>
        <v>1.2518681487782585E-2</v>
      </c>
      <c r="S49" s="2"/>
      <c r="T49" s="6">
        <v>1364.2</v>
      </c>
      <c r="U49" s="2"/>
      <c r="V49" s="7">
        <f t="shared" si="33"/>
        <v>5.3814118020648737E-3</v>
      </c>
      <c r="W49" s="2"/>
      <c r="X49" s="6">
        <f t="shared" si="34"/>
        <v>1082.8799999999999</v>
      </c>
      <c r="Y49" s="2"/>
      <c r="Z49" s="7">
        <f t="shared" si="35"/>
        <v>0.7937839026535698</v>
      </c>
    </row>
    <row r="50" spans="1:26" s="29" customFormat="1" outlineLevel="1" collapsed="1" x14ac:dyDescent="0.25">
      <c r="A50" s="27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SUM(OSRRefD22_8x_0)</f>
        <v>584.05999999999995</v>
      </c>
      <c r="E50" s="1"/>
      <c r="F50" s="5">
        <f t="shared" si="28"/>
        <v>7.0546000144701068E-3</v>
      </c>
      <c r="G50" s="1"/>
      <c r="H50" s="1">
        <f>SUM(OSRRefH22_8x_0)</f>
        <v>632.62</v>
      </c>
      <c r="I50" s="1"/>
      <c r="J50" s="5">
        <f t="shared" si="29"/>
        <v>8.6541995959768404E-3</v>
      </c>
      <c r="K50" s="1"/>
      <c r="L50" s="1">
        <f t="shared" si="30"/>
        <v>-48.560000000000059</v>
      </c>
      <c r="M50" s="1"/>
      <c r="N50" s="5">
        <f t="shared" si="31"/>
        <v>-7.6760140368625815E-2</v>
      </c>
      <c r="O50" s="14"/>
      <c r="P50" s="1">
        <f>SUM(OSRRefP22_8x_0)</f>
        <v>1392.07</v>
      </c>
      <c r="Q50" s="1"/>
      <c r="R50" s="5">
        <f t="shared" si="32"/>
        <v>7.1215002936959567E-3</v>
      </c>
      <c r="S50" s="1"/>
      <c r="T50" s="1">
        <f>SUM(OSRRefT22_8x_0)</f>
        <v>8262.4399999999987</v>
      </c>
      <c r="U50" s="1"/>
      <c r="V50" s="5">
        <f t="shared" si="33"/>
        <v>3.2593162388105029E-2</v>
      </c>
      <c r="W50" s="1"/>
      <c r="X50" s="1">
        <f t="shared" si="34"/>
        <v>-6870.369999999999</v>
      </c>
      <c r="Y50" s="1"/>
      <c r="Z50" s="5">
        <f t="shared" si="35"/>
        <v>-0.83151829241725206</v>
      </c>
    </row>
    <row r="51" spans="1:26" s="24" customFormat="1" hidden="1" outlineLevel="2" x14ac:dyDescent="0.25">
      <c r="A51" s="28"/>
      <c r="B51" s="11" t="str">
        <f>CONCATENATE("          ", "6373", " - ", "MAINTENANCE CONTRACTS")</f>
        <v xml:space="preserve">          6373 - MAINTENANCE CONTRACTS</v>
      </c>
      <c r="C51" s="11"/>
      <c r="D51" s="6"/>
      <c r="E51" s="2"/>
      <c r="F51" s="7">
        <f t="shared" si="28"/>
        <v>0</v>
      </c>
      <c r="G51" s="2"/>
      <c r="H51" s="6">
        <v>57.23</v>
      </c>
      <c r="I51" s="2"/>
      <c r="J51" s="7">
        <f t="shared" si="29"/>
        <v>7.829026001039401E-4</v>
      </c>
      <c r="K51" s="2"/>
      <c r="L51" s="6">
        <f t="shared" si="30"/>
        <v>-57.23</v>
      </c>
      <c r="M51" s="2"/>
      <c r="N51" s="7">
        <f t="shared" si="31"/>
        <v>-1</v>
      </c>
      <c r="O51" s="11"/>
      <c r="P51" s="6">
        <v>18.45</v>
      </c>
      <c r="Q51" s="2"/>
      <c r="R51" s="7">
        <f t="shared" si="32"/>
        <v>9.4385828599632496E-5</v>
      </c>
      <c r="S51" s="2"/>
      <c r="T51" s="6">
        <v>57.23</v>
      </c>
      <c r="U51" s="2"/>
      <c r="V51" s="7">
        <f t="shared" si="33"/>
        <v>2.2575736507269659E-4</v>
      </c>
      <c r="W51" s="2"/>
      <c r="X51" s="6">
        <f t="shared" si="34"/>
        <v>-38.78</v>
      </c>
      <c r="Y51" s="2"/>
      <c r="Z51" s="7">
        <f t="shared" si="35"/>
        <v>-0.67761663463218602</v>
      </c>
    </row>
    <row r="52" spans="1:26" s="24" customFormat="1" hidden="1" outlineLevel="2" x14ac:dyDescent="0.25">
      <c r="A52" s="28"/>
      <c r="B52" s="11" t="str">
        <f>CONCATENATE("          ", "6375", " - ", "OUTSIDE REPAIRS &amp; MAINTENANCE")</f>
        <v xml:space="preserve">          6375 - OUTSIDE REPAIRS &amp; MAINTENANCE</v>
      </c>
      <c r="C52" s="11"/>
      <c r="D52" s="6">
        <v>584.05999999999995</v>
      </c>
      <c r="E52" s="2"/>
      <c r="F52" s="7">
        <f t="shared" si="28"/>
        <v>7.0546000144701068E-3</v>
      </c>
      <c r="G52" s="2"/>
      <c r="H52" s="6">
        <v>575.39</v>
      </c>
      <c r="I52" s="2"/>
      <c r="J52" s="7">
        <f t="shared" si="29"/>
        <v>7.8712969958728996E-3</v>
      </c>
      <c r="K52" s="2"/>
      <c r="L52" s="6">
        <f t="shared" si="30"/>
        <v>8.6699999999999591</v>
      </c>
      <c r="M52" s="2"/>
      <c r="N52" s="7">
        <f t="shared" si="31"/>
        <v>1.5068040807104676E-2</v>
      </c>
      <c r="O52" s="11"/>
      <c r="P52" s="6">
        <v>1373.62</v>
      </c>
      <c r="Q52" s="2"/>
      <c r="R52" s="7">
        <f t="shared" si="32"/>
        <v>7.0271144650963244E-3</v>
      </c>
      <c r="S52" s="2"/>
      <c r="T52" s="6">
        <v>8205.2099999999991</v>
      </c>
      <c r="U52" s="2"/>
      <c r="V52" s="7">
        <f t="shared" si="33"/>
        <v>3.2367405023032335E-2</v>
      </c>
      <c r="W52" s="2"/>
      <c r="X52" s="6">
        <f t="shared" si="34"/>
        <v>-6831.5899999999992</v>
      </c>
      <c r="Y52" s="2"/>
      <c r="Z52" s="7">
        <f t="shared" si="35"/>
        <v>-0.83259173135117814</v>
      </c>
    </row>
    <row r="53" spans="1:26" s="29" customFormat="1" outlineLevel="1" collapsed="1" x14ac:dyDescent="0.25">
      <c r="A53" s="27"/>
      <c r="B53" s="14" t="str">
        <f>CONCATENATE("     ","Royalty &amp; Commissions                             ")</f>
        <v xml:space="preserve">     Royalty &amp; Commissions                             </v>
      </c>
      <c r="C53" s="14"/>
      <c r="D53" s="1">
        <f>SUM(OSRRefD22_9x_0)</f>
        <v>0</v>
      </c>
      <c r="E53" s="1"/>
      <c r="F53" s="5">
        <f t="shared" ref="F53:F58" si="36">IF(D$12=0,0,D53/D$12)</f>
        <v>0</v>
      </c>
      <c r="G53" s="1"/>
      <c r="H53" s="1">
        <f>SUM(OSRRefH22_9x_0)</f>
        <v>0</v>
      </c>
      <c r="I53" s="1"/>
      <c r="J53" s="5">
        <f t="shared" ref="J53:J58" si="37">IF(H$12=0,0,H53/H$12)</f>
        <v>0</v>
      </c>
      <c r="K53" s="1"/>
      <c r="L53" s="1">
        <f t="shared" ref="L53:L58" si="38">+D53-H53</f>
        <v>0</v>
      </c>
      <c r="M53" s="1"/>
      <c r="N53" s="5">
        <f t="shared" ref="N53:N58" si="39">IF(H53=0,0,L53/H53)</f>
        <v>0</v>
      </c>
      <c r="O53" s="14"/>
      <c r="P53" s="1">
        <f>SUM(OSRRefP22_9x_0)</f>
        <v>0</v>
      </c>
      <c r="Q53" s="1"/>
      <c r="R53" s="5">
        <f t="shared" ref="R53:R58" si="40">IF(P$12=0,0,P53/P$12)</f>
        <v>0</v>
      </c>
      <c r="S53" s="1"/>
      <c r="T53" s="1">
        <f>SUM(OSRRefT22_9x_0)</f>
        <v>2954.27</v>
      </c>
      <c r="U53" s="1"/>
      <c r="V53" s="5">
        <f t="shared" ref="V53:V58" si="41">IF(T$12=0,0,T53/T$12)</f>
        <v>1.1653821613023158E-2</v>
      </c>
      <c r="W53" s="1"/>
      <c r="X53" s="1">
        <f t="shared" ref="X53:X58" si="42">+P53-T53</f>
        <v>-2954.27</v>
      </c>
      <c r="Y53" s="1"/>
      <c r="Z53" s="5">
        <f t="shared" ref="Z53:Z58" si="43">IF(T53=0,0,X53/T53)</f>
        <v>-1</v>
      </c>
    </row>
    <row r="54" spans="1:26" s="24" customFormat="1" hidden="1" outlineLevel="2" x14ac:dyDescent="0.25">
      <c r="A54" s="28"/>
      <c r="B54" s="11" t="str">
        <f>CONCATENATE("          ", "6254", " - ", "ROYALTY &amp; COMMISSIONS")</f>
        <v xml:space="preserve">          6254 - ROYALTY &amp; COMMISSIONS</v>
      </c>
      <c r="C54" s="11"/>
      <c r="D54" s="6"/>
      <c r="E54" s="2"/>
      <c r="F54" s="7">
        <f t="shared" si="36"/>
        <v>0</v>
      </c>
      <c r="G54" s="2"/>
      <c r="H54" s="6"/>
      <c r="I54" s="2"/>
      <c r="J54" s="7">
        <f t="shared" si="37"/>
        <v>0</v>
      </c>
      <c r="K54" s="2"/>
      <c r="L54" s="6">
        <f t="shared" si="38"/>
        <v>0</v>
      </c>
      <c r="M54" s="2"/>
      <c r="N54" s="7">
        <f t="shared" si="39"/>
        <v>0</v>
      </c>
      <c r="O54" s="11"/>
      <c r="P54" s="6"/>
      <c r="Q54" s="2"/>
      <c r="R54" s="7">
        <f t="shared" si="40"/>
        <v>0</v>
      </c>
      <c r="S54" s="2"/>
      <c r="T54" s="6">
        <v>2954.27</v>
      </c>
      <c r="U54" s="2"/>
      <c r="V54" s="7">
        <f t="shared" si="41"/>
        <v>1.1653821613023158E-2</v>
      </c>
      <c r="W54" s="2"/>
      <c r="X54" s="6">
        <f t="shared" si="42"/>
        <v>-2954.27</v>
      </c>
      <c r="Y54" s="2"/>
      <c r="Z54" s="7">
        <f t="shared" si="43"/>
        <v>-1</v>
      </c>
    </row>
    <row r="55" spans="1:26" s="29" customFormat="1" outlineLevel="1" collapsed="1" x14ac:dyDescent="0.25">
      <c r="A55" s="27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SUM(OSRRefD22_10x_0)</f>
        <v>3215.58</v>
      </c>
      <c r="E55" s="1"/>
      <c r="F55" s="5">
        <f t="shared" si="36"/>
        <v>3.8839555378779214E-2</v>
      </c>
      <c r="G55" s="1"/>
      <c r="H55" s="1">
        <f>SUM(OSRRefH22_10x_0)</f>
        <v>2879.8199999999997</v>
      </c>
      <c r="I55" s="1"/>
      <c r="J55" s="5">
        <f t="shared" si="37"/>
        <v>3.9395746388805324E-2</v>
      </c>
      <c r="K55" s="1"/>
      <c r="L55" s="1">
        <f t="shared" si="38"/>
        <v>335.76000000000022</v>
      </c>
      <c r="M55" s="1"/>
      <c r="N55" s="5">
        <f t="shared" si="39"/>
        <v>0.11659062024709886</v>
      </c>
      <c r="O55" s="14"/>
      <c r="P55" s="1">
        <f>SUM(OSRRefP22_10x_0)</f>
        <v>7500</v>
      </c>
      <c r="Q55" s="1"/>
      <c r="R55" s="5">
        <f t="shared" si="40"/>
        <v>3.8368223007980692E-2</v>
      </c>
      <c r="S55" s="1"/>
      <c r="T55" s="1">
        <f>SUM(OSRRefT22_10x_0)</f>
        <v>7502.01</v>
      </c>
      <c r="U55" s="1"/>
      <c r="V55" s="5">
        <f t="shared" si="41"/>
        <v>2.9593465146759052E-2</v>
      </c>
      <c r="W55" s="1"/>
      <c r="X55" s="1">
        <f t="shared" si="42"/>
        <v>-2.0100000000002183</v>
      </c>
      <c r="Y55" s="1"/>
      <c r="Z55" s="5">
        <f t="shared" si="43"/>
        <v>-2.6792819524370376E-4</v>
      </c>
    </row>
    <row r="56" spans="1:26" s="24" customFormat="1" hidden="1" outlineLevel="2" x14ac:dyDescent="0.25">
      <c r="A56" s="28"/>
      <c r="B56" s="11" t="str">
        <f>CONCATENATE("          ", "6283", " - ", "PLANT SERVICE")</f>
        <v xml:space="preserve">          6283 - PLANT SERVICE</v>
      </c>
      <c r="C56" s="11"/>
      <c r="D56" s="6">
        <v>62.95</v>
      </c>
      <c r="E56" s="2"/>
      <c r="F56" s="7">
        <f t="shared" si="36"/>
        <v>7.6034494899649568E-4</v>
      </c>
      <c r="G56" s="2"/>
      <c r="H56" s="6">
        <v>57</v>
      </c>
      <c r="I56" s="2"/>
      <c r="J56" s="7">
        <f t="shared" si="37"/>
        <v>7.7975621537523299E-4</v>
      </c>
      <c r="K56" s="2"/>
      <c r="L56" s="6">
        <f t="shared" si="38"/>
        <v>5.9500000000000028</v>
      </c>
      <c r="M56" s="2"/>
      <c r="N56" s="7">
        <f t="shared" si="39"/>
        <v>0.10438596491228075</v>
      </c>
      <c r="O56" s="11"/>
      <c r="P56" s="6">
        <v>188.85</v>
      </c>
      <c r="Q56" s="2"/>
      <c r="R56" s="7">
        <f t="shared" si="40"/>
        <v>9.6611185534095374E-4</v>
      </c>
      <c r="S56" s="2"/>
      <c r="T56" s="6">
        <v>171</v>
      </c>
      <c r="U56" s="2"/>
      <c r="V56" s="7">
        <f t="shared" si="41"/>
        <v>6.7455022588556904E-4</v>
      </c>
      <c r="W56" s="2"/>
      <c r="X56" s="6">
        <f t="shared" si="42"/>
        <v>17.849999999999994</v>
      </c>
      <c r="Y56" s="2"/>
      <c r="Z56" s="7">
        <f t="shared" si="43"/>
        <v>0.10438596491228067</v>
      </c>
    </row>
    <row r="57" spans="1:26" s="24" customFormat="1" hidden="1" outlineLevel="2" x14ac:dyDescent="0.25">
      <c r="A57" s="28"/>
      <c r="B57" s="11" t="str">
        <f>CONCATENATE("          ", "6285", " - ", "JANITORIAL SERVICES")</f>
        <v xml:space="preserve">          6285 - JANITORIAL SERVICES</v>
      </c>
      <c r="C57" s="11"/>
      <c r="D57" s="6"/>
      <c r="E57" s="2"/>
      <c r="F57" s="7">
        <f t="shared" si="36"/>
        <v>0</v>
      </c>
      <c r="G57" s="2"/>
      <c r="H57" s="6">
        <v>246.12</v>
      </c>
      <c r="I57" s="2"/>
      <c r="J57" s="7">
        <f t="shared" si="37"/>
        <v>3.3669052583886376E-3</v>
      </c>
      <c r="K57" s="2"/>
      <c r="L57" s="6">
        <f t="shared" si="38"/>
        <v>-246.12</v>
      </c>
      <c r="M57" s="2"/>
      <c r="N57" s="7">
        <f t="shared" si="39"/>
        <v>-1</v>
      </c>
      <c r="O57" s="11"/>
      <c r="P57" s="6"/>
      <c r="Q57" s="2"/>
      <c r="R57" s="7">
        <f t="shared" si="40"/>
        <v>0</v>
      </c>
      <c r="S57" s="2"/>
      <c r="T57" s="6">
        <v>246.12</v>
      </c>
      <c r="U57" s="2"/>
      <c r="V57" s="7">
        <f t="shared" si="41"/>
        <v>9.7087895669565065E-4</v>
      </c>
      <c r="W57" s="2"/>
      <c r="X57" s="6">
        <f t="shared" si="42"/>
        <v>-246.12</v>
      </c>
      <c r="Y57" s="2"/>
      <c r="Z57" s="7">
        <f t="shared" si="43"/>
        <v>-1</v>
      </c>
    </row>
    <row r="58" spans="1:26" s="24" customFormat="1" hidden="1" outlineLevel="2" x14ac:dyDescent="0.25">
      <c r="A58" s="28"/>
      <c r="B58" s="11" t="str">
        <f>CONCATENATE("          ", "6286", " - ", "LAUNDRY EXPENSE")</f>
        <v xml:space="preserve">          6286 - LAUNDRY EXPENSE</v>
      </c>
      <c r="C58" s="11"/>
      <c r="D58" s="6">
        <v>3152.63</v>
      </c>
      <c r="E58" s="2"/>
      <c r="F58" s="7">
        <f t="shared" si="36"/>
        <v>3.8079210429782719E-2</v>
      </c>
      <c r="G58" s="2"/>
      <c r="H58" s="6">
        <v>2576.6999999999998</v>
      </c>
      <c r="I58" s="2"/>
      <c r="J58" s="7">
        <f t="shared" si="37"/>
        <v>3.5249084915041452E-2</v>
      </c>
      <c r="K58" s="2"/>
      <c r="L58" s="6">
        <f t="shared" si="38"/>
        <v>575.93000000000029</v>
      </c>
      <c r="M58" s="2"/>
      <c r="N58" s="7">
        <f t="shared" si="39"/>
        <v>0.22351457290332608</v>
      </c>
      <c r="O58" s="11"/>
      <c r="P58" s="6">
        <v>7311.15</v>
      </c>
      <c r="Q58" s="2"/>
      <c r="R58" s="7">
        <f t="shared" si="40"/>
        <v>3.7402111152639736E-2</v>
      </c>
      <c r="S58" s="2"/>
      <c r="T58" s="6">
        <v>7084.89</v>
      </c>
      <c r="U58" s="2"/>
      <c r="V58" s="7">
        <f t="shared" si="41"/>
        <v>2.7948035964177834E-2</v>
      </c>
      <c r="W58" s="2"/>
      <c r="X58" s="6">
        <f t="shared" si="42"/>
        <v>226.25999999999931</v>
      </c>
      <c r="Y58" s="2"/>
      <c r="Z58" s="7">
        <f t="shared" si="43"/>
        <v>3.1935569924162452E-2</v>
      </c>
    </row>
    <row r="59" spans="1:26" s="29" customFormat="1" outlineLevel="1" collapsed="1" x14ac:dyDescent="0.25">
      <c r="A59" s="27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SUM(OSRRefD22_11x_0)</f>
        <v>3676.77</v>
      </c>
      <c r="E59" s="1"/>
      <c r="F59" s="5">
        <f t="shared" ref="F59:F66" si="44">IF(D$12=0,0,D59/D$12)</f>
        <v>4.4410063512658388E-2</v>
      </c>
      <c r="G59" s="1"/>
      <c r="H59" s="1">
        <f>SUM(OSRRefH22_11x_0)</f>
        <v>2085.27</v>
      </c>
      <c r="I59" s="1"/>
      <c r="J59" s="5">
        <f t="shared" ref="J59:J66" si="45">IF(H$12=0,0,H59/H$12)</f>
        <v>2.8526355144482669E-2</v>
      </c>
      <c r="K59" s="1"/>
      <c r="L59" s="1">
        <f t="shared" ref="L59:L66" si="46">+D59-H59</f>
        <v>1591.5</v>
      </c>
      <c r="M59" s="1"/>
      <c r="N59" s="5">
        <f t="shared" ref="N59:N66" si="47">IF(H59=0,0,L59/H59)</f>
        <v>0.76321051950107177</v>
      </c>
      <c r="O59" s="14"/>
      <c r="P59" s="1">
        <f>SUM(OSRRefP22_11x_0)</f>
        <v>5886.46</v>
      </c>
      <c r="Q59" s="1"/>
      <c r="R59" s="5">
        <f t="shared" ref="R59:R66" si="48">IF(P$12=0,0,P59/P$12)</f>
        <v>3.0113734667674402E-2</v>
      </c>
      <c r="S59" s="1"/>
      <c r="T59" s="1">
        <f>SUM(OSRRefT22_11x_0)</f>
        <v>8596.98</v>
      </c>
      <c r="U59" s="1"/>
      <c r="V59" s="5">
        <f t="shared" ref="V59:V66" si="49">IF(T$12=0,0,T59/T$12)</f>
        <v>3.3912835093179647E-2</v>
      </c>
      <c r="W59" s="1"/>
      <c r="X59" s="1">
        <f t="shared" ref="X59:X66" si="50">+P59-T59</f>
        <v>-2710.5199999999995</v>
      </c>
      <c r="Y59" s="1"/>
      <c r="Z59" s="5">
        <f t="shared" ref="Z59:Z66" si="51">IF(T59=0,0,X59/T59)</f>
        <v>-0.3152874614108675</v>
      </c>
    </row>
    <row r="60" spans="1:26" s="24" customFormat="1" hidden="1" outlineLevel="2" x14ac:dyDescent="0.25">
      <c r="A60" s="28"/>
      <c r="B60" s="11" t="str">
        <f>CONCATENATE("          ", "6234", " - ", "EXPENDABLE SUPPLIES &amp; EQUIPMEN")</f>
        <v xml:space="preserve">          6234 - EXPENDABLE SUPPLIES &amp; EQUIPMEN</v>
      </c>
      <c r="C60" s="11"/>
      <c r="D60" s="6"/>
      <c r="E60" s="2"/>
      <c r="F60" s="7">
        <f t="shared" si="44"/>
        <v>0</v>
      </c>
      <c r="G60" s="2"/>
      <c r="H60" s="6">
        <v>343.69</v>
      </c>
      <c r="I60" s="2"/>
      <c r="J60" s="7">
        <f t="shared" si="45"/>
        <v>4.7016563800405939E-3</v>
      </c>
      <c r="K60" s="2"/>
      <c r="L60" s="6">
        <f t="shared" si="46"/>
        <v>-343.69</v>
      </c>
      <c r="M60" s="2"/>
      <c r="N60" s="7">
        <f t="shared" si="47"/>
        <v>-1</v>
      </c>
      <c r="O60" s="11"/>
      <c r="P60" s="6"/>
      <c r="Q60" s="2"/>
      <c r="R60" s="7">
        <f t="shared" si="48"/>
        <v>0</v>
      </c>
      <c r="S60" s="2"/>
      <c r="T60" s="6">
        <v>3584.15</v>
      </c>
      <c r="U60" s="2"/>
      <c r="V60" s="7">
        <f t="shared" si="49"/>
        <v>1.4138533287179898E-2</v>
      </c>
      <c r="W60" s="2"/>
      <c r="X60" s="6">
        <f t="shared" si="50"/>
        <v>-3584.15</v>
      </c>
      <c r="Y60" s="2"/>
      <c r="Z60" s="7">
        <f t="shared" si="51"/>
        <v>-1</v>
      </c>
    </row>
    <row r="61" spans="1:26" s="24" customFormat="1" hidden="1" outlineLevel="2" x14ac:dyDescent="0.25">
      <c r="A61" s="28"/>
      <c r="B61" s="11" t="str">
        <f>CONCATENATE("          ", "6237", " - ", "JANITORIAL SUPPLIES")</f>
        <v xml:space="preserve">          6237 - JANITORIAL SUPPLIES</v>
      </c>
      <c r="C61" s="11"/>
      <c r="D61" s="6"/>
      <c r="E61" s="2"/>
      <c r="F61" s="7">
        <f t="shared" si="44"/>
        <v>0</v>
      </c>
      <c r="G61" s="2"/>
      <c r="H61" s="6">
        <v>112.98</v>
      </c>
      <c r="I61" s="2"/>
      <c r="J61" s="7">
        <f t="shared" si="45"/>
        <v>1.5455588984753304E-3</v>
      </c>
      <c r="K61" s="2"/>
      <c r="L61" s="6">
        <f t="shared" si="46"/>
        <v>-112.98</v>
      </c>
      <c r="M61" s="2"/>
      <c r="N61" s="7">
        <f t="shared" si="47"/>
        <v>-1</v>
      </c>
      <c r="O61" s="11"/>
      <c r="P61" s="6"/>
      <c r="Q61" s="2"/>
      <c r="R61" s="7">
        <f t="shared" si="48"/>
        <v>0</v>
      </c>
      <c r="S61" s="2"/>
      <c r="T61" s="6">
        <v>435.85</v>
      </c>
      <c r="U61" s="2"/>
      <c r="V61" s="7">
        <f t="shared" si="49"/>
        <v>1.7193141283755864E-3</v>
      </c>
      <c r="W61" s="2"/>
      <c r="X61" s="6">
        <f t="shared" si="50"/>
        <v>-435.85</v>
      </c>
      <c r="Y61" s="2"/>
      <c r="Z61" s="7">
        <f t="shared" si="51"/>
        <v>-1</v>
      </c>
    </row>
    <row r="62" spans="1:26" s="24" customFormat="1" hidden="1" outlineLevel="2" x14ac:dyDescent="0.25">
      <c r="A62" s="28"/>
      <c r="B62" s="11" t="str">
        <f>CONCATENATE("          ", "6239", " - ", "KITCHEN SUPPLIES")</f>
        <v xml:space="preserve">          6239 - KITCHEN SUPPLIES</v>
      </c>
      <c r="C62" s="11"/>
      <c r="D62" s="6">
        <v>2948.61</v>
      </c>
      <c r="E62" s="2"/>
      <c r="F62" s="7">
        <f t="shared" si="44"/>
        <v>3.5614943924710998E-2</v>
      </c>
      <c r="G62" s="2"/>
      <c r="H62" s="6">
        <v>222.85</v>
      </c>
      <c r="I62" s="2"/>
      <c r="J62" s="7">
        <f t="shared" si="45"/>
        <v>3.0485732034450995E-3</v>
      </c>
      <c r="K62" s="2"/>
      <c r="L62" s="6">
        <f t="shared" si="46"/>
        <v>2725.76</v>
      </c>
      <c r="M62" s="2"/>
      <c r="N62" s="7">
        <f t="shared" si="47"/>
        <v>12.231366389948397</v>
      </c>
      <c r="O62" s="11"/>
      <c r="P62" s="6">
        <v>3065.15</v>
      </c>
      <c r="Q62" s="2"/>
      <c r="R62" s="7">
        <f t="shared" si="48"/>
        <v>1.5680581167054935E-2</v>
      </c>
      <c r="S62" s="2"/>
      <c r="T62" s="6">
        <v>405.54</v>
      </c>
      <c r="U62" s="2"/>
      <c r="V62" s="7">
        <f t="shared" si="49"/>
        <v>1.5997491146528286E-3</v>
      </c>
      <c r="W62" s="2"/>
      <c r="X62" s="6">
        <f t="shared" si="50"/>
        <v>2659.61</v>
      </c>
      <c r="Y62" s="2"/>
      <c r="Z62" s="7">
        <f t="shared" si="51"/>
        <v>6.5581940129210432</v>
      </c>
    </row>
    <row r="63" spans="1:26" s="24" customFormat="1" hidden="1" outlineLevel="2" x14ac:dyDescent="0.25">
      <c r="A63" s="28"/>
      <c r="B63" s="11" t="str">
        <f>CONCATENATE("          ", "6241", " - ", "OFFICE EXPENSE")</f>
        <v xml:space="preserve">          6241 - OFFICE EXPENSE</v>
      </c>
      <c r="C63" s="11"/>
      <c r="D63" s="6">
        <v>90.68</v>
      </c>
      <c r="E63" s="2"/>
      <c r="F63" s="7">
        <f t="shared" si="44"/>
        <v>1.095283240270091E-3</v>
      </c>
      <c r="G63" s="2"/>
      <c r="H63" s="6">
        <v>60.63</v>
      </c>
      <c r="I63" s="2"/>
      <c r="J63" s="7">
        <f t="shared" si="45"/>
        <v>8.2941437435439264E-4</v>
      </c>
      <c r="K63" s="2"/>
      <c r="L63" s="6">
        <f t="shared" si="46"/>
        <v>30.050000000000004</v>
      </c>
      <c r="M63" s="2"/>
      <c r="N63" s="7">
        <f t="shared" si="47"/>
        <v>0.49562922645555013</v>
      </c>
      <c r="O63" s="11"/>
      <c r="P63" s="6">
        <v>208.41</v>
      </c>
      <c r="Q63" s="2"/>
      <c r="R63" s="7">
        <f t="shared" si="48"/>
        <v>1.0661761809457673E-3</v>
      </c>
      <c r="S63" s="2"/>
      <c r="T63" s="6">
        <v>985.37</v>
      </c>
      <c r="U63" s="2"/>
      <c r="V63" s="7">
        <f t="shared" si="49"/>
        <v>3.8870266437477379E-3</v>
      </c>
      <c r="W63" s="2"/>
      <c r="X63" s="6">
        <f t="shared" si="50"/>
        <v>-776.96</v>
      </c>
      <c r="Y63" s="2"/>
      <c r="Z63" s="7">
        <f t="shared" si="51"/>
        <v>-0.78849569197357339</v>
      </c>
    </row>
    <row r="64" spans="1:26" s="24" customFormat="1" hidden="1" outlineLevel="2" x14ac:dyDescent="0.25">
      <c r="A64" s="28"/>
      <c r="B64" s="11" t="str">
        <f>CONCATENATE("          ", "6243", " - ", "PAPER SUPPLIES")</f>
        <v xml:space="preserve">          6243 - PAPER SUPPLIES</v>
      </c>
      <c r="C64" s="11"/>
      <c r="D64" s="6">
        <v>422.57</v>
      </c>
      <c r="E64" s="2"/>
      <c r="F64" s="7">
        <f t="shared" si="44"/>
        <v>5.1040343939229415E-3</v>
      </c>
      <c r="G64" s="2"/>
      <c r="H64" s="6">
        <v>615.02</v>
      </c>
      <c r="I64" s="2"/>
      <c r="J64" s="7">
        <f t="shared" si="45"/>
        <v>8.4134327645627328E-3</v>
      </c>
      <c r="K64" s="2"/>
      <c r="L64" s="6">
        <f t="shared" si="46"/>
        <v>-192.45</v>
      </c>
      <c r="M64" s="2"/>
      <c r="N64" s="7">
        <f t="shared" si="47"/>
        <v>-0.31291665311697181</v>
      </c>
      <c r="O64" s="11"/>
      <c r="P64" s="6">
        <v>1811.19</v>
      </c>
      <c r="Q64" s="2"/>
      <c r="R64" s="7">
        <f t="shared" si="48"/>
        <v>9.2656189106432741E-3</v>
      </c>
      <c r="S64" s="2"/>
      <c r="T64" s="6">
        <v>1886.54</v>
      </c>
      <c r="U64" s="2"/>
      <c r="V64" s="7">
        <f t="shared" si="49"/>
        <v>7.4419063341646871E-3</v>
      </c>
      <c r="W64" s="2"/>
      <c r="X64" s="6">
        <f t="shared" si="50"/>
        <v>-75.349999999999909</v>
      </c>
      <c r="Y64" s="2"/>
      <c r="Z64" s="7">
        <f t="shared" si="51"/>
        <v>-3.9940844084938518E-2</v>
      </c>
    </row>
    <row r="65" spans="1:26" s="24" customFormat="1" hidden="1" outlineLevel="2" x14ac:dyDescent="0.25">
      <c r="A65" s="28"/>
      <c r="B65" s="11" t="str">
        <f>CONCATENATE("          ", "6247", " - ", "STORE SUPPLIES")</f>
        <v xml:space="preserve">          6247 - STORE SUPPLIES</v>
      </c>
      <c r="C65" s="11"/>
      <c r="D65" s="6"/>
      <c r="E65" s="2"/>
      <c r="F65" s="7">
        <f t="shared" si="44"/>
        <v>0</v>
      </c>
      <c r="G65" s="2"/>
      <c r="H65" s="6">
        <v>525.03</v>
      </c>
      <c r="I65" s="2"/>
      <c r="J65" s="7">
        <f t="shared" si="45"/>
        <v>7.1823755396220801E-3</v>
      </c>
      <c r="K65" s="2"/>
      <c r="L65" s="6">
        <f t="shared" si="46"/>
        <v>-525.03</v>
      </c>
      <c r="M65" s="2"/>
      <c r="N65" s="7">
        <f t="shared" si="47"/>
        <v>-1</v>
      </c>
      <c r="O65" s="11"/>
      <c r="P65" s="6">
        <v>366.09</v>
      </c>
      <c r="Q65" s="2"/>
      <c r="R65" s="7">
        <f t="shared" si="48"/>
        <v>1.8728297014655533E-3</v>
      </c>
      <c r="S65" s="2"/>
      <c r="T65" s="6">
        <v>708.11</v>
      </c>
      <c r="U65" s="2"/>
      <c r="V65" s="7">
        <f t="shared" si="49"/>
        <v>2.7933085406539786E-3</v>
      </c>
      <c r="W65" s="2"/>
      <c r="X65" s="6">
        <f t="shared" si="50"/>
        <v>-342.02000000000004</v>
      </c>
      <c r="Y65" s="2"/>
      <c r="Z65" s="7">
        <f t="shared" si="51"/>
        <v>-0.48300405304260641</v>
      </c>
    </row>
    <row r="66" spans="1:26" s="24" customFormat="1" hidden="1" outlineLevel="2" x14ac:dyDescent="0.25">
      <c r="A66" s="28"/>
      <c r="B66" s="11" t="str">
        <f>CONCATENATE("          ", "6248", " - ", "UNIFORMS")</f>
        <v xml:space="preserve">          6248 - UNIFORMS</v>
      </c>
      <c r="C66" s="11"/>
      <c r="D66" s="6">
        <v>214.91</v>
      </c>
      <c r="E66" s="2"/>
      <c r="F66" s="7">
        <f t="shared" si="44"/>
        <v>2.5958019537543589E-3</v>
      </c>
      <c r="G66" s="2"/>
      <c r="H66" s="6">
        <v>205.07</v>
      </c>
      <c r="I66" s="2"/>
      <c r="J66" s="7">
        <f t="shared" si="45"/>
        <v>2.805343983982439E-3</v>
      </c>
      <c r="K66" s="2"/>
      <c r="L66" s="6">
        <f t="shared" si="46"/>
        <v>9.8400000000000034</v>
      </c>
      <c r="M66" s="2"/>
      <c r="N66" s="7">
        <f t="shared" si="47"/>
        <v>4.7983615350855824E-2</v>
      </c>
      <c r="O66" s="11"/>
      <c r="P66" s="6">
        <v>435.62</v>
      </c>
      <c r="Q66" s="2"/>
      <c r="R66" s="7">
        <f t="shared" si="48"/>
        <v>2.228528707564873E-3</v>
      </c>
      <c r="S66" s="2"/>
      <c r="T66" s="6">
        <v>591.41999999999996</v>
      </c>
      <c r="U66" s="2"/>
      <c r="V66" s="7">
        <f t="shared" si="49"/>
        <v>2.332997044404931E-3</v>
      </c>
      <c r="W66" s="2"/>
      <c r="X66" s="6">
        <f t="shared" si="50"/>
        <v>-155.79999999999995</v>
      </c>
      <c r="Y66" s="2"/>
      <c r="Z66" s="7">
        <f t="shared" si="51"/>
        <v>-0.26343376957153963</v>
      </c>
    </row>
    <row r="67" spans="1:26" s="29" customFormat="1" outlineLevel="1" collapsed="1" x14ac:dyDescent="0.25">
      <c r="A67" s="27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349.2</v>
      </c>
      <c r="E67" s="1"/>
      <c r="F67" s="5">
        <f t="shared" ref="F67:F70" si="52">IF(D$12=0,0,D67/D$12)</f>
        <v>4.2178309164348895E-3</v>
      </c>
      <c r="G67" s="1"/>
      <c r="H67" s="1">
        <f>SUM(OSRRefH22_12x_0)</f>
        <v>353.59</v>
      </c>
      <c r="I67" s="1"/>
      <c r="J67" s="5">
        <f t="shared" ref="J67:J70" si="53">IF(H$12=0,0,H67/H$12)</f>
        <v>4.8370877227110285E-3</v>
      </c>
      <c r="K67" s="1"/>
      <c r="L67" s="1">
        <f t="shared" ref="L67:L70" si="54">+D67-H67</f>
        <v>-4.3899999999999864</v>
      </c>
      <c r="M67" s="1"/>
      <c r="N67" s="5">
        <f t="shared" ref="N67:N70" si="55">IF(H67=0,0,L67/H67)</f>
        <v>-1.241550948839047E-2</v>
      </c>
      <c r="O67" s="14"/>
      <c r="P67" s="1">
        <f>SUM(OSRRefP22_12x_0)</f>
        <v>571.75</v>
      </c>
      <c r="Q67" s="1"/>
      <c r="R67" s="5">
        <f t="shared" ref="R67:R70" si="56">IF(P$12=0,0,P67/P$12)</f>
        <v>2.9249375339750615E-3</v>
      </c>
      <c r="S67" s="1"/>
      <c r="T67" s="1">
        <f>SUM(OSRRefT22_12x_0)</f>
        <v>674.91</v>
      </c>
      <c r="U67" s="1"/>
      <c r="V67" s="5">
        <f t="shared" ref="V67:V70" si="57">IF(T$12=0,0,T67/T$12)</f>
        <v>2.6623432336399379E-3</v>
      </c>
      <c r="W67" s="1"/>
      <c r="X67" s="1">
        <f t="shared" ref="X67:X70" si="58">+P67-T67</f>
        <v>-103.15999999999997</v>
      </c>
      <c r="Y67" s="1"/>
      <c r="Z67" s="5">
        <f t="shared" ref="Z67:Z70" si="59">IF(T67=0,0,X67/T67)</f>
        <v>-0.15285000963091372</v>
      </c>
    </row>
    <row r="68" spans="1:26" s="24" customFormat="1" hidden="1" outlineLevel="2" x14ac:dyDescent="0.25">
      <c r="A68" s="28"/>
      <c r="B68" s="11" t="str">
        <f>CONCATENATE("          ", "6309", " - ", "TELEPHONE")</f>
        <v xml:space="preserve">          6309 - TELEPHONE</v>
      </c>
      <c r="C68" s="11"/>
      <c r="D68" s="6">
        <v>349.2</v>
      </c>
      <c r="E68" s="2"/>
      <c r="F68" s="7">
        <f t="shared" si="52"/>
        <v>4.2178309164348895E-3</v>
      </c>
      <c r="G68" s="2"/>
      <c r="H68" s="6">
        <v>353.59</v>
      </c>
      <c r="I68" s="2"/>
      <c r="J68" s="7">
        <f t="shared" si="53"/>
        <v>4.8370877227110285E-3</v>
      </c>
      <c r="K68" s="2"/>
      <c r="L68" s="6">
        <f t="shared" si="54"/>
        <v>-4.3899999999999864</v>
      </c>
      <c r="M68" s="2"/>
      <c r="N68" s="7">
        <f t="shared" si="55"/>
        <v>-1.241550948839047E-2</v>
      </c>
      <c r="O68" s="11"/>
      <c r="P68" s="6">
        <v>571.75</v>
      </c>
      <c r="Q68" s="2"/>
      <c r="R68" s="7">
        <f t="shared" si="56"/>
        <v>2.9249375339750615E-3</v>
      </c>
      <c r="S68" s="2"/>
      <c r="T68" s="6">
        <v>674.91</v>
      </c>
      <c r="U68" s="2"/>
      <c r="V68" s="7">
        <f t="shared" si="57"/>
        <v>2.6623432336399379E-3</v>
      </c>
      <c r="W68" s="2"/>
      <c r="X68" s="6">
        <f t="shared" si="58"/>
        <v>-103.15999999999997</v>
      </c>
      <c r="Y68" s="2"/>
      <c r="Z68" s="7">
        <f t="shared" si="59"/>
        <v>-0.15285000963091372</v>
      </c>
    </row>
    <row r="69" spans="1:26" s="29" customFormat="1" outlineLevel="1" collapsed="1" x14ac:dyDescent="0.25">
      <c r="A69" s="27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52"/>
        <v>0</v>
      </c>
      <c r="G69" s="1"/>
      <c r="H69" s="1">
        <f>SUM(OSRRefH22_13x_0)</f>
        <v>0</v>
      </c>
      <c r="I69" s="1"/>
      <c r="J69" s="5">
        <f t="shared" si="53"/>
        <v>0</v>
      </c>
      <c r="K69" s="1"/>
      <c r="L69" s="1">
        <f t="shared" si="54"/>
        <v>0</v>
      </c>
      <c r="M69" s="1"/>
      <c r="N69" s="5">
        <f t="shared" si="55"/>
        <v>0</v>
      </c>
      <c r="O69" s="14"/>
      <c r="P69" s="1">
        <f>SUM(OSRRefP22_13x_0)</f>
        <v>175</v>
      </c>
      <c r="Q69" s="1"/>
      <c r="R69" s="5">
        <f t="shared" si="56"/>
        <v>8.952585368528828E-4</v>
      </c>
      <c r="S69" s="1"/>
      <c r="T69" s="1">
        <f>SUM(OSRRefT22_13x_0)</f>
        <v>50</v>
      </c>
      <c r="U69" s="1"/>
      <c r="V69" s="5">
        <f t="shared" si="57"/>
        <v>1.9723690815367517E-4</v>
      </c>
      <c r="W69" s="1"/>
      <c r="X69" s="1">
        <f t="shared" si="58"/>
        <v>125</v>
      </c>
      <c r="Y69" s="1"/>
      <c r="Z69" s="5">
        <f t="shared" si="59"/>
        <v>2.5</v>
      </c>
    </row>
    <row r="70" spans="1:26" s="24" customFormat="1" hidden="1" outlineLevel="2" x14ac:dyDescent="0.25">
      <c r="A70" s="28"/>
      <c r="B70" s="11" t="str">
        <f>CONCATENATE("          ", "6376", " - ", "TRAINING")</f>
        <v xml:space="preserve">          6376 - TRAINING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175</v>
      </c>
      <c r="Q70" s="2"/>
      <c r="R70" s="7">
        <f t="shared" si="56"/>
        <v>8.952585368528828E-4</v>
      </c>
      <c r="S70" s="2"/>
      <c r="T70" s="6">
        <v>50</v>
      </c>
      <c r="U70" s="2"/>
      <c r="V70" s="7">
        <f t="shared" si="57"/>
        <v>1.9723690815367517E-4</v>
      </c>
      <c r="W70" s="2"/>
      <c r="X70" s="6">
        <f t="shared" si="58"/>
        <v>125</v>
      </c>
      <c r="Y70" s="2"/>
      <c r="Z70" s="7">
        <f t="shared" si="59"/>
        <v>2.5</v>
      </c>
    </row>
    <row r="71" spans="1:26" s="53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5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6" t="s">
        <v>3</v>
      </c>
      <c r="C74" s="26"/>
      <c r="D74" s="21">
        <f>+D19-D21+D72</f>
        <v>1582.1999999999971</v>
      </c>
      <c r="E74" s="13"/>
      <c r="F74" s="20">
        <f>IF(D$12=0,0,D74/D$12)</f>
        <v>1.911068750281578E-2</v>
      </c>
      <c r="G74" s="13"/>
      <c r="H74" s="21">
        <f>+H19-H21+H72</f>
        <v>1766.1600000000108</v>
      </c>
      <c r="I74" s="13"/>
      <c r="J74" s="20">
        <f>IF(H$12=0,0,H74/H$12)</f>
        <v>2.416095153240579E-2</v>
      </c>
      <c r="K74" s="15"/>
      <c r="L74" s="21">
        <f>+D74-H74</f>
        <v>-183.96000000001368</v>
      </c>
      <c r="M74" s="15"/>
      <c r="N74" s="20">
        <f>IF(H74=0,0,L74/H74)</f>
        <v>-0.10415817366490723</v>
      </c>
      <c r="O74" s="25"/>
      <c r="P74" s="21">
        <f>+P19-P21+P72</f>
        <v>-31881.399999999994</v>
      </c>
      <c r="Q74" s="13"/>
      <c r="R74" s="20">
        <f>IF(P$12=0,0,P74/P$12)</f>
        <v>-0.16309768866755139</v>
      </c>
      <c r="S74" s="13"/>
      <c r="T74" s="21">
        <f>+T19-T21+T72</f>
        <v>2986.8899999999849</v>
      </c>
      <c r="U74" s="13"/>
      <c r="V74" s="20">
        <f>IF(T$12=0,0,T74/T$12)</f>
        <v>1.1782498971902557E-2</v>
      </c>
      <c r="W74" s="15"/>
      <c r="X74" s="21">
        <f>+P74-T74</f>
        <v>-34868.289999999979</v>
      </c>
      <c r="Y74" s="15"/>
      <c r="Z74" s="20">
        <f>IF(T74=0,0,X74/T74)</f>
        <v>-11.673777742066214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1"/>
      <c r="B76" s="10" t="s">
        <v>13</v>
      </c>
      <c r="C76" s="10"/>
      <c r="D76" s="4">
        <v>6947.03</v>
      </c>
      <c r="E76" s="4"/>
      <c r="F76" s="12">
        <f>IF(D$12=0,0,D76/D$12)</f>
        <v>8.3910074202178317E-2</v>
      </c>
      <c r="G76" s="4"/>
      <c r="H76" s="4">
        <v>4104.7</v>
      </c>
      <c r="I76" s="4"/>
      <c r="J76" s="12">
        <f>IF(H$12=0,0,H76/H$12)</f>
        <v>5.6152023460538929E-2</v>
      </c>
      <c r="K76" s="4"/>
      <c r="L76" s="4">
        <f>+D76-H76</f>
        <v>2842.33</v>
      </c>
      <c r="M76" s="4"/>
      <c r="N76" s="12">
        <f>IF(H76=0,0,L76/H76)</f>
        <v>0.69245742685214506</v>
      </c>
      <c r="O76" s="10"/>
      <c r="P76" s="4">
        <v>20996.53</v>
      </c>
      <c r="Q76" s="4"/>
      <c r="R76" s="12">
        <f>IF(P$12=0,0,P76/P$12)</f>
        <v>0.10741327272450091</v>
      </c>
      <c r="S76" s="4"/>
      <c r="T76" s="4">
        <v>22522.94</v>
      </c>
      <c r="U76" s="4"/>
      <c r="V76" s="12">
        <f>IF(T$12=0,0,T76/T$12)</f>
        <v>8.8847100962614722E-2</v>
      </c>
      <c r="W76" s="4"/>
      <c r="X76" s="4">
        <f>+P76-T76</f>
        <v>-1526.4099999999999</v>
      </c>
      <c r="Y76" s="4"/>
      <c r="Z76" s="12">
        <f>IF(T76=0,0,X76/T76)</f>
        <v>-6.7771347790297351E-2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4</v>
      </c>
      <c r="C78" s="26"/>
      <c r="D78" s="35">
        <f>+D74-D76</f>
        <v>-5364.8300000000027</v>
      </c>
      <c r="E78" s="13"/>
      <c r="F78" s="30">
        <f>IF(D$12=0,0,D78/D$12)</f>
        <v>-6.4799386699362541E-2</v>
      </c>
      <c r="G78" s="13"/>
      <c r="H78" s="35">
        <f>+H74-H76</f>
        <v>-2338.539999999989</v>
      </c>
      <c r="I78" s="13"/>
      <c r="J78" s="30">
        <f>IF(H$12=0,0,H78/H$12)</f>
        <v>-3.1991071928133136E-2</v>
      </c>
      <c r="K78" s="15"/>
      <c r="L78" s="35">
        <f>D78-H78</f>
        <v>-3026.2900000000136</v>
      </c>
      <c r="M78" s="15"/>
      <c r="N78" s="30">
        <f>IF(H78=0,0,L78/H78)</f>
        <v>1.2940937508017942</v>
      </c>
      <c r="O78" s="25"/>
      <c r="P78" s="35">
        <f>+P74-P76</f>
        <v>-52877.929999999993</v>
      </c>
      <c r="Q78" s="13"/>
      <c r="R78" s="30">
        <f>IF(P$12=0,0,P78/P$12)</f>
        <v>-0.27051096139205227</v>
      </c>
      <c r="S78" s="13"/>
      <c r="T78" s="35">
        <f>+T74-T76</f>
        <v>-19536.050000000014</v>
      </c>
      <c r="U78" s="13"/>
      <c r="V78" s="30">
        <f>IF(T$12=0,0,T78/T$12)</f>
        <v>-7.7064601990712175E-2</v>
      </c>
      <c r="W78" s="15"/>
      <c r="X78" s="35">
        <f>P78-T78</f>
        <v>-33341.879999999976</v>
      </c>
      <c r="Y78" s="15"/>
      <c r="Z78" s="30">
        <f>IF(T78=0,0,X78/T78)</f>
        <v>1.7066848211383545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6" t="s">
        <v>5</v>
      </c>
      <c r="C81" s="26"/>
      <c r="D81" s="36">
        <f>SUM(D78:D80)</f>
        <v>-5364.8300000000027</v>
      </c>
      <c r="E81" s="13"/>
      <c r="F81" s="31">
        <f>IF(D$12=0,0,D81/D$12)</f>
        <v>-6.4799386699362541E-2</v>
      </c>
      <c r="G81" s="13"/>
      <c r="H81" s="36">
        <f>SUM(H78:H80)</f>
        <v>-2338.539999999989</v>
      </c>
      <c r="I81" s="13"/>
      <c r="J81" s="31">
        <f>IF(H$12=0,0,H81/H$12)</f>
        <v>-3.1991071928133136E-2</v>
      </c>
      <c r="K81" s="15"/>
      <c r="L81" s="36">
        <f>+D81-H81</f>
        <v>-3026.2900000000136</v>
      </c>
      <c r="M81" s="15"/>
      <c r="N81" s="31">
        <f>IF(H81=0,0,L81/H81)</f>
        <v>1.2940937508017942</v>
      </c>
      <c r="O81" s="25"/>
      <c r="P81" s="36">
        <f>SUM(P78:P80)</f>
        <v>-52877.929999999993</v>
      </c>
      <c r="Q81" s="13"/>
      <c r="R81" s="31">
        <f>IF(P$12=0,0,P81/P$12)</f>
        <v>-0.27051096139205227</v>
      </c>
      <c r="S81" s="13"/>
      <c r="T81" s="36">
        <f>SUM(T78:T80)</f>
        <v>-19536.050000000014</v>
      </c>
      <c r="U81" s="13"/>
      <c r="V81" s="31">
        <f>IF(T$12=0,0,T81/T$12)</f>
        <v>-7.7064601990712175E-2</v>
      </c>
      <c r="W81" s="15"/>
      <c r="X81" s="36">
        <f>+P81-T81</f>
        <v>-33341.879999999976</v>
      </c>
      <c r="Y81" s="15"/>
      <c r="Z81" s="31">
        <f>IF(T81=0,0,X81/T81)</f>
        <v>1.7066848211383545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6" x14ac:dyDescent="0.25">
      <c r="A83" s="9"/>
      <c r="B83" s="55">
        <v>43756.463336458335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56" t="s">
        <v>313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7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","413", " - ", "Beach Walk")</f>
        <v>Department 413 - Beach Walk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49395.78</v>
      </c>
      <c r="E12" s="4"/>
      <c r="F12" s="12"/>
      <c r="G12" s="4"/>
      <c r="H12" s="4">
        <f>SUM(OSRRefH13x_0)</f>
        <v>49310</v>
      </c>
      <c r="I12" s="4"/>
      <c r="J12" s="12"/>
      <c r="K12" s="4"/>
      <c r="L12" s="4">
        <f t="shared" ref="L12:L14" si="0">+D12-H12</f>
        <v>85.779999999998836</v>
      </c>
      <c r="M12" s="4"/>
      <c r="N12" s="12">
        <f t="shared" ref="N12:N14" si="1">IF(H12=0,0,L12/H12)</f>
        <v>1.7396065706752957E-3</v>
      </c>
      <c r="O12" s="10"/>
      <c r="P12" s="4">
        <f>SUM(OSRRefP13x_0)</f>
        <v>75397.78</v>
      </c>
      <c r="Q12" s="4"/>
      <c r="R12" s="12"/>
      <c r="S12" s="4"/>
      <c r="T12" s="4">
        <f>SUM(OSRRefT13x_0)</f>
        <v>80257.040000000008</v>
      </c>
      <c r="U12" s="4"/>
      <c r="V12" s="12"/>
      <c r="W12" s="4"/>
      <c r="X12" s="4">
        <f t="shared" ref="X12:X14" si="2">+P12-T12</f>
        <v>-4859.2600000000093</v>
      </c>
      <c r="Y12" s="4"/>
      <c r="Z12" s="12">
        <f t="shared" ref="Z12:Z14" si="3">IF(T12=0,0,X12/T12)</f>
        <v>-6.0546215011169226E-2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--12059.82</f>
        <v>12059.82</v>
      </c>
      <c r="E13" s="2"/>
      <c r="F13" s="19"/>
      <c r="G13" s="2"/>
      <c r="H13" s="2">
        <f>--13302.92</f>
        <v>13302.92</v>
      </c>
      <c r="I13" s="2"/>
      <c r="J13" s="19"/>
      <c r="K13" s="2"/>
      <c r="L13" s="2">
        <f t="shared" si="0"/>
        <v>-1243.1000000000004</v>
      </c>
      <c r="M13" s="2"/>
      <c r="N13" s="19">
        <f t="shared" si="1"/>
        <v>-9.3445649526570126E-2</v>
      </c>
      <c r="O13" s="11"/>
      <c r="P13" s="2">
        <f>--21073.06</f>
        <v>21073.06</v>
      </c>
      <c r="Q13" s="2"/>
      <c r="R13" s="19"/>
      <c r="S13" s="2"/>
      <c r="T13" s="2">
        <f>--25268.46</f>
        <v>25268.46</v>
      </c>
      <c r="U13" s="2"/>
      <c r="V13" s="19"/>
      <c r="W13" s="2"/>
      <c r="X13" s="2">
        <f t="shared" si="2"/>
        <v>-4195.3999999999978</v>
      </c>
      <c r="Y13" s="2"/>
      <c r="Z13" s="19">
        <f t="shared" si="3"/>
        <v>-0.16603307047600044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--37335.96</f>
        <v>37335.96</v>
      </c>
      <c r="E14" s="2"/>
      <c r="F14" s="19"/>
      <c r="G14" s="2"/>
      <c r="H14" s="2">
        <f>--36007.08</f>
        <v>36007.08</v>
      </c>
      <c r="I14" s="2"/>
      <c r="J14" s="19"/>
      <c r="K14" s="2"/>
      <c r="L14" s="2">
        <f t="shared" si="0"/>
        <v>1328.8799999999974</v>
      </c>
      <c r="M14" s="2"/>
      <c r="N14" s="19">
        <f t="shared" si="1"/>
        <v>3.690607513855601E-2</v>
      </c>
      <c r="O14" s="11"/>
      <c r="P14" s="2">
        <f>--54324.72</f>
        <v>54324.72</v>
      </c>
      <c r="Q14" s="2"/>
      <c r="R14" s="19"/>
      <c r="S14" s="2"/>
      <c r="T14" s="2">
        <f>--54988.58</f>
        <v>54988.58</v>
      </c>
      <c r="U14" s="2"/>
      <c r="V14" s="19"/>
      <c r="W14" s="2"/>
      <c r="X14" s="2">
        <f t="shared" si="2"/>
        <v>-663.86000000000058</v>
      </c>
      <c r="Y14" s="2"/>
      <c r="Z14" s="19">
        <f t="shared" si="3"/>
        <v>-1.2072688547331111E-2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8</v>
      </c>
      <c r="C16" s="10"/>
      <c r="D16" s="4">
        <f>SUM(OSRRefD16x_0)</f>
        <v>12352.300000000001</v>
      </c>
      <c r="E16" s="4"/>
      <c r="F16" s="12">
        <f t="shared" ref="F16:F18" si="4">IF(D$12=0,0,D16/D$12)</f>
        <v>0.25006792078189677</v>
      </c>
      <c r="G16" s="4"/>
      <c r="H16" s="4">
        <f>SUM(OSRRefH16x_0)</f>
        <v>14792.62</v>
      </c>
      <c r="I16" s="4"/>
      <c r="J16" s="12">
        <f t="shared" ref="J16:J18" si="5">IF(H$12=0,0,H16/H$12)</f>
        <v>0.29999229365240315</v>
      </c>
      <c r="K16" s="4"/>
      <c r="L16" s="4">
        <f t="shared" ref="L16:L18" si="6">+D16-H16</f>
        <v>-2440.3199999999997</v>
      </c>
      <c r="M16" s="4"/>
      <c r="N16" s="12">
        <f t="shared" ref="N16:N18" si="7">IF(H16=0,0,L16/H16)</f>
        <v>-0.16496874792971086</v>
      </c>
      <c r="O16" s="10"/>
      <c r="P16" s="4">
        <f>SUM(OSRRefP16x_0)</f>
        <v>22285.01</v>
      </c>
      <c r="Q16" s="4"/>
      <c r="R16" s="12">
        <f t="shared" ref="R16:R18" si="8">IF(P$12=0,0,P16/P$12)</f>
        <v>0.29556586414082747</v>
      </c>
      <c r="S16" s="4"/>
      <c r="T16" s="4">
        <f>SUM(OSRRefT16x_0)</f>
        <v>23986.679999999997</v>
      </c>
      <c r="U16" s="4"/>
      <c r="V16" s="12">
        <f t="shared" ref="V16:V18" si="9">IF(T$12=0,0,T16/T$12)</f>
        <v>0.29887322034303776</v>
      </c>
      <c r="W16" s="4"/>
      <c r="X16" s="4">
        <f t="shared" ref="X16:X18" si="10">+P16-T16</f>
        <v>-1701.6699999999983</v>
      </c>
      <c r="Y16" s="4"/>
      <c r="Z16" s="12">
        <f t="shared" ref="Z16:Z18" si="11">IF(T16=0,0,X16/T16)</f>
        <v>-7.0942289637415376E-2</v>
      </c>
    </row>
    <row r="17" spans="1:26" s="24" customFormat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14797.070000000002</v>
      </c>
      <c r="E17" s="2"/>
      <c r="F17" s="19">
        <f t="shared" si="4"/>
        <v>0.29956142002413977</v>
      </c>
      <c r="G17" s="2"/>
      <c r="H17" s="2">
        <v>16961.7</v>
      </c>
      <c r="I17" s="2"/>
      <c r="J17" s="19">
        <f t="shared" si="5"/>
        <v>0.34398093692962889</v>
      </c>
      <c r="K17" s="2"/>
      <c r="L17" s="2">
        <f t="shared" si="6"/>
        <v>-2164.6299999999992</v>
      </c>
      <c r="M17" s="2"/>
      <c r="N17" s="19">
        <f t="shared" si="7"/>
        <v>-0.1276186938809199</v>
      </c>
      <c r="O17" s="11"/>
      <c r="P17" s="2">
        <v>26000.12</v>
      </c>
      <c r="Q17" s="2"/>
      <c r="R17" s="19">
        <f t="shared" si="8"/>
        <v>0.3448393308131884</v>
      </c>
      <c r="S17" s="2"/>
      <c r="T17" s="2">
        <v>30271.609999999997</v>
      </c>
      <c r="U17" s="2"/>
      <c r="V17" s="19">
        <f t="shared" si="9"/>
        <v>0.37718323526509318</v>
      </c>
      <c r="W17" s="2"/>
      <c r="X17" s="2">
        <f t="shared" si="10"/>
        <v>-4271.489999999998</v>
      </c>
      <c r="Y17" s="2"/>
      <c r="Z17" s="19">
        <f t="shared" si="11"/>
        <v>-0.14110547803701218</v>
      </c>
    </row>
    <row r="18" spans="1:26" s="24" customFormat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-2444.77</v>
      </c>
      <c r="E18" s="2"/>
      <c r="F18" s="19">
        <f t="shared" si="4"/>
        <v>-4.9493499242242965E-2</v>
      </c>
      <c r="G18" s="2"/>
      <c r="H18" s="2">
        <v>-2169.08</v>
      </c>
      <c r="I18" s="2"/>
      <c r="J18" s="19">
        <f t="shared" si="5"/>
        <v>-4.3988643277225715E-2</v>
      </c>
      <c r="K18" s="2"/>
      <c r="L18" s="2">
        <f t="shared" si="6"/>
        <v>-275.69000000000005</v>
      </c>
      <c r="M18" s="2"/>
      <c r="N18" s="19">
        <f t="shared" si="7"/>
        <v>0.12709996865030337</v>
      </c>
      <c r="O18" s="11"/>
      <c r="P18" s="2">
        <v>-3715.11</v>
      </c>
      <c r="Q18" s="2"/>
      <c r="R18" s="19">
        <f t="shared" si="8"/>
        <v>-4.9273466672360912E-2</v>
      </c>
      <c r="S18" s="2"/>
      <c r="T18" s="2">
        <v>-6284.93</v>
      </c>
      <c r="U18" s="2"/>
      <c r="V18" s="19">
        <f t="shared" si="9"/>
        <v>-7.8310014922055429E-2</v>
      </c>
      <c r="W18" s="2"/>
      <c r="X18" s="2">
        <f t="shared" si="10"/>
        <v>2569.8200000000002</v>
      </c>
      <c r="Y18" s="2"/>
      <c r="Z18" s="19">
        <f t="shared" si="11"/>
        <v>-0.40888601782358752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1">
        <f>D12-D16</f>
        <v>37043.479999999996</v>
      </c>
      <c r="E20" s="13"/>
      <c r="F20" s="20">
        <f>IF(D$12=0,0,D20/D$12)</f>
        <v>0.74993207921810323</v>
      </c>
      <c r="G20" s="13"/>
      <c r="H20" s="21">
        <f>H12-H16</f>
        <v>34517.379999999997</v>
      </c>
      <c r="I20" s="13"/>
      <c r="J20" s="20">
        <f>IF(H$12=0,0,H20/H$12)</f>
        <v>0.70000770634759679</v>
      </c>
      <c r="K20" s="15"/>
      <c r="L20" s="21">
        <f>+D20-H20</f>
        <v>2526.0999999999985</v>
      </c>
      <c r="M20" s="15"/>
      <c r="N20" s="20">
        <f>IF(H20=0,0,L20/H20)</f>
        <v>7.3183422380261737E-2</v>
      </c>
      <c r="O20" s="25"/>
      <c r="P20" s="21">
        <f>P12-P16</f>
        <v>53112.770000000004</v>
      </c>
      <c r="Q20" s="13"/>
      <c r="R20" s="20">
        <f>IF(P$12=0,0,P20/P$12)</f>
        <v>0.70443413585917258</v>
      </c>
      <c r="S20" s="13"/>
      <c r="T20" s="21">
        <f>T12-T16</f>
        <v>56270.360000000015</v>
      </c>
      <c r="U20" s="13"/>
      <c r="V20" s="20">
        <f>IF(T$12=0,0,T20/T$12)</f>
        <v>0.70112677965696235</v>
      </c>
      <c r="W20" s="15"/>
      <c r="X20" s="21">
        <f>+P20-T20</f>
        <v>-3157.5900000000111</v>
      </c>
      <c r="Y20" s="15"/>
      <c r="Z20" s="20">
        <f>IF(T20=0,0,X20/T20)</f>
        <v>-5.6114622334031812E-2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24676.789999999994</v>
      </c>
      <c r="E22" s="22"/>
      <c r="F22" s="34">
        <f t="shared" ref="F22:F31" si="12">IF(D$12=0,0,D22/D$12)</f>
        <v>0.49957283800357022</v>
      </c>
      <c r="G22" s="22"/>
      <c r="H22" s="22">
        <f>SUM(OSRRefH22x_0)</f>
        <v>21659.77</v>
      </c>
      <c r="I22" s="22"/>
      <c r="J22" s="34">
        <f t="shared" ref="J22:J31" si="13">IF(H$12=0,0,H22/H$12)</f>
        <v>0.43925714865138921</v>
      </c>
      <c r="K22" s="4"/>
      <c r="L22" s="22">
        <f t="shared" ref="L22:L31" si="14">+D22-H22</f>
        <v>3017.0199999999932</v>
      </c>
      <c r="M22" s="4"/>
      <c r="N22" s="34">
        <f t="shared" ref="N22:N31" si="15">IF(H22=0,0,L22/H22)</f>
        <v>0.13929141445176901</v>
      </c>
      <c r="O22" s="10"/>
      <c r="P22" s="22">
        <f>SUM(OSRRefP22x_0)</f>
        <v>59574.099999999991</v>
      </c>
      <c r="Q22" s="22"/>
      <c r="R22" s="34">
        <f t="shared" ref="R22:R31" si="16">IF(P$12=0,0,P22/P$12)</f>
        <v>0.7901306908505793</v>
      </c>
      <c r="S22" s="22"/>
      <c r="T22" s="22">
        <f>SUM(OSRRefT22x_0)</f>
        <v>51004.05999999999</v>
      </c>
      <c r="U22" s="22"/>
      <c r="V22" s="34">
        <f t="shared" ref="V22:V31" si="17">IF(T$12=0,0,T22/T$12)</f>
        <v>0.63550886003271467</v>
      </c>
      <c r="W22" s="4"/>
      <c r="X22" s="22">
        <f t="shared" ref="X22:X31" si="18">+P22-T22</f>
        <v>8570.0400000000009</v>
      </c>
      <c r="Y22" s="4"/>
      <c r="Z22" s="34">
        <f t="shared" ref="Z22:Z31" si="19">IF(T22=0,0,X22/T22)</f>
        <v>0.16802662376289265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3621.58</v>
      </c>
      <c r="E23" s="1"/>
      <c r="F23" s="5">
        <f t="shared" si="12"/>
        <v>7.331759919572077E-2</v>
      </c>
      <c r="G23" s="1"/>
      <c r="H23" s="1">
        <f>SUM(OSRRefH22_0x_0)</f>
        <v>2938.7499999999995</v>
      </c>
      <c r="I23" s="1"/>
      <c r="J23" s="5">
        <f t="shared" si="13"/>
        <v>5.9597444737375778E-2</v>
      </c>
      <c r="K23" s="1"/>
      <c r="L23" s="1">
        <f t="shared" si="14"/>
        <v>682.83000000000038</v>
      </c>
      <c r="M23" s="1"/>
      <c r="N23" s="5">
        <f t="shared" si="15"/>
        <v>0.23235389196086789</v>
      </c>
      <c r="O23" s="14"/>
      <c r="P23" s="1">
        <f>SUM(OSRRefP22_0x_0)</f>
        <v>10360.57</v>
      </c>
      <c r="Q23" s="1"/>
      <c r="R23" s="5">
        <f t="shared" si="16"/>
        <v>0.13741213600718749</v>
      </c>
      <c r="S23" s="1"/>
      <c r="T23" s="1">
        <f>SUM(OSRRefT22_0x_0)</f>
        <v>8916.4399999999987</v>
      </c>
      <c r="U23" s="1"/>
      <c r="V23" s="5">
        <f t="shared" si="17"/>
        <v>0.11109854038972777</v>
      </c>
      <c r="W23" s="1"/>
      <c r="X23" s="1">
        <f t="shared" si="18"/>
        <v>1444.130000000001</v>
      </c>
      <c r="Y23" s="1"/>
      <c r="Z23" s="5">
        <f t="shared" si="19"/>
        <v>0.16196262185356503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>
        <v>720.41</v>
      </c>
      <c r="E24" s="2"/>
      <c r="F24" s="7">
        <f t="shared" si="12"/>
        <v>1.4584444258193717E-2</v>
      </c>
      <c r="G24" s="2"/>
      <c r="H24" s="6">
        <v>641.16999999999996</v>
      </c>
      <c r="I24" s="2"/>
      <c r="J24" s="7">
        <f t="shared" si="13"/>
        <v>1.300283918069357E-2</v>
      </c>
      <c r="K24" s="2"/>
      <c r="L24" s="6">
        <f t="shared" si="14"/>
        <v>79.240000000000009</v>
      </c>
      <c r="M24" s="2"/>
      <c r="N24" s="7">
        <f t="shared" si="15"/>
        <v>0.12358656830481778</v>
      </c>
      <c r="O24" s="11"/>
      <c r="P24" s="6">
        <v>1917.75</v>
      </c>
      <c r="Q24" s="2"/>
      <c r="R24" s="7">
        <f t="shared" si="16"/>
        <v>2.543509901750423E-2</v>
      </c>
      <c r="S24" s="2"/>
      <c r="T24" s="6">
        <v>1865.56</v>
      </c>
      <c r="U24" s="2"/>
      <c r="V24" s="7">
        <f t="shared" si="17"/>
        <v>2.3244814411296503E-2</v>
      </c>
      <c r="W24" s="2"/>
      <c r="X24" s="6">
        <f t="shared" si="18"/>
        <v>52.190000000000055</v>
      </c>
      <c r="Y24" s="2"/>
      <c r="Z24" s="7">
        <f t="shared" si="19"/>
        <v>2.7975514054761067E-2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>
        <v>608.98</v>
      </c>
      <c r="E25" s="2"/>
      <c r="F25" s="7">
        <f t="shared" si="12"/>
        <v>1.232858353486877E-2</v>
      </c>
      <c r="G25" s="2"/>
      <c r="H25" s="6"/>
      <c r="I25" s="2"/>
      <c r="J25" s="7">
        <f t="shared" si="13"/>
        <v>0</v>
      </c>
      <c r="K25" s="2"/>
      <c r="L25" s="6">
        <f t="shared" si="14"/>
        <v>608.98</v>
      </c>
      <c r="M25" s="2"/>
      <c r="N25" s="7">
        <f t="shared" si="15"/>
        <v>0</v>
      </c>
      <c r="O25" s="11"/>
      <c r="P25" s="6">
        <v>1239.76</v>
      </c>
      <c r="Q25" s="2"/>
      <c r="R25" s="7">
        <f t="shared" si="16"/>
        <v>1.6442924446847109E-2</v>
      </c>
      <c r="S25" s="2"/>
      <c r="T25" s="6">
        <v>627.15</v>
      </c>
      <c r="U25" s="2"/>
      <c r="V25" s="7">
        <f t="shared" si="17"/>
        <v>7.8142677576945267E-3</v>
      </c>
      <c r="W25" s="2"/>
      <c r="X25" s="6">
        <f t="shared" si="18"/>
        <v>612.61</v>
      </c>
      <c r="Y25" s="2"/>
      <c r="Z25" s="7">
        <f t="shared" si="19"/>
        <v>0.97681575380690433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>
        <v>1286.5999999999999</v>
      </c>
      <c r="E26" s="2"/>
      <c r="F26" s="7">
        <f t="shared" si="12"/>
        <v>2.6046759460018647E-2</v>
      </c>
      <c r="G26" s="2"/>
      <c r="H26" s="6">
        <v>1415.02</v>
      </c>
      <c r="I26" s="2"/>
      <c r="J26" s="7">
        <f t="shared" si="13"/>
        <v>2.8696410464408843E-2</v>
      </c>
      <c r="K26" s="2"/>
      <c r="L26" s="6">
        <f t="shared" si="14"/>
        <v>-128.42000000000007</v>
      </c>
      <c r="M26" s="2"/>
      <c r="N26" s="7">
        <f t="shared" si="15"/>
        <v>-9.0754900990798776E-2</v>
      </c>
      <c r="O26" s="11"/>
      <c r="P26" s="6">
        <v>3859.8</v>
      </c>
      <c r="Q26" s="2"/>
      <c r="R26" s="7">
        <f t="shared" si="16"/>
        <v>5.1192488691311606E-2</v>
      </c>
      <c r="S26" s="2"/>
      <c r="T26" s="6">
        <v>3357.06</v>
      </c>
      <c r="U26" s="2"/>
      <c r="V26" s="7">
        <f t="shared" si="17"/>
        <v>4.1828853892443577E-2</v>
      </c>
      <c r="W26" s="2"/>
      <c r="X26" s="6">
        <f t="shared" si="18"/>
        <v>502.74000000000024</v>
      </c>
      <c r="Y26" s="2"/>
      <c r="Z26" s="7">
        <f t="shared" si="19"/>
        <v>0.14975603653196554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40.81</v>
      </c>
      <c r="E27" s="2"/>
      <c r="F27" s="7">
        <f t="shared" si="12"/>
        <v>8.261839371703413E-4</v>
      </c>
      <c r="G27" s="2"/>
      <c r="H27" s="6">
        <v>39.14</v>
      </c>
      <c r="I27" s="2"/>
      <c r="J27" s="7">
        <f t="shared" si="13"/>
        <v>7.9375380247414314E-4</v>
      </c>
      <c r="K27" s="2"/>
      <c r="L27" s="6">
        <f t="shared" si="14"/>
        <v>1.6700000000000017</v>
      </c>
      <c r="M27" s="2"/>
      <c r="N27" s="7">
        <f t="shared" si="15"/>
        <v>4.2667347981604542E-2</v>
      </c>
      <c r="O27" s="11"/>
      <c r="P27" s="6">
        <v>83.08</v>
      </c>
      <c r="Q27" s="2"/>
      <c r="R27" s="7">
        <f t="shared" si="16"/>
        <v>1.1018892068174952E-3</v>
      </c>
      <c r="S27" s="2"/>
      <c r="T27" s="6">
        <v>85.73</v>
      </c>
      <c r="U27" s="2"/>
      <c r="V27" s="7">
        <f t="shared" si="17"/>
        <v>1.0681928962244307E-3</v>
      </c>
      <c r="W27" s="2"/>
      <c r="X27" s="6">
        <f t="shared" si="18"/>
        <v>-2.6500000000000057</v>
      </c>
      <c r="Y27" s="2"/>
      <c r="Z27" s="7">
        <f t="shared" si="19"/>
        <v>-3.0910999650064219E-2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>
        <v>326.52</v>
      </c>
      <c r="E28" s="2"/>
      <c r="F28" s="7">
        <f t="shared" si="12"/>
        <v>6.6102812831379523E-3</v>
      </c>
      <c r="G28" s="2"/>
      <c r="H28" s="6">
        <v>287.52999999999997</v>
      </c>
      <c r="I28" s="2"/>
      <c r="J28" s="7">
        <f t="shared" si="13"/>
        <v>5.8310687487325083E-3</v>
      </c>
      <c r="K28" s="2"/>
      <c r="L28" s="6">
        <f t="shared" si="14"/>
        <v>38.990000000000009</v>
      </c>
      <c r="M28" s="2"/>
      <c r="N28" s="7">
        <f t="shared" si="15"/>
        <v>0.13560324140089733</v>
      </c>
      <c r="O28" s="11"/>
      <c r="P28" s="6">
        <v>979.56</v>
      </c>
      <c r="Q28" s="2"/>
      <c r="R28" s="7">
        <f t="shared" si="16"/>
        <v>1.2991894456308925E-2</v>
      </c>
      <c r="S28" s="2"/>
      <c r="T28" s="6">
        <v>1002.17</v>
      </c>
      <c r="U28" s="2"/>
      <c r="V28" s="7">
        <f t="shared" si="17"/>
        <v>1.248700425532763E-2</v>
      </c>
      <c r="W28" s="2"/>
      <c r="X28" s="6">
        <f t="shared" si="18"/>
        <v>-22.610000000000014</v>
      </c>
      <c r="Y28" s="2"/>
      <c r="Z28" s="7">
        <f t="shared" si="19"/>
        <v>-2.256104253769322E-2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>
        <v>269.38</v>
      </c>
      <c r="E29" s="2"/>
      <c r="F29" s="7">
        <f t="shared" si="12"/>
        <v>5.453502303233191E-3</v>
      </c>
      <c r="G29" s="2"/>
      <c r="H29" s="6">
        <v>242.16</v>
      </c>
      <c r="I29" s="2"/>
      <c r="J29" s="7">
        <f t="shared" si="13"/>
        <v>4.9109714053944429E-3</v>
      </c>
      <c r="K29" s="2"/>
      <c r="L29" s="6">
        <f t="shared" si="14"/>
        <v>27.22</v>
      </c>
      <c r="M29" s="2"/>
      <c r="N29" s="7">
        <f t="shared" si="15"/>
        <v>0.112405021473406</v>
      </c>
      <c r="O29" s="11"/>
      <c r="P29" s="6">
        <v>892.23</v>
      </c>
      <c r="Q29" s="2"/>
      <c r="R29" s="7">
        <f t="shared" si="16"/>
        <v>1.183363754211331E-2</v>
      </c>
      <c r="S29" s="2"/>
      <c r="T29" s="6">
        <v>802.17</v>
      </c>
      <c r="U29" s="2"/>
      <c r="V29" s="7">
        <f t="shared" si="17"/>
        <v>9.9950110295620159E-3</v>
      </c>
      <c r="W29" s="2"/>
      <c r="X29" s="6">
        <f t="shared" si="18"/>
        <v>90.060000000000059</v>
      </c>
      <c r="Y29" s="2"/>
      <c r="Z29" s="7">
        <f t="shared" si="19"/>
        <v>0.11227046635999859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>
        <v>215.62</v>
      </c>
      <c r="E30" s="2"/>
      <c r="F30" s="7">
        <f t="shared" si="12"/>
        <v>4.365150221334697E-3</v>
      </c>
      <c r="G30" s="2"/>
      <c r="H30" s="6">
        <v>193.84</v>
      </c>
      <c r="I30" s="2"/>
      <c r="J30" s="7">
        <f t="shared" si="13"/>
        <v>3.9310484688704116E-3</v>
      </c>
      <c r="K30" s="2"/>
      <c r="L30" s="6">
        <f t="shared" si="14"/>
        <v>21.78</v>
      </c>
      <c r="M30" s="2"/>
      <c r="N30" s="7">
        <f t="shared" si="15"/>
        <v>0.11236070986380521</v>
      </c>
      <c r="O30" s="11"/>
      <c r="P30" s="6">
        <v>980.75</v>
      </c>
      <c r="Q30" s="2"/>
      <c r="R30" s="7">
        <f t="shared" si="16"/>
        <v>1.3007677414374801E-2</v>
      </c>
      <c r="S30" s="2"/>
      <c r="T30" s="6">
        <v>814.39</v>
      </c>
      <c r="U30" s="2"/>
      <c r="V30" s="7">
        <f t="shared" si="17"/>
        <v>1.0147271815656295E-2</v>
      </c>
      <c r="W30" s="2"/>
      <c r="X30" s="6">
        <f t="shared" si="18"/>
        <v>166.36</v>
      </c>
      <c r="Y30" s="2"/>
      <c r="Z30" s="7">
        <f t="shared" si="19"/>
        <v>0.20427559277496041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>
        <v>153.26</v>
      </c>
      <c r="E31" s="2"/>
      <c r="F31" s="7">
        <f t="shared" si="12"/>
        <v>3.1026941977634523E-3</v>
      </c>
      <c r="G31" s="2"/>
      <c r="H31" s="6">
        <v>119.89</v>
      </c>
      <c r="I31" s="2"/>
      <c r="J31" s="7">
        <f t="shared" si="13"/>
        <v>2.4313526668018658E-3</v>
      </c>
      <c r="K31" s="2"/>
      <c r="L31" s="6">
        <f t="shared" si="14"/>
        <v>33.36999999999999</v>
      </c>
      <c r="M31" s="2"/>
      <c r="N31" s="7">
        <f t="shared" si="15"/>
        <v>0.27833847693719233</v>
      </c>
      <c r="O31" s="11"/>
      <c r="P31" s="6">
        <v>407.64</v>
      </c>
      <c r="Q31" s="2"/>
      <c r="R31" s="7">
        <f t="shared" si="16"/>
        <v>5.4065252319100109E-3</v>
      </c>
      <c r="S31" s="2"/>
      <c r="T31" s="6">
        <v>362.21</v>
      </c>
      <c r="U31" s="2"/>
      <c r="V31" s="7">
        <f t="shared" si="17"/>
        <v>4.5131243315228164E-3</v>
      </c>
      <c r="W31" s="2"/>
      <c r="X31" s="6">
        <f t="shared" si="18"/>
        <v>45.430000000000007</v>
      </c>
      <c r="Y31" s="2"/>
      <c r="Z31" s="7">
        <f t="shared" si="19"/>
        <v>0.12542447751304495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15710.27</v>
      </c>
      <c r="E32" s="1"/>
      <c r="F32" s="5">
        <f t="shared" ref="F32:F37" si="20">IF(D$12=0,0,D32/D$12)</f>
        <v>0.31804882927246014</v>
      </c>
      <c r="G32" s="1"/>
      <c r="H32" s="1">
        <f>SUM(OSRRefH22_1x_0)</f>
        <v>14254.080000000002</v>
      </c>
      <c r="I32" s="1"/>
      <c r="J32" s="5">
        <f t="shared" ref="J32:J37" si="21">IF(H$12=0,0,H32/H$12)</f>
        <v>0.28907077671871834</v>
      </c>
      <c r="K32" s="1"/>
      <c r="L32" s="1">
        <f t="shared" ref="L32:L37" si="22">+D32-H32</f>
        <v>1456.1899999999987</v>
      </c>
      <c r="M32" s="1"/>
      <c r="N32" s="5">
        <f t="shared" ref="N32:N37" si="23">IF(H32=0,0,L32/H32)</f>
        <v>0.10215952204561771</v>
      </c>
      <c r="O32" s="14"/>
      <c r="P32" s="1">
        <f>SUM(OSRRefP22_1x_0)</f>
        <v>34420.86</v>
      </c>
      <c r="Q32" s="1"/>
      <c r="R32" s="5">
        <f t="shared" ref="R32:R37" si="24">IF(P$12=0,0,P32/P$12)</f>
        <v>0.45652352098430488</v>
      </c>
      <c r="S32" s="1"/>
      <c r="T32" s="1">
        <f>SUM(OSRRefT22_1x_0)</f>
        <v>32262.57</v>
      </c>
      <c r="U32" s="1"/>
      <c r="V32" s="5">
        <f t="shared" ref="V32:V37" si="25">IF(T$12=0,0,T32/T$12)</f>
        <v>0.40199052942894475</v>
      </c>
      <c r="W32" s="1"/>
      <c r="X32" s="1">
        <f t="shared" ref="X32:X37" si="26">+P32-T32</f>
        <v>2158.2900000000009</v>
      </c>
      <c r="Y32" s="1"/>
      <c r="Z32" s="5">
        <f t="shared" ref="Z32:Z37" si="27">IF(T32=0,0,X32/T32)</f>
        <v>6.6897646405726541E-2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>
        <v>4674.62</v>
      </c>
      <c r="E33" s="2"/>
      <c r="F33" s="7">
        <f t="shared" si="20"/>
        <v>9.4636019514217615E-2</v>
      </c>
      <c r="G33" s="2"/>
      <c r="H33" s="6">
        <v>4202.3999999999996</v>
      </c>
      <c r="I33" s="2"/>
      <c r="J33" s="7">
        <f t="shared" si="21"/>
        <v>8.5224092476171159E-2</v>
      </c>
      <c r="K33" s="2"/>
      <c r="L33" s="6">
        <f t="shared" si="22"/>
        <v>472.22000000000025</v>
      </c>
      <c r="M33" s="2"/>
      <c r="N33" s="7">
        <f t="shared" si="23"/>
        <v>0.11236912240624412</v>
      </c>
      <c r="O33" s="11"/>
      <c r="P33" s="6">
        <v>14257.94</v>
      </c>
      <c r="Q33" s="2"/>
      <c r="R33" s="7">
        <f t="shared" si="24"/>
        <v>0.18910291523172168</v>
      </c>
      <c r="S33" s="2"/>
      <c r="T33" s="6">
        <v>11767.12</v>
      </c>
      <c r="U33" s="2"/>
      <c r="V33" s="7">
        <f t="shared" si="25"/>
        <v>0.14661791663385543</v>
      </c>
      <c r="W33" s="2"/>
      <c r="X33" s="6">
        <f t="shared" si="26"/>
        <v>2490.8199999999997</v>
      </c>
      <c r="Y33" s="2"/>
      <c r="Z33" s="7">
        <f t="shared" si="27"/>
        <v>0.21167626403062087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>
        <v>4742.6499999999996</v>
      </c>
      <c r="E34" s="2"/>
      <c r="F34" s="7">
        <f t="shared" si="20"/>
        <v>9.6013262671426583E-2</v>
      </c>
      <c r="G34" s="2"/>
      <c r="H34" s="6">
        <v>3257.8</v>
      </c>
      <c r="I34" s="2"/>
      <c r="J34" s="7">
        <f t="shared" si="21"/>
        <v>6.6067734739403777E-2</v>
      </c>
      <c r="K34" s="2"/>
      <c r="L34" s="6">
        <f t="shared" si="22"/>
        <v>1484.8499999999995</v>
      </c>
      <c r="M34" s="2"/>
      <c r="N34" s="7">
        <f t="shared" si="23"/>
        <v>0.4557830437718704</v>
      </c>
      <c r="O34" s="11"/>
      <c r="P34" s="6">
        <v>7380.61</v>
      </c>
      <c r="Q34" s="2"/>
      <c r="R34" s="7">
        <f t="shared" si="24"/>
        <v>9.7888956412244502E-2</v>
      </c>
      <c r="S34" s="2"/>
      <c r="T34" s="6">
        <v>5780.88</v>
      </c>
      <c r="U34" s="2"/>
      <c r="V34" s="7">
        <f t="shared" si="25"/>
        <v>7.2029568994819632E-2</v>
      </c>
      <c r="W34" s="2"/>
      <c r="X34" s="6">
        <f t="shared" si="26"/>
        <v>1599.7299999999996</v>
      </c>
      <c r="Y34" s="2"/>
      <c r="Z34" s="7">
        <f t="shared" si="27"/>
        <v>0.27672776463099036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>
        <v>921</v>
      </c>
      <c r="I35" s="2"/>
      <c r="J35" s="7">
        <f t="shared" si="21"/>
        <v>1.8677752991279658E-2</v>
      </c>
      <c r="K35" s="2"/>
      <c r="L35" s="6">
        <f t="shared" si="22"/>
        <v>-921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1922</v>
      </c>
      <c r="U35" s="2"/>
      <c r="V35" s="7">
        <f t="shared" si="25"/>
        <v>2.3948054899607558E-2</v>
      </c>
      <c r="W35" s="2"/>
      <c r="X35" s="6">
        <f t="shared" si="26"/>
        <v>-1922</v>
      </c>
      <c r="Y35" s="2"/>
      <c r="Z35" s="7">
        <f t="shared" si="27"/>
        <v>-1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6">
        <v>5546</v>
      </c>
      <c r="E36" s="2"/>
      <c r="F36" s="7">
        <f t="shared" si="20"/>
        <v>0.11227679773454331</v>
      </c>
      <c r="G36" s="2"/>
      <c r="H36" s="6">
        <v>4319.13</v>
      </c>
      <c r="I36" s="2"/>
      <c r="J36" s="7">
        <f t="shared" si="21"/>
        <v>8.7591360778746713E-2</v>
      </c>
      <c r="K36" s="2"/>
      <c r="L36" s="6">
        <f t="shared" si="22"/>
        <v>1226.8699999999999</v>
      </c>
      <c r="M36" s="2"/>
      <c r="N36" s="7">
        <f t="shared" si="23"/>
        <v>0.28405489068400347</v>
      </c>
      <c r="O36" s="11"/>
      <c r="P36" s="6">
        <v>12035.31</v>
      </c>
      <c r="Q36" s="2"/>
      <c r="R36" s="7">
        <f t="shared" si="24"/>
        <v>0.15962419583176055</v>
      </c>
      <c r="S36" s="2"/>
      <c r="T36" s="6">
        <v>11046.32</v>
      </c>
      <c r="U36" s="2"/>
      <c r="V36" s="7">
        <f t="shared" si="25"/>
        <v>0.13763677304819613</v>
      </c>
      <c r="W36" s="2"/>
      <c r="X36" s="6">
        <f t="shared" si="26"/>
        <v>988.98999999999978</v>
      </c>
      <c r="Y36" s="2"/>
      <c r="Z36" s="7">
        <f t="shared" si="27"/>
        <v>8.9531174182895287E-2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>
        <v>747</v>
      </c>
      <c r="E37" s="2"/>
      <c r="F37" s="7">
        <f t="shared" si="20"/>
        <v>1.5122749352272603E-2</v>
      </c>
      <c r="G37" s="2"/>
      <c r="H37" s="6">
        <v>1553.75</v>
      </c>
      <c r="I37" s="2"/>
      <c r="J37" s="7">
        <f t="shared" si="21"/>
        <v>3.1509835733117011E-2</v>
      </c>
      <c r="K37" s="2"/>
      <c r="L37" s="6">
        <f t="shared" si="22"/>
        <v>-806.75</v>
      </c>
      <c r="M37" s="2"/>
      <c r="N37" s="7">
        <f t="shared" si="23"/>
        <v>-0.51922767497988742</v>
      </c>
      <c r="O37" s="11"/>
      <c r="P37" s="6">
        <v>747</v>
      </c>
      <c r="Q37" s="2"/>
      <c r="R37" s="7">
        <f t="shared" si="24"/>
        <v>9.9074535085781033E-3</v>
      </c>
      <c r="S37" s="2"/>
      <c r="T37" s="6">
        <v>1746.25</v>
      </c>
      <c r="U37" s="2"/>
      <c r="V37" s="7">
        <f t="shared" si="25"/>
        <v>2.1758215852466026E-2</v>
      </c>
      <c r="W37" s="2"/>
      <c r="X37" s="6">
        <f t="shared" si="26"/>
        <v>-999.25</v>
      </c>
      <c r="Y37" s="2"/>
      <c r="Z37" s="7">
        <f t="shared" si="27"/>
        <v>-0.57222619899785254</v>
      </c>
    </row>
    <row r="38" spans="1:26" s="29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42.38</v>
      </c>
      <c r="E38" s="1"/>
      <c r="F38" s="5">
        <f t="shared" ref="F38:F51" si="28">IF(D$12=0,0,D38/D$12)</f>
        <v>8.5796802884780855E-4</v>
      </c>
      <c r="G38" s="1"/>
      <c r="H38" s="1">
        <f>SUM(OSRRefH22_2x_0)</f>
        <v>428.76</v>
      </c>
      <c r="I38" s="1"/>
      <c r="J38" s="5">
        <f t="shared" ref="J38:J51" si="29">IF(H$12=0,0,H38/H$12)</f>
        <v>8.695193672683026E-3</v>
      </c>
      <c r="K38" s="1"/>
      <c r="L38" s="1">
        <f t="shared" ref="L38:L51" si="30">+D38-H38</f>
        <v>-386.38</v>
      </c>
      <c r="M38" s="1"/>
      <c r="N38" s="5">
        <f t="shared" ref="N38:N51" si="31">IF(H38=0,0,L38/H38)</f>
        <v>-0.90115682433062783</v>
      </c>
      <c r="O38" s="14"/>
      <c r="P38" s="1">
        <f>SUM(OSRRefP22_2x_0)</f>
        <v>1040.93</v>
      </c>
      <c r="Q38" s="1"/>
      <c r="R38" s="5">
        <f t="shared" ref="R38:R51" si="32">IF(P$12=0,0,P38/P$12)</f>
        <v>1.3805844150849005E-2</v>
      </c>
      <c r="S38" s="1"/>
      <c r="T38" s="1">
        <f>SUM(OSRRefT22_2x_0)</f>
        <v>730.73</v>
      </c>
      <c r="U38" s="1"/>
      <c r="V38" s="5">
        <f t="shared" ref="V38:V51" si="33">IF(T$12=0,0,T38/T$12)</f>
        <v>9.1048710493185393E-3</v>
      </c>
      <c r="W38" s="1"/>
      <c r="X38" s="1">
        <f t="shared" ref="X38:X51" si="34">+P38-T38</f>
        <v>310.20000000000005</v>
      </c>
      <c r="Y38" s="1"/>
      <c r="Z38" s="5">
        <f t="shared" ref="Z38:Z51" si="35">IF(T38=0,0,X38/T38)</f>
        <v>0.42450699984946566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6">
        <v>42.38</v>
      </c>
      <c r="E39" s="2"/>
      <c r="F39" s="7">
        <f t="shared" si="28"/>
        <v>8.5796802884780855E-4</v>
      </c>
      <c r="G39" s="2"/>
      <c r="H39" s="6">
        <v>428.76</v>
      </c>
      <c r="I39" s="2"/>
      <c r="J39" s="7">
        <f t="shared" si="29"/>
        <v>8.695193672683026E-3</v>
      </c>
      <c r="K39" s="2"/>
      <c r="L39" s="6">
        <f t="shared" si="30"/>
        <v>-386.38</v>
      </c>
      <c r="M39" s="2"/>
      <c r="N39" s="7">
        <f t="shared" si="31"/>
        <v>-0.90115682433062783</v>
      </c>
      <c r="O39" s="11"/>
      <c r="P39" s="6">
        <v>1040.93</v>
      </c>
      <c r="Q39" s="2"/>
      <c r="R39" s="7">
        <f t="shared" si="32"/>
        <v>1.3805844150849005E-2</v>
      </c>
      <c r="S39" s="2"/>
      <c r="T39" s="6">
        <v>730.73</v>
      </c>
      <c r="U39" s="2"/>
      <c r="V39" s="7">
        <f t="shared" si="33"/>
        <v>9.1048710493185393E-3</v>
      </c>
      <c r="W39" s="2"/>
      <c r="X39" s="6">
        <f t="shared" si="34"/>
        <v>310.20000000000005</v>
      </c>
      <c r="Y39" s="2"/>
      <c r="Z39" s="7">
        <f t="shared" si="35"/>
        <v>0.42450699984946566</v>
      </c>
    </row>
    <row r="40" spans="1:26" s="29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-30.91</v>
      </c>
      <c r="E40" s="1"/>
      <c r="F40" s="5">
        <f t="shared" si="28"/>
        <v>-6.2576195780287311E-4</v>
      </c>
      <c r="G40" s="1"/>
      <c r="H40" s="1">
        <f>SUM(OSRRefH22_3x_0)</f>
        <v>30.69</v>
      </c>
      <c r="I40" s="1"/>
      <c r="J40" s="5">
        <f t="shared" si="29"/>
        <v>6.2238896775501933E-4</v>
      </c>
      <c r="K40" s="1"/>
      <c r="L40" s="1">
        <f t="shared" si="30"/>
        <v>-61.6</v>
      </c>
      <c r="M40" s="1"/>
      <c r="N40" s="5">
        <f t="shared" si="31"/>
        <v>-2.0071684587813619</v>
      </c>
      <c r="O40" s="14"/>
      <c r="P40" s="1">
        <f>SUM(OSRRefP22_3x_0)</f>
        <v>-37.729999999999997</v>
      </c>
      <c r="Q40" s="1"/>
      <c r="R40" s="5">
        <f t="shared" si="32"/>
        <v>-5.0041261161800786E-4</v>
      </c>
      <c r="S40" s="1"/>
      <c r="T40" s="1">
        <f>SUM(OSRRefT22_3x_0)</f>
        <v>29.63</v>
      </c>
      <c r="U40" s="1"/>
      <c r="V40" s="5">
        <f t="shared" si="33"/>
        <v>3.691887963971758E-4</v>
      </c>
      <c r="W40" s="1"/>
      <c r="X40" s="1">
        <f t="shared" si="34"/>
        <v>-67.36</v>
      </c>
      <c r="Y40" s="1"/>
      <c r="Z40" s="5">
        <f t="shared" si="35"/>
        <v>-2.2733715828552143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6">
        <v>-30.91</v>
      </c>
      <c r="E41" s="2"/>
      <c r="F41" s="7">
        <f t="shared" si="28"/>
        <v>-6.2576195780287311E-4</v>
      </c>
      <c r="G41" s="2"/>
      <c r="H41" s="6">
        <v>30.69</v>
      </c>
      <c r="I41" s="2"/>
      <c r="J41" s="7">
        <f t="shared" si="29"/>
        <v>6.2238896775501933E-4</v>
      </c>
      <c r="K41" s="2"/>
      <c r="L41" s="6">
        <f t="shared" si="30"/>
        <v>-61.6</v>
      </c>
      <c r="M41" s="2"/>
      <c r="N41" s="7">
        <f t="shared" si="31"/>
        <v>-2.0071684587813619</v>
      </c>
      <c r="O41" s="11"/>
      <c r="P41" s="6">
        <v>-37.729999999999997</v>
      </c>
      <c r="Q41" s="2"/>
      <c r="R41" s="7">
        <f t="shared" si="32"/>
        <v>-5.0041261161800786E-4</v>
      </c>
      <c r="S41" s="2"/>
      <c r="T41" s="6">
        <v>29.63</v>
      </c>
      <c r="U41" s="2"/>
      <c r="V41" s="7">
        <f t="shared" si="33"/>
        <v>3.691887963971758E-4</v>
      </c>
      <c r="W41" s="2"/>
      <c r="X41" s="6">
        <f t="shared" si="34"/>
        <v>-67.36</v>
      </c>
      <c r="Y41" s="2"/>
      <c r="Z41" s="7">
        <f t="shared" si="35"/>
        <v>-2.2733715828552143</v>
      </c>
    </row>
    <row r="42" spans="1:26" s="29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1690</v>
      </c>
      <c r="E42" s="1"/>
      <c r="F42" s="5">
        <f t="shared" si="28"/>
        <v>3.4213449003133466E-2</v>
      </c>
      <c r="G42" s="1"/>
      <c r="H42" s="1">
        <f>SUM(OSRRefH22_4x_0)</f>
        <v>1619.45</v>
      </c>
      <c r="I42" s="1"/>
      <c r="J42" s="5">
        <f t="shared" si="29"/>
        <v>3.2842222672885828E-2</v>
      </c>
      <c r="K42" s="1"/>
      <c r="L42" s="1">
        <f t="shared" si="30"/>
        <v>70.549999999999955</v>
      </c>
      <c r="M42" s="1"/>
      <c r="N42" s="5">
        <f t="shared" si="31"/>
        <v>4.3564173021704872E-2</v>
      </c>
      <c r="O42" s="14"/>
      <c r="P42" s="1">
        <f>SUM(OSRRefP22_4x_0)</f>
        <v>2500.1999999999998</v>
      </c>
      <c r="Q42" s="1"/>
      <c r="R42" s="5">
        <f t="shared" si="32"/>
        <v>3.3160127526301174E-2</v>
      </c>
      <c r="S42" s="1"/>
      <c r="T42" s="1">
        <f>SUM(OSRRefT22_4x_0)</f>
        <v>2544.84</v>
      </c>
      <c r="U42" s="1"/>
      <c r="V42" s="5">
        <f t="shared" si="33"/>
        <v>3.1708620203286839E-2</v>
      </c>
      <c r="W42" s="1"/>
      <c r="X42" s="1">
        <f t="shared" si="34"/>
        <v>-44.640000000000327</v>
      </c>
      <c r="Y42" s="1"/>
      <c r="Z42" s="5">
        <f t="shared" si="35"/>
        <v>-1.7541377846937458E-2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6">
        <v>1690</v>
      </c>
      <c r="E43" s="2"/>
      <c r="F43" s="7">
        <f t="shared" si="28"/>
        <v>3.4213449003133466E-2</v>
      </c>
      <c r="G43" s="2"/>
      <c r="H43" s="6">
        <v>1619.45</v>
      </c>
      <c r="I43" s="2"/>
      <c r="J43" s="7">
        <f t="shared" si="29"/>
        <v>3.2842222672885828E-2</v>
      </c>
      <c r="K43" s="2"/>
      <c r="L43" s="6">
        <f t="shared" si="30"/>
        <v>70.549999999999955</v>
      </c>
      <c r="M43" s="2"/>
      <c r="N43" s="7">
        <f t="shared" si="31"/>
        <v>4.3564173021704872E-2</v>
      </c>
      <c r="O43" s="11"/>
      <c r="P43" s="6">
        <v>2500.1999999999998</v>
      </c>
      <c r="Q43" s="2"/>
      <c r="R43" s="7">
        <f t="shared" si="32"/>
        <v>3.3160127526301174E-2</v>
      </c>
      <c r="S43" s="2"/>
      <c r="T43" s="6">
        <v>2544.84</v>
      </c>
      <c r="U43" s="2"/>
      <c r="V43" s="7">
        <f t="shared" si="33"/>
        <v>3.1708620203286839E-2</v>
      </c>
      <c r="W43" s="2"/>
      <c r="X43" s="6">
        <f t="shared" si="34"/>
        <v>-44.640000000000327</v>
      </c>
      <c r="Y43" s="2"/>
      <c r="Z43" s="7">
        <f t="shared" si="35"/>
        <v>-1.7541377846937458E-2</v>
      </c>
    </row>
    <row r="44" spans="1:26" s="29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630.21</v>
      </c>
      <c r="E44" s="1"/>
      <c r="F44" s="5">
        <f t="shared" si="28"/>
        <v>1.2758377335067895E-2</v>
      </c>
      <c r="G44" s="1"/>
      <c r="H44" s="1">
        <f>SUM(OSRRefH22_5x_0)</f>
        <v>635.67999999999995</v>
      </c>
      <c r="I44" s="1"/>
      <c r="J44" s="5">
        <f t="shared" si="29"/>
        <v>1.2891502737781382E-2</v>
      </c>
      <c r="K44" s="1"/>
      <c r="L44" s="1">
        <f t="shared" si="30"/>
        <v>-5.4699999999999136</v>
      </c>
      <c r="M44" s="1"/>
      <c r="N44" s="5">
        <f t="shared" si="31"/>
        <v>-8.6049584696701389E-3</v>
      </c>
      <c r="O44" s="14"/>
      <c r="P44" s="1">
        <f>SUM(OSRRefP22_5x_0)</f>
        <v>1890.63</v>
      </c>
      <c r="Q44" s="1"/>
      <c r="R44" s="5">
        <f t="shared" si="32"/>
        <v>2.5075406729481959E-2</v>
      </c>
      <c r="S44" s="1"/>
      <c r="T44" s="1">
        <f>SUM(OSRRefT22_5x_0)</f>
        <v>1907.04</v>
      </c>
      <c r="U44" s="1"/>
      <c r="V44" s="5">
        <f t="shared" si="33"/>
        <v>2.3761653806320289E-2</v>
      </c>
      <c r="W44" s="1"/>
      <c r="X44" s="1">
        <f t="shared" si="34"/>
        <v>-16.409999999999854</v>
      </c>
      <c r="Y44" s="1"/>
      <c r="Z44" s="5">
        <f t="shared" si="35"/>
        <v>-8.6049584696701979E-3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630.21</v>
      </c>
      <c r="E45" s="2"/>
      <c r="F45" s="7">
        <f t="shared" si="28"/>
        <v>1.2758377335067895E-2</v>
      </c>
      <c r="G45" s="2"/>
      <c r="H45" s="6">
        <v>635.67999999999995</v>
      </c>
      <c r="I45" s="2"/>
      <c r="J45" s="7">
        <f t="shared" si="29"/>
        <v>1.2891502737781382E-2</v>
      </c>
      <c r="K45" s="2"/>
      <c r="L45" s="6">
        <f t="shared" si="30"/>
        <v>-5.4699999999999136</v>
      </c>
      <c r="M45" s="2"/>
      <c r="N45" s="7">
        <f t="shared" si="31"/>
        <v>-8.6049584696701389E-3</v>
      </c>
      <c r="O45" s="11"/>
      <c r="P45" s="6">
        <v>1890.63</v>
      </c>
      <c r="Q45" s="2"/>
      <c r="R45" s="7">
        <f t="shared" si="32"/>
        <v>2.5075406729481959E-2</v>
      </c>
      <c r="S45" s="2"/>
      <c r="T45" s="6">
        <v>1907.04</v>
      </c>
      <c r="U45" s="2"/>
      <c r="V45" s="7">
        <f t="shared" si="33"/>
        <v>2.3761653806320289E-2</v>
      </c>
      <c r="W45" s="2"/>
      <c r="X45" s="6">
        <f t="shared" si="34"/>
        <v>-16.409999999999854</v>
      </c>
      <c r="Y45" s="2"/>
      <c r="Z45" s="7">
        <f t="shared" si="35"/>
        <v>-8.6049584696701979E-3</v>
      </c>
    </row>
    <row r="46" spans="1:26" s="29" customFormat="1" outlineLevel="1" collapsed="1" x14ac:dyDescent="0.25">
      <c r="A46" s="27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SUM(OSRRefD22_6x_0)</f>
        <v>0</v>
      </c>
      <c r="E46" s="1"/>
      <c r="F46" s="5">
        <f t="shared" si="28"/>
        <v>0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0</v>
      </c>
      <c r="M46" s="1"/>
      <c r="N46" s="5">
        <f t="shared" si="31"/>
        <v>0</v>
      </c>
      <c r="O46" s="14"/>
      <c r="P46" s="1">
        <f>SUM(OSRRefP22_6x_0)</f>
        <v>749.55</v>
      </c>
      <c r="Q46" s="1"/>
      <c r="R46" s="5">
        <f t="shared" si="32"/>
        <v>9.9412741330049768E-3</v>
      </c>
      <c r="S46" s="1"/>
      <c r="T46" s="1">
        <f>SUM(OSRRefT22_6x_0)</f>
        <v>724.2</v>
      </c>
      <c r="U46" s="1"/>
      <c r="V46" s="5">
        <f t="shared" si="33"/>
        <v>9.0235074704972922E-3</v>
      </c>
      <c r="W46" s="1"/>
      <c r="X46" s="1">
        <f t="shared" si="34"/>
        <v>25.349999999999909</v>
      </c>
      <c r="Y46" s="1"/>
      <c r="Z46" s="5">
        <f t="shared" si="35"/>
        <v>3.5004142502071123E-2</v>
      </c>
    </row>
    <row r="47" spans="1:26" s="24" customFormat="1" hidden="1" outlineLevel="2" x14ac:dyDescent="0.25">
      <c r="A47" s="28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28"/>
        <v>0</v>
      </c>
      <c r="G47" s="2"/>
      <c r="H47" s="6"/>
      <c r="I47" s="2"/>
      <c r="J47" s="7">
        <f t="shared" si="29"/>
        <v>0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>
        <v>749.55</v>
      </c>
      <c r="Q47" s="2"/>
      <c r="R47" s="7">
        <f t="shared" si="32"/>
        <v>9.9412741330049768E-3</v>
      </c>
      <c r="S47" s="2"/>
      <c r="T47" s="6">
        <v>724.2</v>
      </c>
      <c r="U47" s="2"/>
      <c r="V47" s="7">
        <f t="shared" si="33"/>
        <v>9.0235074704972922E-3</v>
      </c>
      <c r="W47" s="2"/>
      <c r="X47" s="6">
        <f t="shared" si="34"/>
        <v>25.349999999999909</v>
      </c>
      <c r="Y47" s="2"/>
      <c r="Z47" s="7">
        <f t="shared" si="35"/>
        <v>3.5004142502071123E-2</v>
      </c>
    </row>
    <row r="48" spans="1:26" s="29" customFormat="1" outlineLevel="1" collapsed="1" x14ac:dyDescent="0.25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2614.4</v>
      </c>
      <c r="E48" s="1"/>
      <c r="F48" s="5">
        <f t="shared" si="28"/>
        <v>5.2927598268516056E-2</v>
      </c>
      <c r="G48" s="1"/>
      <c r="H48" s="1">
        <f>SUM(OSRRefH22_7x_0)</f>
        <v>1026.46</v>
      </c>
      <c r="I48" s="1"/>
      <c r="J48" s="5">
        <f t="shared" si="29"/>
        <v>2.0816467248022715E-2</v>
      </c>
      <c r="K48" s="1"/>
      <c r="L48" s="1">
        <f t="shared" si="30"/>
        <v>1587.94</v>
      </c>
      <c r="M48" s="1"/>
      <c r="N48" s="5">
        <f t="shared" si="31"/>
        <v>1.5470062155368938</v>
      </c>
      <c r="O48" s="14"/>
      <c r="P48" s="1">
        <f>SUM(OSRRefP22_7x_0)</f>
        <v>6578.84</v>
      </c>
      <c r="Q48" s="1"/>
      <c r="R48" s="5">
        <f t="shared" si="32"/>
        <v>8.7255088942937056E-2</v>
      </c>
      <c r="S48" s="1"/>
      <c r="T48" s="1">
        <f>SUM(OSRRefT22_7x_0)</f>
        <v>2001.67</v>
      </c>
      <c r="U48" s="1"/>
      <c r="V48" s="5">
        <f t="shared" si="33"/>
        <v>2.4940740401091292E-2</v>
      </c>
      <c r="W48" s="1"/>
      <c r="X48" s="1">
        <f t="shared" si="34"/>
        <v>4577.17</v>
      </c>
      <c r="Y48" s="1"/>
      <c r="Z48" s="5">
        <f t="shared" si="35"/>
        <v>2.2866756258524132</v>
      </c>
    </row>
    <row r="49" spans="1:26" s="24" customFormat="1" hidden="1" outlineLevel="2" x14ac:dyDescent="0.25">
      <c r="A49" s="28"/>
      <c r="B49" s="11" t="str">
        <f>CONCATENATE("          ", "6371", " - ", "COMPUTER SOFTWARE MAINTENANCE")</f>
        <v xml:space="preserve">          6371 - COMPUTER SOFTWARE MAINTENANCE</v>
      </c>
      <c r="C49" s="11"/>
      <c r="D49" s="6">
        <v>874.62</v>
      </c>
      <c r="E49" s="2"/>
      <c r="F49" s="7">
        <f t="shared" si="28"/>
        <v>1.7706370868118694E-2</v>
      </c>
      <c r="G49" s="2"/>
      <c r="H49" s="6"/>
      <c r="I49" s="2"/>
      <c r="J49" s="7">
        <f t="shared" si="29"/>
        <v>0</v>
      </c>
      <c r="K49" s="2"/>
      <c r="L49" s="6">
        <f t="shared" si="30"/>
        <v>874.62</v>
      </c>
      <c r="M49" s="2"/>
      <c r="N49" s="7">
        <f t="shared" si="31"/>
        <v>0</v>
      </c>
      <c r="O49" s="11"/>
      <c r="P49" s="6">
        <v>874.62</v>
      </c>
      <c r="Q49" s="2"/>
      <c r="R49" s="7">
        <f t="shared" si="32"/>
        <v>1.1600076288718316E-2</v>
      </c>
      <c r="S49" s="2"/>
      <c r="T49" s="6"/>
      <c r="U49" s="2"/>
      <c r="V49" s="7">
        <f t="shared" si="33"/>
        <v>0</v>
      </c>
      <c r="W49" s="2"/>
      <c r="X49" s="6">
        <f t="shared" si="34"/>
        <v>874.62</v>
      </c>
      <c r="Y49" s="2"/>
      <c r="Z49" s="7">
        <f t="shared" si="35"/>
        <v>0</v>
      </c>
    </row>
    <row r="50" spans="1:26" s="24" customFormat="1" hidden="1" outlineLevel="2" x14ac:dyDescent="0.25">
      <c r="A50" s="28"/>
      <c r="B50" s="11" t="str">
        <f>CONCATENATE("          ", "6373", " - ", "MAINTENANCE CONTRACTS")</f>
        <v xml:space="preserve">          6373 - MAINTENANCE CONTRACTS</v>
      </c>
      <c r="C50" s="11"/>
      <c r="D50" s="6"/>
      <c r="E50" s="2"/>
      <c r="F50" s="7">
        <f t="shared" si="28"/>
        <v>0</v>
      </c>
      <c r="G50" s="2"/>
      <c r="H50" s="6">
        <v>155.94999999999999</v>
      </c>
      <c r="I50" s="2"/>
      <c r="J50" s="7">
        <f t="shared" si="29"/>
        <v>3.1626444940174403E-3</v>
      </c>
      <c r="K50" s="2"/>
      <c r="L50" s="6">
        <f t="shared" si="30"/>
        <v>-155.94999999999999</v>
      </c>
      <c r="M50" s="2"/>
      <c r="N50" s="7">
        <f t="shared" si="31"/>
        <v>-1</v>
      </c>
      <c r="O50" s="11"/>
      <c r="P50" s="6"/>
      <c r="Q50" s="2"/>
      <c r="R50" s="7">
        <f t="shared" si="32"/>
        <v>0</v>
      </c>
      <c r="S50" s="2"/>
      <c r="T50" s="6">
        <v>155.94999999999999</v>
      </c>
      <c r="U50" s="2"/>
      <c r="V50" s="7">
        <f t="shared" si="33"/>
        <v>1.9431317177907379E-3</v>
      </c>
      <c r="W50" s="2"/>
      <c r="X50" s="6">
        <f t="shared" si="34"/>
        <v>-155.94999999999999</v>
      </c>
      <c r="Y50" s="2"/>
      <c r="Z50" s="7">
        <f t="shared" si="35"/>
        <v>-1</v>
      </c>
    </row>
    <row r="51" spans="1:26" s="24" customFormat="1" hidden="1" outlineLevel="2" x14ac:dyDescent="0.25">
      <c r="A51" s="28"/>
      <c r="B51" s="11" t="str">
        <f>CONCATENATE("          ", "6375", " - ", "OUTSIDE REPAIRS &amp; MAINTENANCE")</f>
        <v xml:space="preserve">          6375 - OUTSIDE REPAIRS &amp; MAINTENANCE</v>
      </c>
      <c r="C51" s="11"/>
      <c r="D51" s="6">
        <v>1739.78</v>
      </c>
      <c r="E51" s="2"/>
      <c r="F51" s="7">
        <f t="shared" si="28"/>
        <v>3.5221227400397362E-2</v>
      </c>
      <c r="G51" s="2"/>
      <c r="H51" s="6">
        <v>870.51</v>
      </c>
      <c r="I51" s="2"/>
      <c r="J51" s="7">
        <f t="shared" si="29"/>
        <v>1.7653822754005271E-2</v>
      </c>
      <c r="K51" s="2"/>
      <c r="L51" s="6">
        <f t="shared" si="30"/>
        <v>869.27</v>
      </c>
      <c r="M51" s="2"/>
      <c r="N51" s="7">
        <f t="shared" si="31"/>
        <v>0.99857554766745926</v>
      </c>
      <c r="O51" s="11"/>
      <c r="P51" s="6">
        <v>5704.22</v>
      </c>
      <c r="Q51" s="2"/>
      <c r="R51" s="7">
        <f t="shared" si="32"/>
        <v>7.5655012654218742E-2</v>
      </c>
      <c r="S51" s="2"/>
      <c r="T51" s="6">
        <v>1845.72</v>
      </c>
      <c r="U51" s="2"/>
      <c r="V51" s="7">
        <f t="shared" si="33"/>
        <v>2.2997608683300554E-2</v>
      </c>
      <c r="W51" s="2"/>
      <c r="X51" s="6">
        <f t="shared" si="34"/>
        <v>3858.5</v>
      </c>
      <c r="Y51" s="2"/>
      <c r="Z51" s="7">
        <f t="shared" si="35"/>
        <v>2.0905121036776975</v>
      </c>
    </row>
    <row r="52" spans="1:26" s="29" customFormat="1" outlineLevel="1" collapsed="1" x14ac:dyDescent="0.25">
      <c r="A52" s="27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SUM(OSRRefD22_8x_0)</f>
        <v>0</v>
      </c>
      <c r="E52" s="1"/>
      <c r="F52" s="5">
        <f t="shared" ref="F52:F58" si="36">IF(D$12=0,0,D52/D$12)</f>
        <v>0</v>
      </c>
      <c r="G52" s="1"/>
      <c r="H52" s="1">
        <f>SUM(OSRRefH22_8x_0)</f>
        <v>118.34</v>
      </c>
      <c r="I52" s="1"/>
      <c r="J52" s="5">
        <f t="shared" ref="J52:J58" si="37">IF(H$12=0,0,H52/H$12)</f>
        <v>2.3999188805516121E-3</v>
      </c>
      <c r="K52" s="1"/>
      <c r="L52" s="1">
        <f t="shared" ref="L52:L58" si="38">+D52-H52</f>
        <v>-118.34</v>
      </c>
      <c r="M52" s="1"/>
      <c r="N52" s="5">
        <f t="shared" ref="N52:N58" si="39">IF(H52=0,0,L52/H52)</f>
        <v>-1</v>
      </c>
      <c r="O52" s="14"/>
      <c r="P52" s="1">
        <f>SUM(OSRRefP22_8x_0)</f>
        <v>67.22</v>
      </c>
      <c r="Q52" s="1"/>
      <c r="R52" s="5">
        <f t="shared" ref="R52:R58" si="40">IF(P$12=0,0,P52/P$12)</f>
        <v>8.9153818587231612E-4</v>
      </c>
      <c r="S52" s="1"/>
      <c r="T52" s="1">
        <f>SUM(OSRRefT22_8x_0)</f>
        <v>261.22000000000003</v>
      </c>
      <c r="U52" s="1"/>
      <c r="V52" s="5">
        <f t="shared" ref="V52:V58" si="41">IF(T$12=0,0,T52/T$12)</f>
        <v>3.2547923521724698E-3</v>
      </c>
      <c r="W52" s="1"/>
      <c r="X52" s="1">
        <f t="shared" ref="X52:X58" si="42">+P52-T52</f>
        <v>-194.00000000000003</v>
      </c>
      <c r="Y52" s="1"/>
      <c r="Z52" s="5">
        <f t="shared" ref="Z52:Z58" si="43">IF(T52=0,0,X52/T52)</f>
        <v>-0.74266901462368884</v>
      </c>
    </row>
    <row r="53" spans="1:26" s="24" customFormat="1" hidden="1" outlineLevel="2" x14ac:dyDescent="0.25">
      <c r="A53" s="28"/>
      <c r="B53" s="11" t="str">
        <f>CONCATENATE("          ", "6286", " - ", "LAUNDRY EXPENSE")</f>
        <v xml:space="preserve">          6286 - LAUNDRY EXPENSE</v>
      </c>
      <c r="C53" s="11"/>
      <c r="D53" s="6"/>
      <c r="E53" s="2"/>
      <c r="F53" s="7">
        <f t="shared" si="36"/>
        <v>0</v>
      </c>
      <c r="G53" s="2"/>
      <c r="H53" s="6">
        <v>118.34</v>
      </c>
      <c r="I53" s="2"/>
      <c r="J53" s="7">
        <f t="shared" si="37"/>
        <v>2.3999188805516121E-3</v>
      </c>
      <c r="K53" s="2"/>
      <c r="L53" s="6">
        <f t="shared" si="38"/>
        <v>-118.34</v>
      </c>
      <c r="M53" s="2"/>
      <c r="N53" s="7">
        <f t="shared" si="39"/>
        <v>-1</v>
      </c>
      <c r="O53" s="11"/>
      <c r="P53" s="6">
        <v>67.22</v>
      </c>
      <c r="Q53" s="2"/>
      <c r="R53" s="7">
        <f t="shared" si="40"/>
        <v>8.9153818587231612E-4</v>
      </c>
      <c r="S53" s="2"/>
      <c r="T53" s="6">
        <v>261.22000000000003</v>
      </c>
      <c r="U53" s="2"/>
      <c r="V53" s="7">
        <f t="shared" si="41"/>
        <v>3.2547923521724698E-3</v>
      </c>
      <c r="W53" s="2"/>
      <c r="X53" s="6">
        <f t="shared" si="42"/>
        <v>-194.00000000000003</v>
      </c>
      <c r="Y53" s="2"/>
      <c r="Z53" s="7">
        <f t="shared" si="43"/>
        <v>-0.74266901462368884</v>
      </c>
    </row>
    <row r="54" spans="1:26" s="29" customFormat="1" outlineLevel="1" collapsed="1" x14ac:dyDescent="0.25">
      <c r="A54" s="27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SUM(OSRRefD22_9x_0)</f>
        <v>253.85999999999999</v>
      </c>
      <c r="E54" s="1"/>
      <c r="F54" s="5">
        <f t="shared" si="36"/>
        <v>5.1393054224470186E-3</v>
      </c>
      <c r="G54" s="1"/>
      <c r="H54" s="1">
        <f>SUM(OSRRefH22_9x_0)</f>
        <v>462.56</v>
      </c>
      <c r="I54" s="1"/>
      <c r="J54" s="5">
        <f t="shared" si="37"/>
        <v>9.3806530115595217E-3</v>
      </c>
      <c r="K54" s="1"/>
      <c r="L54" s="1">
        <f t="shared" si="38"/>
        <v>-208.70000000000002</v>
      </c>
      <c r="M54" s="1"/>
      <c r="N54" s="5">
        <f t="shared" si="39"/>
        <v>-0.45118471117260467</v>
      </c>
      <c r="O54" s="14"/>
      <c r="P54" s="1">
        <f>SUM(OSRRefP22_9x_0)</f>
        <v>1790.03</v>
      </c>
      <c r="Q54" s="1"/>
      <c r="R54" s="5">
        <f t="shared" si="40"/>
        <v>2.3741149938366887E-2</v>
      </c>
      <c r="S54" s="1"/>
      <c r="T54" s="1">
        <f>SUM(OSRRefT22_9x_0)</f>
        <v>1412.7200000000003</v>
      </c>
      <c r="U54" s="1"/>
      <c r="V54" s="5">
        <f t="shared" si="41"/>
        <v>1.7602443349518E-2</v>
      </c>
      <c r="W54" s="1"/>
      <c r="X54" s="1">
        <f t="shared" si="42"/>
        <v>377.30999999999972</v>
      </c>
      <c r="Y54" s="1"/>
      <c r="Z54" s="5">
        <f t="shared" si="43"/>
        <v>0.26708052551107059</v>
      </c>
    </row>
    <row r="55" spans="1:26" s="24" customFormat="1" hidden="1" outlineLevel="2" x14ac:dyDescent="0.25">
      <c r="A55" s="28"/>
      <c r="B55" s="11" t="str">
        <f>CONCATENATE("          ", "6239", " - ", "KITCHEN SUPPLIES")</f>
        <v xml:space="preserve">          6239 - KITCHEN SUPPLIES</v>
      </c>
      <c r="C55" s="11"/>
      <c r="D55" s="6"/>
      <c r="E55" s="2"/>
      <c r="F55" s="7">
        <f t="shared" si="36"/>
        <v>0</v>
      </c>
      <c r="G55" s="2"/>
      <c r="H55" s="6"/>
      <c r="I55" s="2"/>
      <c r="J55" s="7">
        <f t="shared" si="37"/>
        <v>0</v>
      </c>
      <c r="K55" s="2"/>
      <c r="L55" s="6">
        <f t="shared" si="38"/>
        <v>0</v>
      </c>
      <c r="M55" s="2"/>
      <c r="N55" s="7">
        <f t="shared" si="39"/>
        <v>0</v>
      </c>
      <c r="O55" s="11"/>
      <c r="P55" s="6">
        <v>540.89</v>
      </c>
      <c r="Q55" s="2"/>
      <c r="R55" s="7">
        <f t="shared" si="40"/>
        <v>7.1738186455887693E-3</v>
      </c>
      <c r="S55" s="2"/>
      <c r="T55" s="6">
        <v>20.85</v>
      </c>
      <c r="U55" s="2"/>
      <c r="V55" s="7">
        <f t="shared" si="41"/>
        <v>2.5979029378606539E-4</v>
      </c>
      <c r="W55" s="2"/>
      <c r="X55" s="6">
        <f t="shared" si="42"/>
        <v>520.04</v>
      </c>
      <c r="Y55" s="2"/>
      <c r="Z55" s="7">
        <f t="shared" si="43"/>
        <v>24.94196642685851</v>
      </c>
    </row>
    <row r="56" spans="1:26" s="24" customFormat="1" hidden="1" outlineLevel="2" x14ac:dyDescent="0.25">
      <c r="A56" s="28"/>
      <c r="B56" s="11" t="str">
        <f>CONCATENATE("          ", "6241", " - ", "OFFICE EXPENSE")</f>
        <v xml:space="preserve">          6241 - OFFICE EXPENSE</v>
      </c>
      <c r="C56" s="11"/>
      <c r="D56" s="6">
        <v>76.599999999999994</v>
      </c>
      <c r="E56" s="2"/>
      <c r="F56" s="7">
        <f t="shared" si="36"/>
        <v>1.5507397595503098E-3</v>
      </c>
      <c r="G56" s="2"/>
      <c r="H56" s="6">
        <v>218.79</v>
      </c>
      <c r="I56" s="2"/>
      <c r="J56" s="7">
        <f t="shared" si="37"/>
        <v>4.4370310281890086E-3</v>
      </c>
      <c r="K56" s="2"/>
      <c r="L56" s="6">
        <f t="shared" si="38"/>
        <v>-142.19</v>
      </c>
      <c r="M56" s="2"/>
      <c r="N56" s="7">
        <f t="shared" si="39"/>
        <v>-0.64989259106906172</v>
      </c>
      <c r="O56" s="11"/>
      <c r="P56" s="6">
        <v>182.38</v>
      </c>
      <c r="Q56" s="2"/>
      <c r="R56" s="7">
        <f t="shared" si="40"/>
        <v>2.4189041109698457E-3</v>
      </c>
      <c r="S56" s="2"/>
      <c r="T56" s="6">
        <v>393.16</v>
      </c>
      <c r="U56" s="2"/>
      <c r="V56" s="7">
        <f t="shared" si="41"/>
        <v>4.898760283210046E-3</v>
      </c>
      <c r="W56" s="2"/>
      <c r="X56" s="6">
        <f t="shared" si="42"/>
        <v>-210.78000000000003</v>
      </c>
      <c r="Y56" s="2"/>
      <c r="Z56" s="7">
        <f t="shared" si="43"/>
        <v>-0.53611761115067658</v>
      </c>
    </row>
    <row r="57" spans="1:26" s="24" customFormat="1" hidden="1" outlineLevel="2" x14ac:dyDescent="0.25">
      <c r="A57" s="28"/>
      <c r="B57" s="11" t="str">
        <f>CONCATENATE("          ", "6243", " - ", "PAPER SUPPLIES")</f>
        <v xml:space="preserve">          6243 - PAPER SUPPLIES</v>
      </c>
      <c r="C57" s="11"/>
      <c r="D57" s="6">
        <v>177.26</v>
      </c>
      <c r="E57" s="2"/>
      <c r="F57" s="7">
        <f t="shared" si="36"/>
        <v>3.588565662896709E-3</v>
      </c>
      <c r="G57" s="2"/>
      <c r="H57" s="6">
        <v>243.77</v>
      </c>
      <c r="I57" s="2"/>
      <c r="J57" s="7">
        <f t="shared" si="37"/>
        <v>4.9436219833705131E-3</v>
      </c>
      <c r="K57" s="2"/>
      <c r="L57" s="6">
        <f t="shared" si="38"/>
        <v>-66.510000000000019</v>
      </c>
      <c r="M57" s="2"/>
      <c r="N57" s="7">
        <f t="shared" si="39"/>
        <v>-0.27283915165935108</v>
      </c>
      <c r="O57" s="11"/>
      <c r="P57" s="6">
        <v>371.52</v>
      </c>
      <c r="Q57" s="2"/>
      <c r="R57" s="7">
        <f t="shared" si="40"/>
        <v>4.927466034145833E-3</v>
      </c>
      <c r="S57" s="2"/>
      <c r="T57" s="6">
        <v>490.35</v>
      </c>
      <c r="U57" s="2"/>
      <c r="V57" s="7">
        <f t="shared" si="41"/>
        <v>6.1097443912708467E-3</v>
      </c>
      <c r="W57" s="2"/>
      <c r="X57" s="6">
        <f t="shared" si="42"/>
        <v>-118.83000000000004</v>
      </c>
      <c r="Y57" s="2"/>
      <c r="Z57" s="7">
        <f t="shared" si="43"/>
        <v>-0.24233710614866938</v>
      </c>
    </row>
    <row r="58" spans="1:26" s="24" customFormat="1" hidden="1" outlineLevel="2" x14ac:dyDescent="0.25">
      <c r="A58" s="28"/>
      <c r="B58" s="11" t="str">
        <f>CONCATENATE("          ", "6248", " - ", "UNIFORMS")</f>
        <v xml:space="preserve">          6248 - UNIFORMS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>
        <v>695.24</v>
      </c>
      <c r="Q58" s="2"/>
      <c r="R58" s="7">
        <f t="shared" si="40"/>
        <v>9.2209611476624376E-3</v>
      </c>
      <c r="S58" s="2"/>
      <c r="T58" s="6">
        <v>508.36</v>
      </c>
      <c r="U58" s="2"/>
      <c r="V58" s="7">
        <f t="shared" si="41"/>
        <v>6.3341483812510398E-3</v>
      </c>
      <c r="W58" s="2"/>
      <c r="X58" s="6">
        <f t="shared" si="42"/>
        <v>186.88</v>
      </c>
      <c r="Y58" s="2"/>
      <c r="Z58" s="7">
        <f t="shared" si="43"/>
        <v>0.36761350224250527</v>
      </c>
    </row>
    <row r="59" spans="1:26" s="29" customFormat="1" outlineLevel="1" collapsed="1" x14ac:dyDescent="0.25">
      <c r="A59" s="27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SUM(OSRRefD22_10x_0)</f>
        <v>145</v>
      </c>
      <c r="E59" s="1"/>
      <c r="F59" s="5">
        <f t="shared" ref="F59:F60" si="44">IF(D$12=0,0,D59/D$12)</f>
        <v>2.9354734351800904E-3</v>
      </c>
      <c r="G59" s="1"/>
      <c r="H59" s="1">
        <f>SUM(OSRRefH22_10x_0)</f>
        <v>145</v>
      </c>
      <c r="I59" s="1"/>
      <c r="J59" s="5">
        <f t="shared" ref="J59:J60" si="45">IF(H$12=0,0,H59/H$12)</f>
        <v>2.9405800040559725E-3</v>
      </c>
      <c r="K59" s="1"/>
      <c r="L59" s="1">
        <f t="shared" ref="L59:L60" si="46">+D59-H59</f>
        <v>0</v>
      </c>
      <c r="M59" s="1"/>
      <c r="N59" s="5">
        <f t="shared" ref="N59:N60" si="47">IF(H59=0,0,L59/H59)</f>
        <v>0</v>
      </c>
      <c r="O59" s="14"/>
      <c r="P59" s="1">
        <f>SUM(OSRRefP22_10x_0)</f>
        <v>213</v>
      </c>
      <c r="Q59" s="1"/>
      <c r="R59" s="5">
        <f t="shared" ref="R59:R60" si="48">IF(P$12=0,0,P59/P$12)</f>
        <v>2.8250168638917486E-3</v>
      </c>
      <c r="S59" s="1"/>
      <c r="T59" s="1">
        <f>SUM(OSRRefT22_10x_0)</f>
        <v>213</v>
      </c>
      <c r="U59" s="1"/>
      <c r="V59" s="5">
        <f t="shared" ref="V59:V60" si="49">IF(T$12=0,0,T59/T$12)</f>
        <v>2.6539727854403799E-3</v>
      </c>
      <c r="W59" s="1"/>
      <c r="X59" s="1">
        <f t="shared" ref="X59:X60" si="50">+P59-T59</f>
        <v>0</v>
      </c>
      <c r="Y59" s="1"/>
      <c r="Z59" s="5">
        <f t="shared" ref="Z59:Z60" si="51">IF(T59=0,0,X59/T59)</f>
        <v>0</v>
      </c>
    </row>
    <row r="60" spans="1:26" s="24" customFormat="1" hidden="1" outlineLevel="2" x14ac:dyDescent="0.25">
      <c r="A60" s="28"/>
      <c r="B60" s="11" t="str">
        <f>CONCATENATE("          ", "6309", " - ", "TELEPHONE")</f>
        <v xml:space="preserve">          6309 - TELEPHONE</v>
      </c>
      <c r="C60" s="11"/>
      <c r="D60" s="6">
        <v>145</v>
      </c>
      <c r="E60" s="2"/>
      <c r="F60" s="7">
        <f t="shared" si="44"/>
        <v>2.9354734351800904E-3</v>
      </c>
      <c r="G60" s="2"/>
      <c r="H60" s="6">
        <v>145</v>
      </c>
      <c r="I60" s="2"/>
      <c r="J60" s="7">
        <f t="shared" si="45"/>
        <v>2.9405800040559725E-3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>
        <v>213</v>
      </c>
      <c r="Q60" s="2"/>
      <c r="R60" s="7">
        <f t="shared" si="48"/>
        <v>2.8250168638917486E-3</v>
      </c>
      <c r="S60" s="2"/>
      <c r="T60" s="6">
        <v>213</v>
      </c>
      <c r="U60" s="2"/>
      <c r="V60" s="7">
        <f t="shared" si="49"/>
        <v>2.6539727854403799E-3</v>
      </c>
      <c r="W60" s="2"/>
      <c r="X60" s="6">
        <f t="shared" si="50"/>
        <v>0</v>
      </c>
      <c r="Y60" s="2"/>
      <c r="Z60" s="7">
        <f t="shared" si="51"/>
        <v>0</v>
      </c>
    </row>
    <row r="61" spans="1:26" s="53" customFormat="1" x14ac:dyDescent="0.25">
      <c r="A61" s="37"/>
      <c r="B61" s="37"/>
      <c r="C61" s="37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collapsed="1" x14ac:dyDescent="0.25">
      <c r="A62" s="10"/>
      <c r="B62" s="25" t="s">
        <v>0</v>
      </c>
      <c r="C62" s="10"/>
      <c r="D62" s="4">
        <f>SUM(OSRRefD25x_0)</f>
        <v>104</v>
      </c>
      <c r="E62" s="4"/>
      <c r="F62" s="12">
        <f t="shared" ref="F62:F63" si="52">IF(D$12=0,0,D62/D$12)</f>
        <v>2.1054430155774441E-3</v>
      </c>
      <c r="G62" s="4"/>
      <c r="H62" s="4">
        <f>SUM(OSRRefH25x_0)</f>
        <v>1706</v>
      </c>
      <c r="I62" s="4"/>
      <c r="J62" s="12">
        <f t="shared" ref="J62:J63" si="53">IF(H$12=0,0,H62/H$12)</f>
        <v>3.4597444737375783E-2</v>
      </c>
      <c r="K62" s="4"/>
      <c r="L62" s="4">
        <f t="shared" ref="L62:L63" si="54">+D62-H62</f>
        <v>-1602</v>
      </c>
      <c r="M62" s="4"/>
      <c r="N62" s="12">
        <f t="shared" ref="N62:N63" si="55">IF(H62=0,0,L62/H62)</f>
        <v>-0.93903868698710435</v>
      </c>
      <c r="O62" s="10"/>
      <c r="P62" s="4">
        <f>SUM(OSRRefP25x_0)</f>
        <v>136</v>
      </c>
      <c r="Q62" s="4"/>
      <c r="R62" s="12">
        <f t="shared" ref="R62:R63" si="56">IF(P$12=0,0,P62/P$12)</f>
        <v>1.8037666360998959E-3</v>
      </c>
      <c r="S62" s="4"/>
      <c r="T62" s="4">
        <f>SUM(OSRRefT25x_0)</f>
        <v>2346</v>
      </c>
      <c r="U62" s="4"/>
      <c r="V62" s="12">
        <f t="shared" ref="V62:V63" si="57">IF(T$12=0,0,T62/T$12)</f>
        <v>2.9231080538230661E-2</v>
      </c>
      <c r="W62" s="4"/>
      <c r="X62" s="4">
        <f t="shared" ref="X62:X63" si="58">+P62-T62</f>
        <v>-2210</v>
      </c>
      <c r="Y62" s="4"/>
      <c r="Z62" s="12">
        <f t="shared" ref="Z62:Z63" si="59">IF(T62=0,0,X62/T62)</f>
        <v>-0.94202898550724634</v>
      </c>
    </row>
    <row r="63" spans="1:26" s="24" customFormat="1" hidden="1" outlineLevel="1" x14ac:dyDescent="0.25">
      <c r="A63" s="44"/>
      <c r="B63" s="11" t="str">
        <f>CONCATENATE("          ", "9150", " - ", "MISC. INCOME")</f>
        <v xml:space="preserve">          9150 - MISC. INCOME</v>
      </c>
      <c r="C63" s="11"/>
      <c r="D63" s="2">
        <f>--104</f>
        <v>104</v>
      </c>
      <c r="E63" s="2"/>
      <c r="F63" s="19">
        <f t="shared" si="52"/>
        <v>2.1054430155774441E-3</v>
      </c>
      <c r="G63" s="2"/>
      <c r="H63" s="2">
        <f>--1706</f>
        <v>1706</v>
      </c>
      <c r="I63" s="2"/>
      <c r="J63" s="19">
        <f t="shared" si="53"/>
        <v>3.4597444737375783E-2</v>
      </c>
      <c r="K63" s="2"/>
      <c r="L63" s="2">
        <f t="shared" si="54"/>
        <v>-1602</v>
      </c>
      <c r="M63" s="2"/>
      <c r="N63" s="19">
        <f t="shared" si="55"/>
        <v>-0.93903868698710435</v>
      </c>
      <c r="O63" s="11"/>
      <c r="P63" s="2">
        <f>--136</f>
        <v>136</v>
      </c>
      <c r="Q63" s="2"/>
      <c r="R63" s="19">
        <f t="shared" si="56"/>
        <v>1.8037666360998959E-3</v>
      </c>
      <c r="S63" s="2"/>
      <c r="T63" s="2">
        <f>--2346</f>
        <v>2346</v>
      </c>
      <c r="U63" s="2"/>
      <c r="V63" s="19">
        <f t="shared" si="57"/>
        <v>2.9231080538230661E-2</v>
      </c>
      <c r="W63" s="2"/>
      <c r="X63" s="2">
        <f t="shared" si="58"/>
        <v>-2210</v>
      </c>
      <c r="Y63" s="2"/>
      <c r="Z63" s="19">
        <f t="shared" si="59"/>
        <v>-0.94202898550724634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6" t="s">
        <v>3</v>
      </c>
      <c r="C65" s="26"/>
      <c r="D65" s="21">
        <f>+D20-D22+D62</f>
        <v>12470.690000000002</v>
      </c>
      <c r="E65" s="13"/>
      <c r="F65" s="20">
        <f>IF(D$12=0,0,D65/D$12)</f>
        <v>0.25246468423011043</v>
      </c>
      <c r="G65" s="13"/>
      <c r="H65" s="21">
        <f>+H20-H22+H62</f>
        <v>14563.609999999997</v>
      </c>
      <c r="I65" s="13"/>
      <c r="J65" s="20">
        <f>IF(H$12=0,0,H65/H$12)</f>
        <v>0.29534800243358339</v>
      </c>
      <c r="K65" s="15"/>
      <c r="L65" s="21">
        <f>+D65-H65</f>
        <v>-2092.9199999999946</v>
      </c>
      <c r="M65" s="15"/>
      <c r="N65" s="20">
        <f>IF(H65=0,0,L65/H65)</f>
        <v>-0.14370887437936028</v>
      </c>
      <c r="O65" s="25"/>
      <c r="P65" s="21">
        <f>+P20-P22+P62</f>
        <v>-6325.3299999999872</v>
      </c>
      <c r="Q65" s="13"/>
      <c r="R65" s="20">
        <f>IF(P$12=0,0,P65/P$12)</f>
        <v>-8.3892788355306849E-2</v>
      </c>
      <c r="S65" s="13"/>
      <c r="T65" s="21">
        <f>+T20-T22+T62</f>
        <v>7612.3000000000247</v>
      </c>
      <c r="U65" s="13"/>
      <c r="V65" s="20">
        <f>IF(T$12=0,0,T65/T$12)</f>
        <v>9.4849000162478256E-2</v>
      </c>
      <c r="W65" s="15"/>
      <c r="X65" s="21">
        <f>+P65-T65</f>
        <v>-13937.630000000012</v>
      </c>
      <c r="Y65" s="15"/>
      <c r="Z65" s="20">
        <f>IF(T65=0,0,X65/T65)</f>
        <v>-1.8309354597165071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1"/>
      <c r="B67" s="10" t="s">
        <v>13</v>
      </c>
      <c r="C67" s="10"/>
      <c r="D67" s="4">
        <v>4856.74</v>
      </c>
      <c r="E67" s="4"/>
      <c r="F67" s="12">
        <f>IF(D$12=0,0,D67/D$12)</f>
        <v>9.8322974148803796E-2</v>
      </c>
      <c r="G67" s="4"/>
      <c r="H67" s="4">
        <v>3971.06</v>
      </c>
      <c r="I67" s="4"/>
      <c r="J67" s="12">
        <f>IF(H$12=0,0,H67/H$12)</f>
        <v>8.0532549178665577E-2</v>
      </c>
      <c r="K67" s="4"/>
      <c r="L67" s="4">
        <f>+D67-H67</f>
        <v>885.67999999999984</v>
      </c>
      <c r="M67" s="4"/>
      <c r="N67" s="12">
        <f>IF(H67=0,0,L67/H67)</f>
        <v>0.22303364844651047</v>
      </c>
      <c r="O67" s="10"/>
      <c r="P67" s="4">
        <v>8098.72</v>
      </c>
      <c r="Q67" s="4"/>
      <c r="R67" s="12">
        <f>IF(P$12=0,0,P67/P$12)</f>
        <v>0.10741324214055109</v>
      </c>
      <c r="S67" s="4"/>
      <c r="T67" s="4">
        <v>7130.61</v>
      </c>
      <c r="U67" s="4"/>
      <c r="V67" s="12">
        <f>IF(T$12=0,0,T67/T$12)</f>
        <v>8.8847159077882751E-2</v>
      </c>
      <c r="W67" s="4"/>
      <c r="X67" s="4">
        <f>+P67-T67</f>
        <v>968.11000000000058</v>
      </c>
      <c r="Y67" s="4"/>
      <c r="Z67" s="12">
        <f>IF(T67=0,0,X67/T67)</f>
        <v>0.135768188135377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6" t="s">
        <v>4</v>
      </c>
      <c r="C69" s="26"/>
      <c r="D69" s="35">
        <f>+D65-D67</f>
        <v>7613.9500000000025</v>
      </c>
      <c r="E69" s="13"/>
      <c r="F69" s="30">
        <f>IF(D$12=0,0,D69/D$12)</f>
        <v>0.15414171008130659</v>
      </c>
      <c r="G69" s="13"/>
      <c r="H69" s="35">
        <f>+H65-H67</f>
        <v>10592.549999999997</v>
      </c>
      <c r="I69" s="13"/>
      <c r="J69" s="30">
        <f>IF(H$12=0,0,H69/H$12)</f>
        <v>0.21481545325491783</v>
      </c>
      <c r="K69" s="15"/>
      <c r="L69" s="35">
        <f>D69-H69</f>
        <v>-2978.5999999999949</v>
      </c>
      <c r="M69" s="15"/>
      <c r="N69" s="30">
        <f>IF(H69=0,0,L69/H69)</f>
        <v>-0.2811976341862909</v>
      </c>
      <c r="O69" s="25"/>
      <c r="P69" s="35">
        <f>+P65-P67</f>
        <v>-14424.049999999988</v>
      </c>
      <c r="Q69" s="13"/>
      <c r="R69" s="30">
        <f>IF(P$12=0,0,P69/P$12)</f>
        <v>-0.19130603049585795</v>
      </c>
      <c r="S69" s="13"/>
      <c r="T69" s="35">
        <f>+T65-T67</f>
        <v>481.69000000002507</v>
      </c>
      <c r="U69" s="13"/>
      <c r="V69" s="30">
        <f>IF(T$12=0,0,T69/T$12)</f>
        <v>6.0018410845955076E-3</v>
      </c>
      <c r="W69" s="15"/>
      <c r="X69" s="35">
        <f>P69-T69</f>
        <v>-14905.740000000013</v>
      </c>
      <c r="Y69" s="15"/>
      <c r="Z69" s="30">
        <f>IF(T69=0,0,X69/T69)</f>
        <v>-30.944673960429398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6" t="s">
        <v>5</v>
      </c>
      <c r="C72" s="26"/>
      <c r="D72" s="36">
        <f>SUM(D69:D71)</f>
        <v>7613.9500000000025</v>
      </c>
      <c r="E72" s="13"/>
      <c r="F72" s="31">
        <f>IF(D$12=0,0,D72/D$12)</f>
        <v>0.15414171008130659</v>
      </c>
      <c r="G72" s="13"/>
      <c r="H72" s="36">
        <f>SUM(H69:H71)</f>
        <v>10592.549999999997</v>
      </c>
      <c r="I72" s="13"/>
      <c r="J72" s="31">
        <f>IF(H$12=0,0,H72/H$12)</f>
        <v>0.21481545325491783</v>
      </c>
      <c r="K72" s="15"/>
      <c r="L72" s="36">
        <f>+D72-H72</f>
        <v>-2978.5999999999949</v>
      </c>
      <c r="M72" s="15"/>
      <c r="N72" s="31">
        <f>IF(H72=0,0,L72/H72)</f>
        <v>-0.2811976341862909</v>
      </c>
      <c r="O72" s="25"/>
      <c r="P72" s="36">
        <f>SUM(P69:P71)</f>
        <v>-14424.049999999988</v>
      </c>
      <c r="Q72" s="13"/>
      <c r="R72" s="31">
        <f>IF(P$12=0,0,P72/P$12)</f>
        <v>-0.19130603049585795</v>
      </c>
      <c r="S72" s="13"/>
      <c r="T72" s="36">
        <f>SUM(T69:T71)</f>
        <v>481.69000000002507</v>
      </c>
      <c r="U72" s="13"/>
      <c r="V72" s="31">
        <f>IF(T$12=0,0,T72/T$12)</f>
        <v>6.0018410845955076E-3</v>
      </c>
      <c r="W72" s="15"/>
      <c r="X72" s="36">
        <f>+P72-T72</f>
        <v>-14905.740000000013</v>
      </c>
      <c r="Y72" s="15"/>
      <c r="Z72" s="31">
        <f>IF(T72=0,0,X72/T72)</f>
        <v>-30.944673960429398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55">
        <v>43756.463354594911</v>
      </c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56" t="s">
        <v>313</v>
      </c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57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","414", " - ", "Starbucks UDP")</f>
        <v>Department 414 - Starbucks UDP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96329.48</v>
      </c>
      <c r="E12" s="4"/>
      <c r="F12" s="12"/>
      <c r="G12" s="4"/>
      <c r="H12" s="4">
        <f>SUM(OSRRefH13x_0)</f>
        <v>105868.31999999999</v>
      </c>
      <c r="I12" s="4"/>
      <c r="J12" s="12"/>
      <c r="K12" s="4"/>
      <c r="L12" s="4">
        <f t="shared" ref="L12:L14" si="0">+D12-H12</f>
        <v>-9538.8399999999965</v>
      </c>
      <c r="M12" s="4"/>
      <c r="N12" s="12">
        <f t="shared" ref="N12:N14" si="1">IF(H12=0,0,L12/H12)</f>
        <v>-9.0100985828432886E-2</v>
      </c>
      <c r="O12" s="10"/>
      <c r="P12" s="4">
        <f>SUM(OSRRefP13x_0)</f>
        <v>154537.53</v>
      </c>
      <c r="Q12" s="4"/>
      <c r="R12" s="12"/>
      <c r="S12" s="4"/>
      <c r="T12" s="4">
        <f>SUM(OSRRefT13x_0)</f>
        <v>188715.98</v>
      </c>
      <c r="U12" s="4"/>
      <c r="V12" s="12"/>
      <c r="W12" s="4"/>
      <c r="X12" s="4">
        <f t="shared" ref="X12:X14" si="2">+P12-T12</f>
        <v>-34178.450000000012</v>
      </c>
      <c r="Y12" s="4"/>
      <c r="Z12" s="12">
        <f t="shared" ref="Z12:Z14" si="3">IF(T12=0,0,X12/T12)</f>
        <v>-0.18111052386766616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>--24452.76</f>
        <v>24452.76</v>
      </c>
      <c r="E13" s="2"/>
      <c r="F13" s="19"/>
      <c r="G13" s="2"/>
      <c r="H13" s="2">
        <f>--37319.34</f>
        <v>37319.339999999997</v>
      </c>
      <c r="I13" s="2"/>
      <c r="J13" s="19"/>
      <c r="K13" s="2"/>
      <c r="L13" s="2">
        <f t="shared" si="0"/>
        <v>-12866.579999999998</v>
      </c>
      <c r="M13" s="2"/>
      <c r="N13" s="19">
        <f t="shared" si="1"/>
        <v>-0.3447697628093101</v>
      </c>
      <c r="O13" s="11"/>
      <c r="P13" s="2">
        <f>--42290.9</f>
        <v>42290.9</v>
      </c>
      <c r="Q13" s="2"/>
      <c r="R13" s="19"/>
      <c r="S13" s="2"/>
      <c r="T13" s="2">
        <f>--65691.63</f>
        <v>65691.63</v>
      </c>
      <c r="U13" s="2"/>
      <c r="V13" s="19"/>
      <c r="W13" s="2"/>
      <c r="X13" s="2">
        <f t="shared" si="2"/>
        <v>-23400.730000000003</v>
      </c>
      <c r="Y13" s="2"/>
      <c r="Z13" s="19">
        <f t="shared" si="3"/>
        <v>-0.35622087623643989</v>
      </c>
    </row>
    <row r="14" spans="1:26" s="24" customFormat="1" hidden="1" outlineLevel="1" x14ac:dyDescent="0.2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>--71876.72</f>
        <v>71876.72</v>
      </c>
      <c r="E14" s="2"/>
      <c r="F14" s="19"/>
      <c r="G14" s="2"/>
      <c r="H14" s="2">
        <f>--68548.98</f>
        <v>68548.98</v>
      </c>
      <c r="I14" s="2"/>
      <c r="J14" s="19"/>
      <c r="K14" s="2"/>
      <c r="L14" s="2">
        <f t="shared" si="0"/>
        <v>3327.7400000000052</v>
      </c>
      <c r="M14" s="2"/>
      <c r="N14" s="19">
        <f t="shared" si="1"/>
        <v>4.8545434228197203E-2</v>
      </c>
      <c r="O14" s="11"/>
      <c r="P14" s="2">
        <f>--112246.63</f>
        <v>112246.63</v>
      </c>
      <c r="Q14" s="2"/>
      <c r="R14" s="19"/>
      <c r="S14" s="2"/>
      <c r="T14" s="2">
        <f>--123024.35</f>
        <v>123024.35</v>
      </c>
      <c r="U14" s="2"/>
      <c r="V14" s="19"/>
      <c r="W14" s="2"/>
      <c r="X14" s="2">
        <f t="shared" si="2"/>
        <v>-10777.720000000001</v>
      </c>
      <c r="Y14" s="2"/>
      <c r="Z14" s="19">
        <f t="shared" si="3"/>
        <v>-8.7606396619856156E-2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38581.31</v>
      </c>
      <c r="E16" s="4"/>
      <c r="F16" s="12">
        <f t="shared" ref="F16:F18" si="4">IF(D$12=0,0,D16/D$12)</f>
        <v>0.40051404824359066</v>
      </c>
      <c r="G16" s="4"/>
      <c r="H16" s="4">
        <f>SUM(OSRRefH16x_0)</f>
        <v>35253.619999999995</v>
      </c>
      <c r="I16" s="4"/>
      <c r="J16" s="12">
        <f t="shared" ref="J16:J18" si="5">IF(H$12=0,0,H16/H$12)</f>
        <v>0.33299498849136361</v>
      </c>
      <c r="K16" s="4"/>
      <c r="L16" s="4">
        <f t="shared" ref="L16:L18" si="6">+D16-H16</f>
        <v>3327.6900000000023</v>
      </c>
      <c r="M16" s="4"/>
      <c r="N16" s="12">
        <f t="shared" ref="N16:N18" si="7">IF(H16=0,0,L16/H16)</f>
        <v>9.4392859513434443E-2</v>
      </c>
      <c r="O16" s="10"/>
      <c r="P16" s="4">
        <f>SUM(OSRRefP16x_0)</f>
        <v>61929.9</v>
      </c>
      <c r="Q16" s="4"/>
      <c r="R16" s="12">
        <f t="shared" ref="R16:R18" si="8">IF(P$12=0,0,P16/P$12)</f>
        <v>0.40074343106169746</v>
      </c>
      <c r="S16" s="4"/>
      <c r="T16" s="4">
        <f>SUM(OSRRefT16x_0)</f>
        <v>69613.67</v>
      </c>
      <c r="U16" s="4"/>
      <c r="V16" s="12">
        <f t="shared" ref="V16:V18" si="9">IF(T$12=0,0,T16/T$12)</f>
        <v>0.36888063215420336</v>
      </c>
      <c r="W16" s="4"/>
      <c r="X16" s="4">
        <f t="shared" ref="X16:X18" si="10">+P16-T16</f>
        <v>-7683.7699999999968</v>
      </c>
      <c r="Y16" s="4"/>
      <c r="Z16" s="12">
        <f t="shared" ref="Z16:Z18" si="11">IF(T16=0,0,X16/T16)</f>
        <v>-0.1103773152600631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32296.31</v>
      </c>
      <c r="E17" s="2"/>
      <c r="F17" s="19">
        <f t="shared" si="4"/>
        <v>0.33526922391774566</v>
      </c>
      <c r="G17" s="2"/>
      <c r="H17" s="2">
        <v>39561.619999999995</v>
      </c>
      <c r="I17" s="2"/>
      <c r="J17" s="19">
        <f t="shared" si="5"/>
        <v>0.37368704821234527</v>
      </c>
      <c r="K17" s="2"/>
      <c r="L17" s="2">
        <f t="shared" si="6"/>
        <v>-7265.309999999994</v>
      </c>
      <c r="M17" s="2"/>
      <c r="N17" s="19">
        <f t="shared" si="7"/>
        <v>-0.18364541189162614</v>
      </c>
      <c r="O17" s="11"/>
      <c r="P17" s="2">
        <v>51435.9</v>
      </c>
      <c r="Q17" s="2"/>
      <c r="R17" s="19">
        <f t="shared" si="8"/>
        <v>0.33283759614897429</v>
      </c>
      <c r="S17" s="2"/>
      <c r="T17" s="2">
        <v>70155.67</v>
      </c>
      <c r="U17" s="2"/>
      <c r="V17" s="19">
        <f t="shared" si="9"/>
        <v>0.3717526729850858</v>
      </c>
      <c r="W17" s="2"/>
      <c r="X17" s="2">
        <f t="shared" si="10"/>
        <v>-18719.769999999997</v>
      </c>
      <c r="Y17" s="2"/>
      <c r="Z17" s="19">
        <f t="shared" si="11"/>
        <v>-0.26683188971041111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6285</v>
      </c>
      <c r="E18" s="2"/>
      <c r="F18" s="19">
        <f t="shared" si="4"/>
        <v>6.5244824325845011E-2</v>
      </c>
      <c r="G18" s="2"/>
      <c r="H18" s="2">
        <v>-4308</v>
      </c>
      <c r="I18" s="2"/>
      <c r="J18" s="19">
        <f t="shared" si="5"/>
        <v>-4.0692059720981694E-2</v>
      </c>
      <c r="K18" s="2"/>
      <c r="L18" s="2">
        <f t="shared" si="6"/>
        <v>10593</v>
      </c>
      <c r="M18" s="2"/>
      <c r="N18" s="19">
        <f t="shared" si="7"/>
        <v>-2.4589136490250696</v>
      </c>
      <c r="O18" s="11"/>
      <c r="P18" s="2">
        <v>10494</v>
      </c>
      <c r="Q18" s="2"/>
      <c r="R18" s="19">
        <f t="shared" si="8"/>
        <v>6.7905834912723145E-2</v>
      </c>
      <c r="S18" s="2"/>
      <c r="T18" s="2">
        <v>-542</v>
      </c>
      <c r="U18" s="2"/>
      <c r="V18" s="19">
        <f t="shared" si="9"/>
        <v>-2.8720408308824719E-3</v>
      </c>
      <c r="W18" s="2"/>
      <c r="X18" s="2">
        <f t="shared" si="10"/>
        <v>11036</v>
      </c>
      <c r="Y18" s="2"/>
      <c r="Z18" s="19">
        <f t="shared" si="11"/>
        <v>-20.361623616236162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1">
        <f>D12-D16</f>
        <v>57748.17</v>
      </c>
      <c r="E20" s="13"/>
      <c r="F20" s="20">
        <f>IF(D$12=0,0,D20/D$12)</f>
        <v>0.5994859517564094</v>
      </c>
      <c r="G20" s="13"/>
      <c r="H20" s="21">
        <f>H12-H16</f>
        <v>70614.7</v>
      </c>
      <c r="I20" s="13"/>
      <c r="J20" s="20">
        <f>IF(H$12=0,0,H20/H$12)</f>
        <v>0.66700501150863645</v>
      </c>
      <c r="K20" s="15"/>
      <c r="L20" s="21">
        <f>+D20-H20</f>
        <v>-12866.529999999999</v>
      </c>
      <c r="M20" s="15"/>
      <c r="N20" s="20">
        <f>IF(H20=0,0,L20/H20)</f>
        <v>-0.18220752902724219</v>
      </c>
      <c r="O20" s="25"/>
      <c r="P20" s="21">
        <f>P12-P16</f>
        <v>92607.63</v>
      </c>
      <c r="Q20" s="13"/>
      <c r="R20" s="20">
        <f>IF(P$12=0,0,P20/P$12)</f>
        <v>0.59925656893830259</v>
      </c>
      <c r="S20" s="13"/>
      <c r="T20" s="21">
        <f>T12-T16</f>
        <v>119102.31000000001</v>
      </c>
      <c r="U20" s="13"/>
      <c r="V20" s="20">
        <f>IF(T$12=0,0,T20/T$12)</f>
        <v>0.6311193678457967</v>
      </c>
      <c r="W20" s="15"/>
      <c r="X20" s="21">
        <f>+P20-T20</f>
        <v>-26494.680000000008</v>
      </c>
      <c r="Y20" s="15"/>
      <c r="Z20" s="20">
        <f>IF(T20=0,0,X20/T20)</f>
        <v>-0.22245311614862889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42458.340000000004</v>
      </c>
      <c r="E22" s="22"/>
      <c r="F22" s="34">
        <f t="shared" ref="F22:F31" si="12">IF(D$12=0,0,D22/D$12)</f>
        <v>0.44076164430660275</v>
      </c>
      <c r="G22" s="22"/>
      <c r="H22" s="22">
        <f>SUM(OSRRefH22x_0)</f>
        <v>40534.53</v>
      </c>
      <c r="I22" s="22"/>
      <c r="J22" s="34">
        <f t="shared" ref="J22:J31" si="13">IF(H$12=0,0,H22/H$12)</f>
        <v>0.38287686061325998</v>
      </c>
      <c r="K22" s="4"/>
      <c r="L22" s="22">
        <f t="shared" ref="L22:L31" si="14">+D22-H22</f>
        <v>1923.8100000000049</v>
      </c>
      <c r="M22" s="4"/>
      <c r="N22" s="34">
        <f t="shared" ref="N22:N31" si="15">IF(H22=0,0,L22/H22)</f>
        <v>4.7461016570316837E-2</v>
      </c>
      <c r="O22" s="10"/>
      <c r="P22" s="22">
        <f>SUM(OSRRefP22x_0)</f>
        <v>91671.220000000016</v>
      </c>
      <c r="Q22" s="22"/>
      <c r="R22" s="34">
        <f t="shared" ref="R22:R31" si="16">IF(P$12=0,0,P22/P$12)</f>
        <v>0.59319713470248958</v>
      </c>
      <c r="S22" s="22"/>
      <c r="T22" s="22">
        <f>SUM(OSRRefT22x_0)</f>
        <v>98886.699999999983</v>
      </c>
      <c r="U22" s="22"/>
      <c r="V22" s="34">
        <f t="shared" ref="V22:V31" si="17">IF(T$12=0,0,T22/T$12)</f>
        <v>0.52399749083251979</v>
      </c>
      <c r="W22" s="4"/>
      <c r="X22" s="22">
        <f t="shared" ref="X22:X31" si="18">+P22-T22</f>
        <v>-7215.4799999999668</v>
      </c>
      <c r="Y22" s="4"/>
      <c r="Z22" s="34">
        <f t="shared" ref="Z22:Z31" si="19">IF(T22=0,0,X22/T22)</f>
        <v>-7.2967143205304327E-2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2784.52</v>
      </c>
      <c r="E23" s="1"/>
      <c r="F23" s="5">
        <f t="shared" si="12"/>
        <v>2.8906208151440245E-2</v>
      </c>
      <c r="G23" s="1"/>
      <c r="H23" s="1">
        <f>SUM(OSRRefH22_0x_0)</f>
        <v>2049.2200000000003</v>
      </c>
      <c r="I23" s="1"/>
      <c r="J23" s="5">
        <f t="shared" si="13"/>
        <v>1.9356309800703367E-2</v>
      </c>
      <c r="K23" s="1"/>
      <c r="L23" s="1">
        <f t="shared" si="14"/>
        <v>735.29999999999973</v>
      </c>
      <c r="M23" s="1"/>
      <c r="N23" s="5">
        <f t="shared" si="15"/>
        <v>0.35881945325538478</v>
      </c>
      <c r="O23" s="14"/>
      <c r="P23" s="1">
        <f>SUM(OSRRefP22_0x_0)</f>
        <v>7944.37</v>
      </c>
      <c r="Q23" s="1"/>
      <c r="R23" s="5">
        <f t="shared" si="16"/>
        <v>5.1407383047988406E-2</v>
      </c>
      <c r="S23" s="1"/>
      <c r="T23" s="1">
        <f>SUM(OSRRefT22_0x_0)</f>
        <v>9278.9599999999991</v>
      </c>
      <c r="U23" s="1"/>
      <c r="V23" s="5">
        <f t="shared" si="17"/>
        <v>4.9168915107242105E-2</v>
      </c>
      <c r="W23" s="1"/>
      <c r="X23" s="1">
        <f t="shared" si="18"/>
        <v>-1334.5899999999992</v>
      </c>
      <c r="Y23" s="1"/>
      <c r="Z23" s="5">
        <f t="shared" si="19"/>
        <v>-0.14382969643149657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>
        <v>526.13</v>
      </c>
      <c r="E24" s="2"/>
      <c r="F24" s="7">
        <f t="shared" si="12"/>
        <v>5.4617755644481838E-3</v>
      </c>
      <c r="G24" s="2"/>
      <c r="H24" s="6">
        <v>496.6</v>
      </c>
      <c r="I24" s="2"/>
      <c r="J24" s="7">
        <f t="shared" si="13"/>
        <v>4.6907327895634888E-3</v>
      </c>
      <c r="K24" s="2"/>
      <c r="L24" s="6">
        <f t="shared" si="14"/>
        <v>29.529999999999973</v>
      </c>
      <c r="M24" s="2"/>
      <c r="N24" s="7">
        <f t="shared" si="15"/>
        <v>5.9464357631896843E-2</v>
      </c>
      <c r="O24" s="11"/>
      <c r="P24" s="6">
        <v>2245.69</v>
      </c>
      <c r="Q24" s="2"/>
      <c r="R24" s="7">
        <f t="shared" si="16"/>
        <v>1.453168042740168E-2</v>
      </c>
      <c r="S24" s="2"/>
      <c r="T24" s="6">
        <v>2473.16</v>
      </c>
      <c r="U24" s="2"/>
      <c r="V24" s="7">
        <f t="shared" si="17"/>
        <v>1.3105196496873237E-2</v>
      </c>
      <c r="W24" s="2"/>
      <c r="X24" s="6">
        <f t="shared" si="18"/>
        <v>-227.4699999999998</v>
      </c>
      <c r="Y24" s="2"/>
      <c r="Z24" s="7">
        <f t="shared" si="19"/>
        <v>-9.1975448414174502E-2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>
        <v>946.73</v>
      </c>
      <c r="E25" s="2"/>
      <c r="F25" s="7">
        <f t="shared" si="12"/>
        <v>9.8280401804307464E-3</v>
      </c>
      <c r="G25" s="2"/>
      <c r="H25" s="6"/>
      <c r="I25" s="2"/>
      <c r="J25" s="7">
        <f t="shared" si="13"/>
        <v>0</v>
      </c>
      <c r="K25" s="2"/>
      <c r="L25" s="6">
        <f t="shared" si="14"/>
        <v>946.73</v>
      </c>
      <c r="M25" s="2"/>
      <c r="N25" s="7">
        <f t="shared" si="15"/>
        <v>0</v>
      </c>
      <c r="O25" s="11"/>
      <c r="P25" s="6">
        <v>1885.66</v>
      </c>
      <c r="Q25" s="2"/>
      <c r="R25" s="7">
        <f t="shared" si="16"/>
        <v>1.2201955084955739E-2</v>
      </c>
      <c r="S25" s="2"/>
      <c r="T25" s="6">
        <v>1102.3699999999999</v>
      </c>
      <c r="U25" s="2"/>
      <c r="V25" s="7">
        <f t="shared" si="17"/>
        <v>5.8414237098522335E-3</v>
      </c>
      <c r="W25" s="2"/>
      <c r="X25" s="6">
        <f t="shared" si="18"/>
        <v>783.29000000000019</v>
      </c>
      <c r="Y25" s="2"/>
      <c r="Z25" s="7">
        <f t="shared" si="19"/>
        <v>0.71055090396146514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>
        <v>650.39</v>
      </c>
      <c r="E26" s="2"/>
      <c r="F26" s="7">
        <f t="shared" si="12"/>
        <v>6.751723356131477E-3</v>
      </c>
      <c r="G26" s="2"/>
      <c r="H26" s="6">
        <v>720.58</v>
      </c>
      <c r="I26" s="2"/>
      <c r="J26" s="7">
        <f t="shared" si="13"/>
        <v>6.8063798499872303E-3</v>
      </c>
      <c r="K26" s="2"/>
      <c r="L26" s="6">
        <f t="shared" si="14"/>
        <v>-70.190000000000055</v>
      </c>
      <c r="M26" s="2"/>
      <c r="N26" s="7">
        <f t="shared" si="15"/>
        <v>-9.7407643842460312E-2</v>
      </c>
      <c r="O26" s="11"/>
      <c r="P26" s="6">
        <v>1951.17</v>
      </c>
      <c r="Q26" s="2"/>
      <c r="R26" s="7">
        <f t="shared" si="16"/>
        <v>1.2625865056857062E-2</v>
      </c>
      <c r="S26" s="2"/>
      <c r="T26" s="6">
        <v>1720.7</v>
      </c>
      <c r="U26" s="2"/>
      <c r="V26" s="7">
        <f t="shared" si="17"/>
        <v>9.117934792803449E-3</v>
      </c>
      <c r="W26" s="2"/>
      <c r="X26" s="6">
        <f t="shared" si="18"/>
        <v>230.47000000000003</v>
      </c>
      <c r="Y26" s="2"/>
      <c r="Z26" s="7">
        <f t="shared" si="19"/>
        <v>0.13393967571337248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63.44</v>
      </c>
      <c r="E27" s="2"/>
      <c r="F27" s="7">
        <f t="shared" si="12"/>
        <v>6.5857305572499718E-4</v>
      </c>
      <c r="G27" s="2"/>
      <c r="H27" s="6">
        <v>63.48</v>
      </c>
      <c r="I27" s="2"/>
      <c r="J27" s="7">
        <f t="shared" si="13"/>
        <v>5.9961280201669396E-4</v>
      </c>
      <c r="K27" s="2"/>
      <c r="L27" s="6">
        <f t="shared" si="14"/>
        <v>-3.9999999999999147E-2</v>
      </c>
      <c r="M27" s="2"/>
      <c r="N27" s="7">
        <f t="shared" si="15"/>
        <v>-6.3011972274730856E-4</v>
      </c>
      <c r="O27" s="11"/>
      <c r="P27" s="6">
        <v>126.36</v>
      </c>
      <c r="Q27" s="2"/>
      <c r="R27" s="7">
        <f t="shared" si="16"/>
        <v>8.176654564104914E-4</v>
      </c>
      <c r="S27" s="2"/>
      <c r="T27" s="6">
        <v>145.37</v>
      </c>
      <c r="U27" s="2"/>
      <c r="V27" s="7">
        <f t="shared" si="17"/>
        <v>7.7031102506528587E-4</v>
      </c>
      <c r="W27" s="2"/>
      <c r="X27" s="6">
        <f t="shared" si="18"/>
        <v>-19.010000000000005</v>
      </c>
      <c r="Y27" s="2"/>
      <c r="Z27" s="7">
        <f t="shared" si="19"/>
        <v>-0.13076975992295525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2"/>
        <v>0</v>
      </c>
      <c r="G28" s="2"/>
      <c r="H28" s="6">
        <v>415.1</v>
      </c>
      <c r="I28" s="2"/>
      <c r="J28" s="7">
        <f t="shared" si="13"/>
        <v>3.9209085399673866E-3</v>
      </c>
      <c r="K28" s="2"/>
      <c r="L28" s="6">
        <f t="shared" si="14"/>
        <v>-415.1</v>
      </c>
      <c r="M28" s="2"/>
      <c r="N28" s="7">
        <f t="shared" si="15"/>
        <v>-1</v>
      </c>
      <c r="O28" s="11"/>
      <c r="P28" s="6"/>
      <c r="Q28" s="2"/>
      <c r="R28" s="7">
        <f t="shared" si="16"/>
        <v>0</v>
      </c>
      <c r="S28" s="2"/>
      <c r="T28" s="6">
        <v>1446.8</v>
      </c>
      <c r="U28" s="2"/>
      <c r="V28" s="7">
        <f t="shared" si="17"/>
        <v>7.666547369226495E-3</v>
      </c>
      <c r="W28" s="2"/>
      <c r="X28" s="6">
        <f t="shared" si="18"/>
        <v>-1446.8</v>
      </c>
      <c r="Y28" s="2"/>
      <c r="Z28" s="7">
        <f t="shared" si="19"/>
        <v>-1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>
        <v>192.5</v>
      </c>
      <c r="E29" s="2"/>
      <c r="F29" s="7">
        <f t="shared" si="12"/>
        <v>1.998349830186979E-3</v>
      </c>
      <c r="G29" s="2"/>
      <c r="H29" s="6"/>
      <c r="I29" s="2"/>
      <c r="J29" s="7">
        <f t="shared" si="13"/>
        <v>0</v>
      </c>
      <c r="K29" s="2"/>
      <c r="L29" s="6">
        <f t="shared" si="14"/>
        <v>192.5</v>
      </c>
      <c r="M29" s="2"/>
      <c r="N29" s="7">
        <f t="shared" si="15"/>
        <v>0</v>
      </c>
      <c r="O29" s="11"/>
      <c r="P29" s="6">
        <v>577.5</v>
      </c>
      <c r="Q29" s="2"/>
      <c r="R29" s="7">
        <f t="shared" si="16"/>
        <v>3.7369563238133807E-3</v>
      </c>
      <c r="S29" s="2"/>
      <c r="T29" s="6">
        <v>573.96</v>
      </c>
      <c r="U29" s="2"/>
      <c r="V29" s="7">
        <f t="shared" si="17"/>
        <v>3.0413958584747302E-3</v>
      </c>
      <c r="W29" s="2"/>
      <c r="X29" s="6">
        <f t="shared" si="18"/>
        <v>3.5399999999999636</v>
      </c>
      <c r="Y29" s="2"/>
      <c r="Z29" s="7">
        <f t="shared" si="19"/>
        <v>6.1676771900480232E-3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>
        <v>230.62</v>
      </c>
      <c r="E30" s="2"/>
      <c r="F30" s="7">
        <f t="shared" si="12"/>
        <v>2.3940750017543955E-3</v>
      </c>
      <c r="G30" s="2"/>
      <c r="H30" s="6">
        <v>203.5</v>
      </c>
      <c r="I30" s="2"/>
      <c r="J30" s="7">
        <f t="shared" si="13"/>
        <v>1.9221991999117396E-3</v>
      </c>
      <c r="K30" s="2"/>
      <c r="L30" s="6">
        <f t="shared" si="14"/>
        <v>27.120000000000005</v>
      </c>
      <c r="M30" s="2"/>
      <c r="N30" s="7">
        <f t="shared" si="15"/>
        <v>0.13326781326781328</v>
      </c>
      <c r="O30" s="11"/>
      <c r="P30" s="6">
        <v>691.86</v>
      </c>
      <c r="Q30" s="2"/>
      <c r="R30" s="7">
        <f t="shared" si="16"/>
        <v>4.4769707397290482E-3</v>
      </c>
      <c r="S30" s="2"/>
      <c r="T30" s="6">
        <v>1371.8</v>
      </c>
      <c r="U30" s="2"/>
      <c r="V30" s="7">
        <f t="shared" si="17"/>
        <v>7.2691247450268909E-3</v>
      </c>
      <c r="W30" s="2"/>
      <c r="X30" s="6">
        <f t="shared" si="18"/>
        <v>-679.93999999999994</v>
      </c>
      <c r="Y30" s="2"/>
      <c r="Z30" s="7">
        <f t="shared" si="19"/>
        <v>-0.49565534334451083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>
        <v>174.71</v>
      </c>
      <c r="E31" s="2"/>
      <c r="F31" s="7">
        <f t="shared" si="12"/>
        <v>1.8136711627634657E-3</v>
      </c>
      <c r="G31" s="2"/>
      <c r="H31" s="6">
        <v>149.96</v>
      </c>
      <c r="I31" s="2"/>
      <c r="J31" s="7">
        <f t="shared" si="13"/>
        <v>1.416476619256828E-3</v>
      </c>
      <c r="K31" s="2"/>
      <c r="L31" s="6">
        <f t="shared" si="14"/>
        <v>24.75</v>
      </c>
      <c r="M31" s="2"/>
      <c r="N31" s="7">
        <f t="shared" si="15"/>
        <v>0.16504401173646305</v>
      </c>
      <c r="O31" s="11"/>
      <c r="P31" s="6">
        <v>466.13</v>
      </c>
      <c r="Q31" s="2"/>
      <c r="R31" s="7">
        <f t="shared" si="16"/>
        <v>3.0162899588210062E-3</v>
      </c>
      <c r="S31" s="2"/>
      <c r="T31" s="6">
        <v>444.8</v>
      </c>
      <c r="U31" s="2"/>
      <c r="V31" s="7">
        <f t="shared" si="17"/>
        <v>2.3569811099197853E-3</v>
      </c>
      <c r="W31" s="2"/>
      <c r="X31" s="6">
        <f t="shared" si="18"/>
        <v>21.329999999999984</v>
      </c>
      <c r="Y31" s="2"/>
      <c r="Z31" s="7">
        <f t="shared" si="19"/>
        <v>4.7954136690647443E-2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25048.79</v>
      </c>
      <c r="E32" s="1"/>
      <c r="F32" s="5">
        <f t="shared" ref="F32:F38" si="20">IF(D$12=0,0,D32/D$12)</f>
        <v>0.26003244282020416</v>
      </c>
      <c r="G32" s="1"/>
      <c r="H32" s="1">
        <f>SUM(OSRRefH22_1x_0)</f>
        <v>23014.68</v>
      </c>
      <c r="I32" s="1"/>
      <c r="J32" s="5">
        <f t="shared" ref="J32:J38" si="21">IF(H$12=0,0,H32/H$12)</f>
        <v>0.2173896780453303</v>
      </c>
      <c r="K32" s="1"/>
      <c r="L32" s="1">
        <f t="shared" ref="L32:L38" si="22">+D32-H32</f>
        <v>2034.1100000000006</v>
      </c>
      <c r="M32" s="1"/>
      <c r="N32" s="5">
        <f t="shared" ref="N32:N38" si="23">IF(H32=0,0,L32/H32)</f>
        <v>8.8383153708850207E-2</v>
      </c>
      <c r="O32" s="14"/>
      <c r="P32" s="1">
        <f>SUM(OSRRefP22_1x_0)</f>
        <v>53077.240000000005</v>
      </c>
      <c r="Q32" s="1"/>
      <c r="R32" s="5">
        <f t="shared" ref="R32:R38" si="24">IF(P$12=0,0,P32/P$12)</f>
        <v>0.34345857604945546</v>
      </c>
      <c r="S32" s="1"/>
      <c r="T32" s="1">
        <f>SUM(OSRRefT22_1x_0)</f>
        <v>54299.8</v>
      </c>
      <c r="U32" s="1"/>
      <c r="V32" s="5">
        <f t="shared" ref="V32:V38" si="25">IF(T$12=0,0,T32/T$12)</f>
        <v>0.28773292012684881</v>
      </c>
      <c r="W32" s="1"/>
      <c r="X32" s="1">
        <f t="shared" ref="X32:X38" si="26">+P32-T32</f>
        <v>-1222.5599999999977</v>
      </c>
      <c r="Y32" s="1"/>
      <c r="Z32" s="5">
        <f t="shared" ref="Z32:Z38" si="27">IF(T32=0,0,X32/T32)</f>
        <v>-2.2515000055248778E-2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0"/>
        <v>0</v>
      </c>
      <c r="G33" s="2"/>
      <c r="H33" s="6">
        <v>4411.72</v>
      </c>
      <c r="I33" s="2"/>
      <c r="J33" s="7">
        <f t="shared" si="21"/>
        <v>4.1671767342676268E-2</v>
      </c>
      <c r="K33" s="2"/>
      <c r="L33" s="6">
        <f t="shared" si="22"/>
        <v>-4411.72</v>
      </c>
      <c r="M33" s="2"/>
      <c r="N33" s="7">
        <f t="shared" si="23"/>
        <v>-1</v>
      </c>
      <c r="O33" s="11"/>
      <c r="P33" s="6"/>
      <c r="Q33" s="2"/>
      <c r="R33" s="7">
        <f t="shared" si="24"/>
        <v>0</v>
      </c>
      <c r="S33" s="2"/>
      <c r="T33" s="6">
        <v>14117.57</v>
      </c>
      <c r="U33" s="2"/>
      <c r="V33" s="7">
        <f t="shared" si="25"/>
        <v>7.4808556222954722E-2</v>
      </c>
      <c r="W33" s="2"/>
      <c r="X33" s="6">
        <f t="shared" si="26"/>
        <v>-14117.57</v>
      </c>
      <c r="Y33" s="2"/>
      <c r="Z33" s="7">
        <f t="shared" si="27"/>
        <v>-1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6">
        <v>6324.22</v>
      </c>
      <c r="E34" s="2"/>
      <c r="F34" s="7">
        <f t="shared" si="20"/>
        <v>6.5651968639299216E-2</v>
      </c>
      <c r="G34" s="2"/>
      <c r="H34" s="6"/>
      <c r="I34" s="2"/>
      <c r="J34" s="7">
        <f t="shared" si="21"/>
        <v>0</v>
      </c>
      <c r="K34" s="2"/>
      <c r="L34" s="6">
        <f t="shared" si="22"/>
        <v>6324.22</v>
      </c>
      <c r="M34" s="2"/>
      <c r="N34" s="7">
        <f t="shared" si="23"/>
        <v>0</v>
      </c>
      <c r="O34" s="11"/>
      <c r="P34" s="6">
        <v>16535.150000000001</v>
      </c>
      <c r="Q34" s="2"/>
      <c r="R34" s="7">
        <f t="shared" si="24"/>
        <v>0.10699763351983173</v>
      </c>
      <c r="S34" s="2"/>
      <c r="T34" s="6"/>
      <c r="U34" s="2"/>
      <c r="V34" s="7">
        <f t="shared" si="25"/>
        <v>0</v>
      </c>
      <c r="W34" s="2"/>
      <c r="X34" s="6">
        <f t="shared" si="26"/>
        <v>16535.150000000001</v>
      </c>
      <c r="Y34" s="2"/>
      <c r="Z34" s="7">
        <f t="shared" si="27"/>
        <v>0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6">
        <v>527</v>
      </c>
      <c r="E35" s="2"/>
      <c r="F35" s="7">
        <f t="shared" si="20"/>
        <v>5.4708070675768211E-3</v>
      </c>
      <c r="G35" s="2"/>
      <c r="H35" s="6">
        <v>2058.75</v>
      </c>
      <c r="I35" s="2"/>
      <c r="J35" s="7">
        <f t="shared" si="21"/>
        <v>1.9446327286576384E-2</v>
      </c>
      <c r="K35" s="2"/>
      <c r="L35" s="6">
        <f t="shared" si="22"/>
        <v>-1531.75</v>
      </c>
      <c r="M35" s="2"/>
      <c r="N35" s="7">
        <f t="shared" si="23"/>
        <v>-0.74401942926533093</v>
      </c>
      <c r="O35" s="11"/>
      <c r="P35" s="6">
        <v>1997.5</v>
      </c>
      <c r="Q35" s="2"/>
      <c r="R35" s="7">
        <f t="shared" si="24"/>
        <v>1.2925662782367493E-2</v>
      </c>
      <c r="S35" s="2"/>
      <c r="T35" s="6">
        <v>5440.45</v>
      </c>
      <c r="U35" s="2"/>
      <c r="V35" s="7">
        <f t="shared" si="25"/>
        <v>2.8828772211023146E-2</v>
      </c>
      <c r="W35" s="2"/>
      <c r="X35" s="6">
        <f t="shared" si="26"/>
        <v>-3442.95</v>
      </c>
      <c r="Y35" s="2"/>
      <c r="Z35" s="7">
        <f t="shared" si="27"/>
        <v>-0.63284287145364815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>
        <v>29.25</v>
      </c>
      <c r="Q36" s="2"/>
      <c r="R36" s="7">
        <f t="shared" si="24"/>
        <v>1.8927441120613226E-4</v>
      </c>
      <c r="S36" s="2"/>
      <c r="T36" s="6"/>
      <c r="U36" s="2"/>
      <c r="V36" s="7">
        <f t="shared" si="25"/>
        <v>0</v>
      </c>
      <c r="W36" s="2"/>
      <c r="X36" s="6">
        <f t="shared" si="26"/>
        <v>29.25</v>
      </c>
      <c r="Y36" s="2"/>
      <c r="Z36" s="7">
        <f t="shared" si="27"/>
        <v>0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6">
        <v>18197.57</v>
      </c>
      <c r="E37" s="2"/>
      <c r="F37" s="7">
        <f t="shared" si="20"/>
        <v>0.18890966711332813</v>
      </c>
      <c r="G37" s="2"/>
      <c r="H37" s="6">
        <v>15969.46</v>
      </c>
      <c r="I37" s="2"/>
      <c r="J37" s="7">
        <f t="shared" si="21"/>
        <v>0.15084266945957014</v>
      </c>
      <c r="K37" s="2"/>
      <c r="L37" s="6">
        <f t="shared" si="22"/>
        <v>2228.1100000000006</v>
      </c>
      <c r="M37" s="2"/>
      <c r="N37" s="7">
        <f t="shared" si="23"/>
        <v>0.13952318988870011</v>
      </c>
      <c r="O37" s="11"/>
      <c r="P37" s="6">
        <v>34515.340000000004</v>
      </c>
      <c r="Q37" s="2"/>
      <c r="R37" s="7">
        <f t="shared" si="24"/>
        <v>0.22334600533605012</v>
      </c>
      <c r="S37" s="2"/>
      <c r="T37" s="6">
        <v>34167.03</v>
      </c>
      <c r="U37" s="2"/>
      <c r="V37" s="7">
        <f t="shared" si="25"/>
        <v>0.18105000964942131</v>
      </c>
      <c r="W37" s="2"/>
      <c r="X37" s="6">
        <f t="shared" si="26"/>
        <v>348.31000000000495</v>
      </c>
      <c r="Y37" s="2"/>
      <c r="Z37" s="7">
        <f t="shared" si="27"/>
        <v>1.0194330616386761E-2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574.75</v>
      </c>
      <c r="I38" s="2"/>
      <c r="J38" s="7">
        <f t="shared" si="21"/>
        <v>5.4289139565074805E-3</v>
      </c>
      <c r="K38" s="2"/>
      <c r="L38" s="6">
        <f t="shared" si="22"/>
        <v>-574.75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574.75</v>
      </c>
      <c r="U38" s="2"/>
      <c r="V38" s="7">
        <f t="shared" si="25"/>
        <v>3.0455820434496326E-3</v>
      </c>
      <c r="W38" s="2"/>
      <c r="X38" s="6">
        <f t="shared" si="26"/>
        <v>-574.75</v>
      </c>
      <c r="Y38" s="2"/>
      <c r="Z38" s="7">
        <f t="shared" si="27"/>
        <v>-1</v>
      </c>
    </row>
    <row r="39" spans="1:26" s="29" customFormat="1" outlineLevel="1" collapsed="1" x14ac:dyDescent="0.25">
      <c r="A39" s="27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392.74</v>
      </c>
      <c r="E39" s="1"/>
      <c r="F39" s="5">
        <f t="shared" ref="F39:F53" si="28">IF(D$12=0,0,D39/D$12)</f>
        <v>4.0770488951045935E-3</v>
      </c>
      <c r="G39" s="1"/>
      <c r="H39" s="1">
        <f>SUM(OSRRefH22_2x_0)</f>
        <v>0</v>
      </c>
      <c r="I39" s="1"/>
      <c r="J39" s="5">
        <f t="shared" ref="J39:J53" si="29">IF(H$12=0,0,H39/H$12)</f>
        <v>0</v>
      </c>
      <c r="K39" s="1"/>
      <c r="L39" s="1">
        <f t="shared" ref="L39:L53" si="30">+D39-H39</f>
        <v>392.74</v>
      </c>
      <c r="M39" s="1"/>
      <c r="N39" s="5">
        <f t="shared" ref="N39:N53" si="31">IF(H39=0,0,L39/H39)</f>
        <v>0</v>
      </c>
      <c r="O39" s="14"/>
      <c r="P39" s="1">
        <f>SUM(OSRRefP22_2x_0)</f>
        <v>531.21</v>
      </c>
      <c r="Q39" s="1"/>
      <c r="R39" s="5">
        <f t="shared" ref="R39:R53" si="32">IF(P$12=0,0,P39/P$12)</f>
        <v>3.437417435104599E-3</v>
      </c>
      <c r="S39" s="1"/>
      <c r="T39" s="1">
        <f>SUM(OSRRefT22_2x_0)</f>
        <v>78</v>
      </c>
      <c r="U39" s="1"/>
      <c r="V39" s="5">
        <f t="shared" ref="V39:V53" si="33">IF(T$12=0,0,T39/T$12)</f>
        <v>4.1331952916758821E-4</v>
      </c>
      <c r="W39" s="1"/>
      <c r="X39" s="1">
        <f t="shared" ref="X39:X53" si="34">+P39-T39</f>
        <v>453.21000000000004</v>
      </c>
      <c r="Y39" s="1"/>
      <c r="Z39" s="5">
        <f t="shared" ref="Z39:Z53" si="35">IF(T39=0,0,X39/T39)</f>
        <v>5.8103846153846161</v>
      </c>
    </row>
    <row r="40" spans="1:26" s="24" customFormat="1" hidden="1" outlineLevel="2" x14ac:dyDescent="0.25">
      <c r="A40" s="28"/>
      <c r="B40" s="11" t="str">
        <f>CONCATENATE("          ", "6362", " - ", "ADVERTISING EXPENSE")</f>
        <v xml:space="preserve">          6362 - ADVERTISING EXPENSE</v>
      </c>
      <c r="C40" s="11"/>
      <c r="D40" s="6">
        <v>392.74</v>
      </c>
      <c r="E40" s="2"/>
      <c r="F40" s="7">
        <f t="shared" si="28"/>
        <v>4.0770488951045935E-3</v>
      </c>
      <c r="G40" s="2"/>
      <c r="H40" s="6"/>
      <c r="I40" s="2"/>
      <c r="J40" s="7">
        <f t="shared" si="29"/>
        <v>0</v>
      </c>
      <c r="K40" s="2"/>
      <c r="L40" s="6">
        <f t="shared" si="30"/>
        <v>392.74</v>
      </c>
      <c r="M40" s="2"/>
      <c r="N40" s="7">
        <f t="shared" si="31"/>
        <v>0</v>
      </c>
      <c r="O40" s="11"/>
      <c r="P40" s="6">
        <v>531.21</v>
      </c>
      <c r="Q40" s="2"/>
      <c r="R40" s="7">
        <f t="shared" si="32"/>
        <v>3.437417435104599E-3</v>
      </c>
      <c r="S40" s="2"/>
      <c r="T40" s="6">
        <v>78</v>
      </c>
      <c r="U40" s="2"/>
      <c r="V40" s="7">
        <f t="shared" si="33"/>
        <v>4.1331952916758821E-4</v>
      </c>
      <c r="W40" s="2"/>
      <c r="X40" s="6">
        <f t="shared" si="34"/>
        <v>453.21000000000004</v>
      </c>
      <c r="Y40" s="2"/>
      <c r="Z40" s="7">
        <f t="shared" si="35"/>
        <v>5.8103846153846161</v>
      </c>
    </row>
    <row r="41" spans="1:26" s="29" customFormat="1" outlineLevel="1" collapsed="1" x14ac:dyDescent="0.25">
      <c r="A41" s="27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-2.0299999999999998</v>
      </c>
      <c r="E41" s="1"/>
      <c r="F41" s="5">
        <f t="shared" si="28"/>
        <v>-2.1073507300153596E-5</v>
      </c>
      <c r="G41" s="1"/>
      <c r="H41" s="1">
        <f>SUM(OSRRefH22_3x_0)</f>
        <v>22.53</v>
      </c>
      <c r="I41" s="1"/>
      <c r="J41" s="5">
        <f t="shared" si="29"/>
        <v>2.1281153795583044E-4</v>
      </c>
      <c r="K41" s="1"/>
      <c r="L41" s="1">
        <f t="shared" si="30"/>
        <v>-24.560000000000002</v>
      </c>
      <c r="M41" s="1"/>
      <c r="N41" s="5">
        <f t="shared" si="31"/>
        <v>-1.0901020861074124</v>
      </c>
      <c r="O41" s="14"/>
      <c r="P41" s="1">
        <f>SUM(OSRRefP22_3x_0)</f>
        <v>0.2</v>
      </c>
      <c r="Q41" s="1"/>
      <c r="R41" s="5">
        <f t="shared" si="32"/>
        <v>1.2941840082470582E-6</v>
      </c>
      <c r="S41" s="1"/>
      <c r="T41" s="1">
        <f>SUM(OSRRefT22_3x_0)</f>
        <v>51.12</v>
      </c>
      <c r="U41" s="1"/>
      <c r="V41" s="5">
        <f t="shared" si="33"/>
        <v>2.7088326065445009E-4</v>
      </c>
      <c r="W41" s="1"/>
      <c r="X41" s="1">
        <f t="shared" si="34"/>
        <v>-50.919999999999995</v>
      </c>
      <c r="Y41" s="1"/>
      <c r="Z41" s="5">
        <f t="shared" si="35"/>
        <v>-0.9960876369327073</v>
      </c>
    </row>
    <row r="42" spans="1:26" s="24" customFormat="1" hidden="1" outlineLevel="2" x14ac:dyDescent="0.25">
      <c r="A42" s="28"/>
      <c r="B42" s="11" t="str">
        <f>CONCATENATE("          ", "6272", " - ", "CASH (OVER/SHORT)")</f>
        <v xml:space="preserve">          6272 - CASH (OVER/SHORT)</v>
      </c>
      <c r="C42" s="11"/>
      <c r="D42" s="6">
        <v>-2.0299999999999998</v>
      </c>
      <c r="E42" s="2"/>
      <c r="F42" s="7">
        <f t="shared" si="28"/>
        <v>-2.1073507300153596E-5</v>
      </c>
      <c r="G42" s="2"/>
      <c r="H42" s="6">
        <v>22.53</v>
      </c>
      <c r="I42" s="2"/>
      <c r="J42" s="7">
        <f t="shared" si="29"/>
        <v>2.1281153795583044E-4</v>
      </c>
      <c r="K42" s="2"/>
      <c r="L42" s="6">
        <f t="shared" si="30"/>
        <v>-24.560000000000002</v>
      </c>
      <c r="M42" s="2"/>
      <c r="N42" s="7">
        <f t="shared" si="31"/>
        <v>-1.0901020861074124</v>
      </c>
      <c r="O42" s="11"/>
      <c r="P42" s="6">
        <v>0.2</v>
      </c>
      <c r="Q42" s="2"/>
      <c r="R42" s="7">
        <f t="shared" si="32"/>
        <v>1.2941840082470582E-6</v>
      </c>
      <c r="S42" s="2"/>
      <c r="T42" s="6">
        <v>51.12</v>
      </c>
      <c r="U42" s="2"/>
      <c r="V42" s="7">
        <f t="shared" si="33"/>
        <v>2.7088326065445009E-4</v>
      </c>
      <c r="W42" s="2"/>
      <c r="X42" s="6">
        <f t="shared" si="34"/>
        <v>-50.919999999999995</v>
      </c>
      <c r="Y42" s="2"/>
      <c r="Z42" s="7">
        <f t="shared" si="35"/>
        <v>-0.9960876369327073</v>
      </c>
    </row>
    <row r="43" spans="1:26" s="29" customFormat="1" outlineLevel="1" collapsed="1" x14ac:dyDescent="0.2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2514.7800000000002</v>
      </c>
      <c r="E43" s="1"/>
      <c r="F43" s="5">
        <f t="shared" si="28"/>
        <v>2.6106026940039544E-2</v>
      </c>
      <c r="G43" s="1"/>
      <c r="H43" s="1">
        <f>SUM(OSRRefH22_4x_0)</f>
        <v>2733.96</v>
      </c>
      <c r="I43" s="1"/>
      <c r="J43" s="5">
        <f t="shared" si="29"/>
        <v>2.5824155894794594E-2</v>
      </c>
      <c r="K43" s="1"/>
      <c r="L43" s="1">
        <f t="shared" si="30"/>
        <v>-219.17999999999984</v>
      </c>
      <c r="M43" s="1"/>
      <c r="N43" s="5">
        <f t="shared" si="31"/>
        <v>-8.0169424570951969E-2</v>
      </c>
      <c r="O43" s="14"/>
      <c r="P43" s="1">
        <f>SUM(OSRRefP22_4x_0)</f>
        <v>3779.52</v>
      </c>
      <c r="Q43" s="1"/>
      <c r="R43" s="5">
        <f t="shared" si="32"/>
        <v>2.4456971714249608E-2</v>
      </c>
      <c r="S43" s="1"/>
      <c r="T43" s="1">
        <f>SUM(OSRRefT22_4x_0)</f>
        <v>4666.1099999999997</v>
      </c>
      <c r="U43" s="1"/>
      <c r="V43" s="5">
        <f t="shared" si="33"/>
        <v>2.4725569080053526E-2</v>
      </c>
      <c r="W43" s="1"/>
      <c r="X43" s="1">
        <f t="shared" si="34"/>
        <v>-886.58999999999969</v>
      </c>
      <c r="Y43" s="1"/>
      <c r="Z43" s="5">
        <f t="shared" si="35"/>
        <v>-0.19000623645820602</v>
      </c>
    </row>
    <row r="44" spans="1:26" s="24" customFormat="1" hidden="1" outlineLevel="2" x14ac:dyDescent="0.25">
      <c r="A44" s="28"/>
      <c r="B44" s="11" t="str">
        <f>CONCATENATE("          ", "6381", " - ", "BANK/CREDIT CARD FEES")</f>
        <v xml:space="preserve">          6381 - BANK/CREDIT CARD FEES</v>
      </c>
      <c r="C44" s="11"/>
      <c r="D44" s="6">
        <v>2514.7800000000002</v>
      </c>
      <c r="E44" s="2"/>
      <c r="F44" s="7">
        <f t="shared" si="28"/>
        <v>2.6106026940039544E-2</v>
      </c>
      <c r="G44" s="2"/>
      <c r="H44" s="6">
        <v>2733.96</v>
      </c>
      <c r="I44" s="2"/>
      <c r="J44" s="7">
        <f t="shared" si="29"/>
        <v>2.5824155894794594E-2</v>
      </c>
      <c r="K44" s="2"/>
      <c r="L44" s="6">
        <f t="shared" si="30"/>
        <v>-219.17999999999984</v>
      </c>
      <c r="M44" s="2"/>
      <c r="N44" s="7">
        <f t="shared" si="31"/>
        <v>-8.0169424570951969E-2</v>
      </c>
      <c r="O44" s="11"/>
      <c r="P44" s="6">
        <v>3779.52</v>
      </c>
      <c r="Q44" s="2"/>
      <c r="R44" s="7">
        <f t="shared" si="32"/>
        <v>2.4456971714249608E-2</v>
      </c>
      <c r="S44" s="2"/>
      <c r="T44" s="6">
        <v>4666.1099999999997</v>
      </c>
      <c r="U44" s="2"/>
      <c r="V44" s="7">
        <f t="shared" si="33"/>
        <v>2.4725569080053526E-2</v>
      </c>
      <c r="W44" s="2"/>
      <c r="X44" s="6">
        <f t="shared" si="34"/>
        <v>-886.58999999999969</v>
      </c>
      <c r="Y44" s="2"/>
      <c r="Z44" s="7">
        <f t="shared" si="35"/>
        <v>-0.19000623645820602</v>
      </c>
    </row>
    <row r="45" spans="1:26" s="29" customFormat="1" outlineLevel="1" collapsed="1" x14ac:dyDescent="0.2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1647.59</v>
      </c>
      <c r="E45" s="1"/>
      <c r="F45" s="5">
        <f t="shared" si="28"/>
        <v>1.7103694528403973E-2</v>
      </c>
      <c r="G45" s="1"/>
      <c r="H45" s="1">
        <f>SUM(OSRRefH22_5x_0)</f>
        <v>1147.5899999999999</v>
      </c>
      <c r="I45" s="1"/>
      <c r="J45" s="5">
        <f t="shared" si="29"/>
        <v>1.08397866330551E-2</v>
      </c>
      <c r="K45" s="1"/>
      <c r="L45" s="1">
        <f t="shared" si="30"/>
        <v>500</v>
      </c>
      <c r="M45" s="1"/>
      <c r="N45" s="5">
        <f t="shared" si="31"/>
        <v>0.43569567528472714</v>
      </c>
      <c r="O45" s="14"/>
      <c r="P45" s="1">
        <f>SUM(OSRRefP22_5x_0)</f>
        <v>4942.7700000000004</v>
      </c>
      <c r="Q45" s="1"/>
      <c r="R45" s="5">
        <f t="shared" si="32"/>
        <v>3.1984269452216559E-2</v>
      </c>
      <c r="S45" s="1"/>
      <c r="T45" s="1">
        <f>SUM(OSRRefT22_5x_0)</f>
        <v>3442.77</v>
      </c>
      <c r="U45" s="1"/>
      <c r="V45" s="5">
        <f t="shared" si="33"/>
        <v>1.8243129172208945E-2</v>
      </c>
      <c r="W45" s="1"/>
      <c r="X45" s="1">
        <f t="shared" si="34"/>
        <v>1500.0000000000005</v>
      </c>
      <c r="Y45" s="1"/>
      <c r="Z45" s="5">
        <f t="shared" si="35"/>
        <v>0.43569567528472725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1647.59</v>
      </c>
      <c r="E46" s="2"/>
      <c r="F46" s="7">
        <f t="shared" si="28"/>
        <v>1.7103694528403973E-2</v>
      </c>
      <c r="G46" s="2"/>
      <c r="H46" s="6">
        <v>1147.5899999999999</v>
      </c>
      <c r="I46" s="2"/>
      <c r="J46" s="7">
        <f t="shared" si="29"/>
        <v>1.08397866330551E-2</v>
      </c>
      <c r="K46" s="2"/>
      <c r="L46" s="6">
        <f t="shared" si="30"/>
        <v>500</v>
      </c>
      <c r="M46" s="2"/>
      <c r="N46" s="7">
        <f t="shared" si="31"/>
        <v>0.43569567528472714</v>
      </c>
      <c r="O46" s="11"/>
      <c r="P46" s="6">
        <v>4942.7700000000004</v>
      </c>
      <c r="Q46" s="2"/>
      <c r="R46" s="7">
        <f t="shared" si="32"/>
        <v>3.1984269452216559E-2</v>
      </c>
      <c r="S46" s="2"/>
      <c r="T46" s="6">
        <v>3442.77</v>
      </c>
      <c r="U46" s="2"/>
      <c r="V46" s="7">
        <f t="shared" si="33"/>
        <v>1.8243129172208945E-2</v>
      </c>
      <c r="W46" s="2"/>
      <c r="X46" s="6">
        <f t="shared" si="34"/>
        <v>1500.0000000000005</v>
      </c>
      <c r="Y46" s="2"/>
      <c r="Z46" s="7">
        <f t="shared" si="35"/>
        <v>0.43569567528472725</v>
      </c>
    </row>
    <row r="47" spans="1:26" s="29" customFormat="1" outlineLevel="1" collapsed="1" x14ac:dyDescent="0.25">
      <c r="A47" s="27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SUM(OSRRefD22_6x_0)</f>
        <v>118.91</v>
      </c>
      <c r="E47" s="1"/>
      <c r="F47" s="5">
        <f t="shared" si="28"/>
        <v>1.234409237961214E-3</v>
      </c>
      <c r="G47" s="1"/>
      <c r="H47" s="1">
        <f>SUM(OSRRefH22_6x_0)</f>
        <v>118.91</v>
      </c>
      <c r="I47" s="1"/>
      <c r="J47" s="5">
        <f t="shared" si="29"/>
        <v>1.1231877487051841E-3</v>
      </c>
      <c r="K47" s="1"/>
      <c r="L47" s="1">
        <f t="shared" si="30"/>
        <v>0</v>
      </c>
      <c r="M47" s="1"/>
      <c r="N47" s="5">
        <f t="shared" si="31"/>
        <v>0</v>
      </c>
      <c r="O47" s="14"/>
      <c r="P47" s="1">
        <f>SUM(OSRRefP22_6x_0)</f>
        <v>356.73</v>
      </c>
      <c r="Q47" s="1"/>
      <c r="R47" s="5">
        <f t="shared" si="32"/>
        <v>2.3083713063098655E-3</v>
      </c>
      <c r="S47" s="1"/>
      <c r="T47" s="1">
        <f>SUM(OSRRefT22_6x_0)</f>
        <v>356.73</v>
      </c>
      <c r="U47" s="1"/>
      <c r="V47" s="5">
        <f t="shared" si="33"/>
        <v>1.8903009697429968E-3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8"/>
      <c r="B48" s="11" t="str">
        <f>CONCATENATE("          ", "6351", " - ", "EQUIPMENT RENTAL")</f>
        <v xml:space="preserve">          6351 - EQUIPMENT RENTAL</v>
      </c>
      <c r="C48" s="11"/>
      <c r="D48" s="6">
        <v>118.91</v>
      </c>
      <c r="E48" s="2"/>
      <c r="F48" s="7">
        <f t="shared" si="28"/>
        <v>1.234409237961214E-3</v>
      </c>
      <c r="G48" s="2"/>
      <c r="H48" s="6">
        <v>118.91</v>
      </c>
      <c r="I48" s="2"/>
      <c r="J48" s="7">
        <f t="shared" si="29"/>
        <v>1.1231877487051841E-3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356.73</v>
      </c>
      <c r="Q48" s="2"/>
      <c r="R48" s="7">
        <f t="shared" si="32"/>
        <v>2.3083713063098655E-3</v>
      </c>
      <c r="S48" s="2"/>
      <c r="T48" s="6">
        <v>356.73</v>
      </c>
      <c r="U48" s="2"/>
      <c r="V48" s="7">
        <f t="shared" si="33"/>
        <v>1.8903009697429968E-3</v>
      </c>
      <c r="W48" s="2"/>
      <c r="X48" s="6">
        <f t="shared" si="34"/>
        <v>0</v>
      </c>
      <c r="Y48" s="2"/>
      <c r="Z48" s="7">
        <f t="shared" si="35"/>
        <v>0</v>
      </c>
    </row>
    <row r="49" spans="1:26" s="29" customFormat="1" outlineLevel="1" collapsed="1" x14ac:dyDescent="0.2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SUM(OSRRefD22_7x_0)</f>
        <v>967.23</v>
      </c>
      <c r="E49" s="1"/>
      <c r="F49" s="5">
        <f t="shared" si="28"/>
        <v>1.0040851461048063E-2</v>
      </c>
      <c r="G49" s="1"/>
      <c r="H49" s="1">
        <f>SUM(OSRRefH22_7x_0)</f>
        <v>967.23</v>
      </c>
      <c r="I49" s="1"/>
      <c r="J49" s="5">
        <f t="shared" si="29"/>
        <v>9.1361608458507704E-3</v>
      </c>
      <c r="K49" s="1"/>
      <c r="L49" s="1">
        <f t="shared" si="30"/>
        <v>0</v>
      </c>
      <c r="M49" s="1"/>
      <c r="N49" s="5">
        <f t="shared" si="31"/>
        <v>0</v>
      </c>
      <c r="O49" s="14"/>
      <c r="P49" s="1">
        <f>SUM(OSRRefP22_7x_0)</f>
        <v>2736.74</v>
      </c>
      <c r="Q49" s="1"/>
      <c r="R49" s="5">
        <f t="shared" si="32"/>
        <v>1.7709225713650269E-2</v>
      </c>
      <c r="S49" s="1"/>
      <c r="T49" s="1">
        <f>SUM(OSRRefT22_7x_0)</f>
        <v>4197.6499999999996</v>
      </c>
      <c r="U49" s="1"/>
      <c r="V49" s="5">
        <f t="shared" si="33"/>
        <v>2.2243214379619573E-2</v>
      </c>
      <c r="W49" s="1"/>
      <c r="X49" s="1">
        <f t="shared" si="34"/>
        <v>-1460.9099999999999</v>
      </c>
      <c r="Y49" s="1"/>
      <c r="Z49" s="5">
        <f t="shared" si="35"/>
        <v>-0.34803044560647028</v>
      </c>
    </row>
    <row r="50" spans="1:26" s="24" customFormat="1" hidden="1" outlineLevel="2" x14ac:dyDescent="0.25">
      <c r="A50" s="28"/>
      <c r="B50" s="11" t="str">
        <f>CONCATENATE("          ", "6279", " - ", "GENERAL EXPENSE")</f>
        <v xml:space="preserve">          6279 - GENERAL EXPENSE</v>
      </c>
      <c r="C50" s="11"/>
      <c r="D50" s="6">
        <v>967.23</v>
      </c>
      <c r="E50" s="2"/>
      <c r="F50" s="7">
        <f t="shared" si="28"/>
        <v>1.0040851461048063E-2</v>
      </c>
      <c r="G50" s="2"/>
      <c r="H50" s="6">
        <v>967.23</v>
      </c>
      <c r="I50" s="2"/>
      <c r="J50" s="7">
        <f t="shared" si="29"/>
        <v>9.1361608458507704E-3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>
        <v>2736.74</v>
      </c>
      <c r="Q50" s="2"/>
      <c r="R50" s="7">
        <f t="shared" si="32"/>
        <v>1.7709225713650269E-2</v>
      </c>
      <c r="S50" s="2"/>
      <c r="T50" s="6">
        <v>4197.6499999999996</v>
      </c>
      <c r="U50" s="2"/>
      <c r="V50" s="7">
        <f t="shared" si="33"/>
        <v>2.2243214379619573E-2</v>
      </c>
      <c r="W50" s="2"/>
      <c r="X50" s="6">
        <f t="shared" si="34"/>
        <v>-1460.9099999999999</v>
      </c>
      <c r="Y50" s="2"/>
      <c r="Z50" s="7">
        <f t="shared" si="35"/>
        <v>-0.34803044560647028</v>
      </c>
    </row>
    <row r="51" spans="1:26" s="29" customFormat="1" outlineLevel="1" collapsed="1" x14ac:dyDescent="0.25">
      <c r="A51" s="27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SUM(OSRRefD22_8x_0)</f>
        <v>410.33</v>
      </c>
      <c r="E51" s="1"/>
      <c r="F51" s="5">
        <f t="shared" si="28"/>
        <v>4.2596513549123284E-3</v>
      </c>
      <c r="G51" s="1"/>
      <c r="H51" s="1">
        <f>SUM(OSRRefH22_8x_0)</f>
        <v>264.83000000000004</v>
      </c>
      <c r="I51" s="1"/>
      <c r="J51" s="5">
        <f t="shared" si="29"/>
        <v>2.5015037548531995E-3</v>
      </c>
      <c r="K51" s="1"/>
      <c r="L51" s="1">
        <f t="shared" si="30"/>
        <v>145.49999999999994</v>
      </c>
      <c r="M51" s="1"/>
      <c r="N51" s="5">
        <f t="shared" si="31"/>
        <v>0.54940905486538505</v>
      </c>
      <c r="O51" s="14"/>
      <c r="P51" s="1">
        <f>SUM(OSRRefP22_8x_0)</f>
        <v>3594.63</v>
      </c>
      <c r="Q51" s="1"/>
      <c r="R51" s="5">
        <f t="shared" si="32"/>
        <v>2.3260563307825614E-2</v>
      </c>
      <c r="S51" s="1"/>
      <c r="T51" s="1">
        <f>SUM(OSRRefT22_8x_0)</f>
        <v>3537.04</v>
      </c>
      <c r="U51" s="1"/>
      <c r="V51" s="5">
        <f t="shared" si="33"/>
        <v>1.8742662915986235E-2</v>
      </c>
      <c r="W51" s="1"/>
      <c r="X51" s="1">
        <f t="shared" si="34"/>
        <v>57.590000000000146</v>
      </c>
      <c r="Y51" s="1"/>
      <c r="Z51" s="5">
        <f t="shared" si="35"/>
        <v>1.6281975889444321E-2</v>
      </c>
    </row>
    <row r="52" spans="1:26" s="24" customFormat="1" hidden="1" outlineLevel="2" x14ac:dyDescent="0.25">
      <c r="A52" s="28"/>
      <c r="B52" s="11" t="str">
        <f>CONCATENATE("          ", "6373", " - ", "MAINTENANCE CONTRACTS")</f>
        <v xml:space="preserve">          6373 - MAINTENANCE CONTRACTS</v>
      </c>
      <c r="C52" s="11"/>
      <c r="D52" s="6"/>
      <c r="E52" s="2"/>
      <c r="F52" s="7">
        <f t="shared" si="28"/>
        <v>0</v>
      </c>
      <c r="G52" s="2"/>
      <c r="H52" s="6">
        <v>110.97</v>
      </c>
      <c r="I52" s="2"/>
      <c r="J52" s="7">
        <f t="shared" si="29"/>
        <v>1.0481889199715269E-3</v>
      </c>
      <c r="K52" s="2"/>
      <c r="L52" s="6">
        <f t="shared" si="30"/>
        <v>-110.97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110.97</v>
      </c>
      <c r="U52" s="2"/>
      <c r="V52" s="7">
        <f t="shared" si="33"/>
        <v>5.8802651476573412E-4</v>
      </c>
      <c r="W52" s="2"/>
      <c r="X52" s="6">
        <f t="shared" si="34"/>
        <v>-110.97</v>
      </c>
      <c r="Y52" s="2"/>
      <c r="Z52" s="7">
        <f t="shared" si="35"/>
        <v>-1</v>
      </c>
    </row>
    <row r="53" spans="1:26" s="24" customFormat="1" hidden="1" outlineLevel="2" x14ac:dyDescent="0.25">
      <c r="A53" s="28"/>
      <c r="B53" s="11" t="str">
        <f>CONCATENATE("          ", "6375", " - ", "OUTSIDE REPAIRS &amp; MAINTENANCE")</f>
        <v xml:space="preserve">          6375 - OUTSIDE REPAIRS &amp; MAINTENANCE</v>
      </c>
      <c r="C53" s="11"/>
      <c r="D53" s="6">
        <v>410.33</v>
      </c>
      <c r="E53" s="2"/>
      <c r="F53" s="7">
        <f t="shared" si="28"/>
        <v>4.2596513549123284E-3</v>
      </c>
      <c r="G53" s="2"/>
      <c r="H53" s="6">
        <v>153.86000000000001</v>
      </c>
      <c r="I53" s="2"/>
      <c r="J53" s="7">
        <f t="shared" si="29"/>
        <v>1.4533148348816721E-3</v>
      </c>
      <c r="K53" s="2"/>
      <c r="L53" s="6">
        <f t="shared" si="30"/>
        <v>256.46999999999997</v>
      </c>
      <c r="M53" s="2"/>
      <c r="N53" s="7">
        <f t="shared" si="31"/>
        <v>1.6669049785519301</v>
      </c>
      <c r="O53" s="11"/>
      <c r="P53" s="6">
        <v>3594.63</v>
      </c>
      <c r="Q53" s="2"/>
      <c r="R53" s="7">
        <f t="shared" si="32"/>
        <v>2.3260563307825614E-2</v>
      </c>
      <c r="S53" s="2"/>
      <c r="T53" s="6">
        <v>3426.07</v>
      </c>
      <c r="U53" s="2"/>
      <c r="V53" s="7">
        <f t="shared" si="33"/>
        <v>1.81546364012205E-2</v>
      </c>
      <c r="W53" s="2"/>
      <c r="X53" s="6">
        <f t="shared" si="34"/>
        <v>168.55999999999995</v>
      </c>
      <c r="Y53" s="2"/>
      <c r="Z53" s="7">
        <f t="shared" si="35"/>
        <v>4.9199228270292182E-2</v>
      </c>
    </row>
    <row r="54" spans="1:26" s="29" customFormat="1" outlineLevel="1" collapsed="1" x14ac:dyDescent="0.25">
      <c r="A54" s="27"/>
      <c r="B54" s="14" t="str">
        <f>CONCATENATE("     ","Royalty &amp; Commissions                             ")</f>
        <v xml:space="preserve">     Royalty &amp; Commissions                             </v>
      </c>
      <c r="C54" s="14"/>
      <c r="D54" s="1">
        <f>SUM(OSRRefD22_9x_0)</f>
        <v>7706.32</v>
      </c>
      <c r="E54" s="1"/>
      <c r="F54" s="5">
        <f t="shared" ref="F54:F67" si="36">IF(D$12=0,0,D54/D$12)</f>
        <v>7.9999601368137774E-2</v>
      </c>
      <c r="G54" s="1"/>
      <c r="H54" s="1">
        <f>SUM(OSRRefH22_9x_0)</f>
        <v>8469.44</v>
      </c>
      <c r="I54" s="1"/>
      <c r="J54" s="5">
        <f t="shared" ref="J54:J67" si="37">IF(H$12=0,0,H54/H$12)</f>
        <v>7.9999758190174367E-2</v>
      </c>
      <c r="K54" s="1"/>
      <c r="L54" s="1">
        <f t="shared" ref="L54:L67" si="38">+D54-H54</f>
        <v>-763.1200000000008</v>
      </c>
      <c r="M54" s="1"/>
      <c r="N54" s="5">
        <f t="shared" ref="N54:N67" si="39">IF(H54=0,0,L54/H54)</f>
        <v>-9.0102769486530482E-2</v>
      </c>
      <c r="O54" s="14"/>
      <c r="P54" s="1">
        <f>SUM(OSRRefP22_9x_0)</f>
        <v>9143.2000000000007</v>
      </c>
      <c r="Q54" s="1"/>
      <c r="R54" s="5">
        <f t="shared" ref="R54:R67" si="40">IF(P$12=0,0,P54/P$12)</f>
        <v>5.9164916121022516E-2</v>
      </c>
      <c r="S54" s="1"/>
      <c r="T54" s="1">
        <f>SUM(OSRRefT22_9x_0)</f>
        <v>15097.28</v>
      </c>
      <c r="U54" s="1"/>
      <c r="V54" s="5">
        <f t="shared" ref="V54:V67" si="41">IF(T$12=0,0,T54/T$12)</f>
        <v>8.0000008478349316E-2</v>
      </c>
      <c r="W54" s="1"/>
      <c r="X54" s="1">
        <f t="shared" ref="X54:X67" si="42">+P54-T54</f>
        <v>-5954.08</v>
      </c>
      <c r="Y54" s="1"/>
      <c r="Z54" s="5">
        <f t="shared" ref="Z54:Z67" si="43">IF(T54=0,0,X54/T54)</f>
        <v>-0.39438097458615062</v>
      </c>
    </row>
    <row r="55" spans="1:26" s="24" customFormat="1" hidden="1" outlineLevel="2" x14ac:dyDescent="0.25">
      <c r="A55" s="28"/>
      <c r="B55" s="11" t="str">
        <f>CONCATENATE("          ", "6259", " - ", "ROYALTY &amp; COMMISSIONS")</f>
        <v xml:space="preserve">          6259 - ROYALTY &amp; COMMISSIONS</v>
      </c>
      <c r="C55" s="11"/>
      <c r="D55" s="6">
        <v>7706.32</v>
      </c>
      <c r="E55" s="2"/>
      <c r="F55" s="7">
        <f t="shared" si="36"/>
        <v>7.9999601368137774E-2</v>
      </c>
      <c r="G55" s="2"/>
      <c r="H55" s="6">
        <v>8469.44</v>
      </c>
      <c r="I55" s="2"/>
      <c r="J55" s="7">
        <f t="shared" si="37"/>
        <v>7.9999758190174367E-2</v>
      </c>
      <c r="K55" s="2"/>
      <c r="L55" s="6">
        <f t="shared" si="38"/>
        <v>-763.1200000000008</v>
      </c>
      <c r="M55" s="2"/>
      <c r="N55" s="7">
        <f t="shared" si="39"/>
        <v>-9.0102769486530482E-2</v>
      </c>
      <c r="O55" s="11"/>
      <c r="P55" s="6">
        <v>9143.2000000000007</v>
      </c>
      <c r="Q55" s="2"/>
      <c r="R55" s="7">
        <f t="shared" si="40"/>
        <v>5.9164916121022516E-2</v>
      </c>
      <c r="S55" s="2"/>
      <c r="T55" s="6">
        <v>15097.28</v>
      </c>
      <c r="U55" s="2"/>
      <c r="V55" s="7">
        <f t="shared" si="41"/>
        <v>8.0000008478349316E-2</v>
      </c>
      <c r="W55" s="2"/>
      <c r="X55" s="6">
        <f t="shared" si="42"/>
        <v>-5954.08</v>
      </c>
      <c r="Y55" s="2"/>
      <c r="Z55" s="7">
        <f t="shared" si="43"/>
        <v>-0.39438097458615062</v>
      </c>
    </row>
    <row r="56" spans="1:26" s="29" customFormat="1" outlineLevel="1" collapsed="1" x14ac:dyDescent="0.25">
      <c r="A56" s="27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SUM(OSRRefD22_10x_0)</f>
        <v>0</v>
      </c>
      <c r="E56" s="1"/>
      <c r="F56" s="5">
        <f t="shared" si="36"/>
        <v>0</v>
      </c>
      <c r="G56" s="1"/>
      <c r="H56" s="1">
        <f>SUM(OSRRefH22_10x_0)</f>
        <v>45.82</v>
      </c>
      <c r="I56" s="1"/>
      <c r="J56" s="5">
        <f t="shared" si="37"/>
        <v>4.3280180511034842E-4</v>
      </c>
      <c r="K56" s="1"/>
      <c r="L56" s="1">
        <f t="shared" si="38"/>
        <v>-45.82</v>
      </c>
      <c r="M56" s="1"/>
      <c r="N56" s="5">
        <f t="shared" si="39"/>
        <v>-1</v>
      </c>
      <c r="O56" s="14"/>
      <c r="P56" s="1">
        <f>SUM(OSRRefP22_10x_0)</f>
        <v>86.1</v>
      </c>
      <c r="Q56" s="1"/>
      <c r="R56" s="5">
        <f t="shared" si="40"/>
        <v>5.571462155503585E-4</v>
      </c>
      <c r="S56" s="1"/>
      <c r="T56" s="1">
        <f>SUM(OSRRefT22_10x_0)</f>
        <v>111.15</v>
      </c>
      <c r="U56" s="1"/>
      <c r="V56" s="5">
        <f t="shared" si="41"/>
        <v>5.8898032906381321E-4</v>
      </c>
      <c r="W56" s="1"/>
      <c r="X56" s="1">
        <f t="shared" si="42"/>
        <v>-25.050000000000011</v>
      </c>
      <c r="Y56" s="1"/>
      <c r="Z56" s="5">
        <f t="shared" si="43"/>
        <v>-0.22537112010796231</v>
      </c>
    </row>
    <row r="57" spans="1:26" s="24" customFormat="1" hidden="1" outlineLevel="2" x14ac:dyDescent="0.25">
      <c r="A57" s="28"/>
      <c r="B57" s="11" t="str">
        <f>CONCATENATE("          ", "6286", " - ", "LAUNDRY EXPENSE")</f>
        <v xml:space="preserve">          6286 - LAUNDRY EXPENSE</v>
      </c>
      <c r="C57" s="11"/>
      <c r="D57" s="6"/>
      <c r="E57" s="2"/>
      <c r="F57" s="7">
        <f t="shared" si="36"/>
        <v>0</v>
      </c>
      <c r="G57" s="2"/>
      <c r="H57" s="6">
        <v>45.82</v>
      </c>
      <c r="I57" s="2"/>
      <c r="J57" s="7">
        <f t="shared" si="37"/>
        <v>4.3280180511034842E-4</v>
      </c>
      <c r="K57" s="2"/>
      <c r="L57" s="6">
        <f t="shared" si="38"/>
        <v>-45.82</v>
      </c>
      <c r="M57" s="2"/>
      <c r="N57" s="7">
        <f t="shared" si="39"/>
        <v>-1</v>
      </c>
      <c r="O57" s="11"/>
      <c r="P57" s="6">
        <v>86.1</v>
      </c>
      <c r="Q57" s="2"/>
      <c r="R57" s="7">
        <f t="shared" si="40"/>
        <v>5.571462155503585E-4</v>
      </c>
      <c r="S57" s="2"/>
      <c r="T57" s="6">
        <v>111.15</v>
      </c>
      <c r="U57" s="2"/>
      <c r="V57" s="7">
        <f t="shared" si="41"/>
        <v>5.8898032906381321E-4</v>
      </c>
      <c r="W57" s="2"/>
      <c r="X57" s="6">
        <f t="shared" si="42"/>
        <v>-25.050000000000011</v>
      </c>
      <c r="Y57" s="2"/>
      <c r="Z57" s="7">
        <f t="shared" si="43"/>
        <v>-0.22537112010796231</v>
      </c>
    </row>
    <row r="58" spans="1:26" s="29" customFormat="1" outlineLevel="1" collapsed="1" x14ac:dyDescent="0.25">
      <c r="A58" s="27"/>
      <c r="B58" s="14" t="str">
        <f>CONCATENATE("     ","Subscriptions &amp; Dues                              ")</f>
        <v xml:space="preserve">     Subscriptions &amp; Dues                              </v>
      </c>
      <c r="C58" s="14"/>
      <c r="D58" s="1">
        <f>SUM(OSRRefD22_11x_0)</f>
        <v>30.68</v>
      </c>
      <c r="E58" s="1"/>
      <c r="F58" s="5">
        <f t="shared" si="36"/>
        <v>3.1849024826044947E-4</v>
      </c>
      <c r="G58" s="1"/>
      <c r="H58" s="1">
        <f>SUM(OSRRefH22_11x_0)</f>
        <v>30.68</v>
      </c>
      <c r="I58" s="1"/>
      <c r="J58" s="5">
        <f t="shared" si="37"/>
        <v>2.8979396291544063E-4</v>
      </c>
      <c r="K58" s="1"/>
      <c r="L58" s="1">
        <f t="shared" si="38"/>
        <v>0</v>
      </c>
      <c r="M58" s="1"/>
      <c r="N58" s="5">
        <f t="shared" si="39"/>
        <v>0</v>
      </c>
      <c r="O58" s="14"/>
      <c r="P58" s="1">
        <f>SUM(OSRRefP22_11x_0)</f>
        <v>61.36</v>
      </c>
      <c r="Q58" s="1"/>
      <c r="R58" s="5">
        <f t="shared" si="40"/>
        <v>3.9705565373019747E-4</v>
      </c>
      <c r="S58" s="1"/>
      <c r="T58" s="1">
        <f>SUM(OSRRefT22_11x_0)</f>
        <v>92.04</v>
      </c>
      <c r="U58" s="1"/>
      <c r="V58" s="5">
        <f t="shared" si="41"/>
        <v>4.8771704441775412E-4</v>
      </c>
      <c r="W58" s="1"/>
      <c r="X58" s="1">
        <f t="shared" si="42"/>
        <v>-30.680000000000007</v>
      </c>
      <c r="Y58" s="1"/>
      <c r="Z58" s="5">
        <f t="shared" si="43"/>
        <v>-0.33333333333333337</v>
      </c>
    </row>
    <row r="59" spans="1:26" s="24" customFormat="1" hidden="1" outlineLevel="2" x14ac:dyDescent="0.25">
      <c r="A59" s="28"/>
      <c r="B59" s="11" t="str">
        <f>CONCATENATE("          ", "6275", " - ", "SUBSCRIPTIONS")</f>
        <v xml:space="preserve">          6275 - SUBSCRIPTIONS</v>
      </c>
      <c r="C59" s="11"/>
      <c r="D59" s="6">
        <v>30.68</v>
      </c>
      <c r="E59" s="2"/>
      <c r="F59" s="7">
        <f t="shared" si="36"/>
        <v>3.1849024826044947E-4</v>
      </c>
      <c r="G59" s="2"/>
      <c r="H59" s="6">
        <v>30.68</v>
      </c>
      <c r="I59" s="2"/>
      <c r="J59" s="7">
        <f t="shared" si="37"/>
        <v>2.8979396291544063E-4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61.36</v>
      </c>
      <c r="Q59" s="2"/>
      <c r="R59" s="7">
        <f t="shared" si="40"/>
        <v>3.9705565373019747E-4</v>
      </c>
      <c r="S59" s="2"/>
      <c r="T59" s="6">
        <v>92.04</v>
      </c>
      <c r="U59" s="2"/>
      <c r="V59" s="7">
        <f t="shared" si="41"/>
        <v>4.8771704441775412E-4</v>
      </c>
      <c r="W59" s="2"/>
      <c r="X59" s="6">
        <f t="shared" si="42"/>
        <v>-30.680000000000007</v>
      </c>
      <c r="Y59" s="2"/>
      <c r="Z59" s="7">
        <f t="shared" si="43"/>
        <v>-0.33333333333333337</v>
      </c>
    </row>
    <row r="60" spans="1:26" s="29" customFormat="1" outlineLevel="1" collapsed="1" x14ac:dyDescent="0.25">
      <c r="A60" s="27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SUM(OSRRefD22_12x_0)</f>
        <v>692.48</v>
      </c>
      <c r="E60" s="1"/>
      <c r="F60" s="5">
        <f t="shared" si="36"/>
        <v>7.1886612488721007E-3</v>
      </c>
      <c r="G60" s="1"/>
      <c r="H60" s="1">
        <f>SUM(OSRRefH22_12x_0)</f>
        <v>1444.64</v>
      </c>
      <c r="I60" s="1"/>
      <c r="J60" s="5">
        <f t="shared" si="37"/>
        <v>1.3645630723147398E-2</v>
      </c>
      <c r="K60" s="1"/>
      <c r="L60" s="1">
        <f t="shared" si="38"/>
        <v>-752.16000000000008</v>
      </c>
      <c r="M60" s="1"/>
      <c r="N60" s="5">
        <f t="shared" si="39"/>
        <v>-0.52065566507918926</v>
      </c>
      <c r="O60" s="14"/>
      <c r="P60" s="1">
        <f>SUM(OSRRefP22_12x_0)</f>
        <v>5366.15</v>
      </c>
      <c r="Q60" s="1"/>
      <c r="R60" s="5">
        <f t="shared" si="40"/>
        <v>3.4723927579274755E-2</v>
      </c>
      <c r="S60" s="1"/>
      <c r="T60" s="1">
        <f>SUM(OSRRefT22_12x_0)</f>
        <v>3402.89</v>
      </c>
      <c r="U60" s="1"/>
      <c r="V60" s="5">
        <f t="shared" si="41"/>
        <v>1.8031806315501209E-2</v>
      </c>
      <c r="W60" s="1"/>
      <c r="X60" s="1">
        <f t="shared" si="42"/>
        <v>1963.2599999999998</v>
      </c>
      <c r="Y60" s="1"/>
      <c r="Z60" s="5">
        <f t="shared" si="43"/>
        <v>0.57693901360314315</v>
      </c>
    </row>
    <row r="61" spans="1:26" s="24" customFormat="1" hidden="1" outlineLevel="2" x14ac:dyDescent="0.25">
      <c r="A61" s="28"/>
      <c r="B61" s="11" t="str">
        <f>CONCATENATE("          ", "6237", " - ", "JANITORIAL SUPPLIES")</f>
        <v xml:space="preserve">          6237 - JANITORIAL SUPPLIES</v>
      </c>
      <c r="C61" s="11"/>
      <c r="D61" s="6">
        <v>-12.34</v>
      </c>
      <c r="E61" s="2"/>
      <c r="F61" s="7">
        <f t="shared" si="36"/>
        <v>-1.2810200989354453E-4</v>
      </c>
      <c r="G61" s="2"/>
      <c r="H61" s="6"/>
      <c r="I61" s="2"/>
      <c r="J61" s="7">
        <f t="shared" si="37"/>
        <v>0</v>
      </c>
      <c r="K61" s="2"/>
      <c r="L61" s="6">
        <f t="shared" si="38"/>
        <v>-12.34</v>
      </c>
      <c r="M61" s="2"/>
      <c r="N61" s="7">
        <f t="shared" si="39"/>
        <v>0</v>
      </c>
      <c r="O61" s="11"/>
      <c r="P61" s="6">
        <v>105.29</v>
      </c>
      <c r="Q61" s="2"/>
      <c r="R61" s="7">
        <f t="shared" si="40"/>
        <v>6.8132317114166384E-4</v>
      </c>
      <c r="S61" s="2"/>
      <c r="T61" s="6"/>
      <c r="U61" s="2"/>
      <c r="V61" s="7">
        <f t="shared" si="41"/>
        <v>0</v>
      </c>
      <c r="W61" s="2"/>
      <c r="X61" s="6">
        <f t="shared" si="42"/>
        <v>105.29</v>
      </c>
      <c r="Y61" s="2"/>
      <c r="Z61" s="7">
        <f t="shared" si="43"/>
        <v>0</v>
      </c>
    </row>
    <row r="62" spans="1:26" s="24" customFormat="1" hidden="1" outlineLevel="2" x14ac:dyDescent="0.25">
      <c r="A62" s="28"/>
      <c r="B62" s="11" t="str">
        <f>CONCATENATE("          ", "6239", " - ", "KITCHEN SUPPLIES")</f>
        <v xml:space="preserve">          6239 - KITCHEN SUPPLIES</v>
      </c>
      <c r="C62" s="11"/>
      <c r="D62" s="6">
        <v>238.37</v>
      </c>
      <c r="E62" s="2"/>
      <c r="F62" s="7">
        <f t="shared" si="36"/>
        <v>2.4745280468658195E-3</v>
      </c>
      <c r="G62" s="2"/>
      <c r="H62" s="6">
        <v>165.17</v>
      </c>
      <c r="I62" s="2"/>
      <c r="J62" s="7">
        <f t="shared" si="37"/>
        <v>1.56014566019372E-3</v>
      </c>
      <c r="K62" s="2"/>
      <c r="L62" s="6">
        <f t="shared" si="38"/>
        <v>73.200000000000017</v>
      </c>
      <c r="M62" s="2"/>
      <c r="N62" s="7">
        <f t="shared" si="39"/>
        <v>0.44317975419265015</v>
      </c>
      <c r="O62" s="11"/>
      <c r="P62" s="6">
        <v>1905.7</v>
      </c>
      <c r="Q62" s="2"/>
      <c r="R62" s="7">
        <f t="shared" si="40"/>
        <v>1.2331632322582093E-2</v>
      </c>
      <c r="S62" s="2"/>
      <c r="T62" s="6">
        <v>595.88</v>
      </c>
      <c r="U62" s="2"/>
      <c r="V62" s="7">
        <f t="shared" si="41"/>
        <v>3.1575492441074677E-3</v>
      </c>
      <c r="W62" s="2"/>
      <c r="X62" s="6">
        <f t="shared" si="42"/>
        <v>1309.8200000000002</v>
      </c>
      <c r="Y62" s="2"/>
      <c r="Z62" s="7">
        <f t="shared" si="43"/>
        <v>2.1981271396925557</v>
      </c>
    </row>
    <row r="63" spans="1:26" s="24" customFormat="1" hidden="1" outlineLevel="2" x14ac:dyDescent="0.25">
      <c r="A63" s="28"/>
      <c r="B63" s="11" t="str">
        <f>CONCATENATE("          ", "6241", " - ", "OFFICE EXPENSE")</f>
        <v xml:space="preserve">          6241 - OFFICE EXPENSE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1074.28</v>
      </c>
      <c r="Q63" s="2"/>
      <c r="R63" s="7">
        <f t="shared" si="40"/>
        <v>6.9515799818982479E-3</v>
      </c>
      <c r="S63" s="2"/>
      <c r="T63" s="6">
        <v>54.73</v>
      </c>
      <c r="U63" s="2"/>
      <c r="V63" s="7">
        <f t="shared" si="41"/>
        <v>2.9001253629925774E-4</v>
      </c>
      <c r="W63" s="2"/>
      <c r="X63" s="6">
        <f t="shared" si="42"/>
        <v>1019.55</v>
      </c>
      <c r="Y63" s="2"/>
      <c r="Z63" s="7">
        <f t="shared" si="43"/>
        <v>18.628722821121872</v>
      </c>
    </row>
    <row r="64" spans="1:26" s="24" customFormat="1" hidden="1" outlineLevel="2" x14ac:dyDescent="0.25">
      <c r="A64" s="28"/>
      <c r="B64" s="11" t="str">
        <f>CONCATENATE("          ", "6243", " - ", "PAPER SUPPLIES")</f>
        <v xml:space="preserve">          6243 - PAPER SUPPLIES</v>
      </c>
      <c r="C64" s="11"/>
      <c r="D64" s="6">
        <v>274.39</v>
      </c>
      <c r="E64" s="2"/>
      <c r="F64" s="7">
        <f t="shared" si="36"/>
        <v>2.8484530384675594E-3</v>
      </c>
      <c r="G64" s="2"/>
      <c r="H64" s="6">
        <v>903.74</v>
      </c>
      <c r="I64" s="2"/>
      <c r="J64" s="7">
        <f t="shared" si="37"/>
        <v>8.5364535868709367E-3</v>
      </c>
      <c r="K64" s="2"/>
      <c r="L64" s="6">
        <f t="shared" si="38"/>
        <v>-629.35</v>
      </c>
      <c r="M64" s="2"/>
      <c r="N64" s="7">
        <f t="shared" si="39"/>
        <v>-0.69638391572797487</v>
      </c>
      <c r="O64" s="11"/>
      <c r="P64" s="6">
        <v>1160.8800000000001</v>
      </c>
      <c r="Q64" s="2"/>
      <c r="R64" s="7">
        <f t="shared" si="40"/>
        <v>7.5119616574692251E-3</v>
      </c>
      <c r="S64" s="2"/>
      <c r="T64" s="6">
        <v>1164.53</v>
      </c>
      <c r="U64" s="2"/>
      <c r="V64" s="7">
        <f t="shared" si="41"/>
        <v>6.1708075807888653E-3</v>
      </c>
      <c r="W64" s="2"/>
      <c r="X64" s="6">
        <f t="shared" si="42"/>
        <v>-3.6499999999998636</v>
      </c>
      <c r="Y64" s="2"/>
      <c r="Z64" s="7">
        <f t="shared" si="43"/>
        <v>-3.1343116965641621E-3</v>
      </c>
    </row>
    <row r="65" spans="1:26" s="24" customFormat="1" hidden="1" outlineLevel="2" x14ac:dyDescent="0.25">
      <c r="A65" s="28"/>
      <c r="B65" s="11" t="str">
        <f>CONCATENATE("          ", "6245", " - ", "PRINTING")</f>
        <v xml:space="preserve">          6245 - PRINTING</v>
      </c>
      <c r="C65" s="11"/>
      <c r="D65" s="6">
        <v>6.22</v>
      </c>
      <c r="E65" s="2"/>
      <c r="F65" s="7">
        <f t="shared" si="36"/>
        <v>6.4570056850716937E-5</v>
      </c>
      <c r="G65" s="2"/>
      <c r="H65" s="6"/>
      <c r="I65" s="2"/>
      <c r="J65" s="7">
        <f t="shared" si="37"/>
        <v>0</v>
      </c>
      <c r="K65" s="2"/>
      <c r="L65" s="6">
        <f t="shared" si="38"/>
        <v>6.22</v>
      </c>
      <c r="M65" s="2"/>
      <c r="N65" s="7">
        <f t="shared" si="39"/>
        <v>0</v>
      </c>
      <c r="O65" s="11"/>
      <c r="P65" s="6">
        <v>154.13</v>
      </c>
      <c r="Q65" s="2"/>
      <c r="R65" s="7">
        <f t="shared" si="40"/>
        <v>9.9736290595559538E-4</v>
      </c>
      <c r="S65" s="2"/>
      <c r="T65" s="6"/>
      <c r="U65" s="2"/>
      <c r="V65" s="7">
        <f t="shared" si="41"/>
        <v>0</v>
      </c>
      <c r="W65" s="2"/>
      <c r="X65" s="6">
        <f t="shared" si="42"/>
        <v>154.13</v>
      </c>
      <c r="Y65" s="2"/>
      <c r="Z65" s="7">
        <f t="shared" si="43"/>
        <v>0</v>
      </c>
    </row>
    <row r="66" spans="1:26" s="24" customFormat="1" hidden="1" outlineLevel="2" x14ac:dyDescent="0.25">
      <c r="A66" s="28"/>
      <c r="B66" s="11" t="str">
        <f>CONCATENATE("          ", "6247", " - ", "STORE SUPPLIES")</f>
        <v xml:space="preserve">          6247 - STORE SUPPLIES</v>
      </c>
      <c r="C66" s="11"/>
      <c r="D66" s="6">
        <v>185.84</v>
      </c>
      <c r="E66" s="2"/>
      <c r="F66" s="7">
        <f t="shared" si="36"/>
        <v>1.9292121165815491E-3</v>
      </c>
      <c r="G66" s="2"/>
      <c r="H66" s="6"/>
      <c r="I66" s="2"/>
      <c r="J66" s="7">
        <f t="shared" si="37"/>
        <v>0</v>
      </c>
      <c r="K66" s="2"/>
      <c r="L66" s="6">
        <f t="shared" si="38"/>
        <v>185.84</v>
      </c>
      <c r="M66" s="2"/>
      <c r="N66" s="7">
        <f t="shared" si="39"/>
        <v>0</v>
      </c>
      <c r="O66" s="11"/>
      <c r="P66" s="6">
        <v>875.02</v>
      </c>
      <c r="Q66" s="2"/>
      <c r="R66" s="7">
        <f t="shared" si="40"/>
        <v>5.6621844544817038E-3</v>
      </c>
      <c r="S66" s="2"/>
      <c r="T66" s="6">
        <v>1111.82</v>
      </c>
      <c r="U66" s="2"/>
      <c r="V66" s="7">
        <f t="shared" si="41"/>
        <v>5.8914989605013835E-3</v>
      </c>
      <c r="W66" s="2"/>
      <c r="X66" s="6">
        <f t="shared" si="42"/>
        <v>-236.79999999999995</v>
      </c>
      <c r="Y66" s="2"/>
      <c r="Z66" s="7">
        <f t="shared" si="43"/>
        <v>-0.21298411613390653</v>
      </c>
    </row>
    <row r="67" spans="1:26" s="24" customFormat="1" hidden="1" outlineLevel="2" x14ac:dyDescent="0.25">
      <c r="A67" s="28"/>
      <c r="B67" s="11" t="str">
        <f>CONCATENATE("          ", "6248", " - ", "UNIFORMS")</f>
        <v xml:space="preserve">          6248 - UNIFORMS</v>
      </c>
      <c r="C67" s="11"/>
      <c r="D67" s="6"/>
      <c r="E67" s="2"/>
      <c r="F67" s="7">
        <f t="shared" si="36"/>
        <v>0</v>
      </c>
      <c r="G67" s="2"/>
      <c r="H67" s="6">
        <v>375.73</v>
      </c>
      <c r="I67" s="2"/>
      <c r="J67" s="7">
        <f t="shared" si="37"/>
        <v>3.5490314760827416E-3</v>
      </c>
      <c r="K67" s="2"/>
      <c r="L67" s="6">
        <f t="shared" si="38"/>
        <v>-375.73</v>
      </c>
      <c r="M67" s="2"/>
      <c r="N67" s="7">
        <f t="shared" si="39"/>
        <v>-1</v>
      </c>
      <c r="O67" s="11"/>
      <c r="P67" s="6">
        <v>90.85</v>
      </c>
      <c r="Q67" s="2"/>
      <c r="R67" s="7">
        <f t="shared" si="40"/>
        <v>5.8788308574622618E-4</v>
      </c>
      <c r="S67" s="2"/>
      <c r="T67" s="6">
        <v>475.93</v>
      </c>
      <c r="U67" s="2"/>
      <c r="V67" s="7">
        <f t="shared" si="41"/>
        <v>2.5219379938042344E-3</v>
      </c>
      <c r="W67" s="2"/>
      <c r="X67" s="6">
        <f t="shared" si="42"/>
        <v>-385.08000000000004</v>
      </c>
      <c r="Y67" s="2"/>
      <c r="Z67" s="7">
        <f t="shared" si="43"/>
        <v>-0.80911058348916864</v>
      </c>
    </row>
    <row r="68" spans="1:26" s="29" customFormat="1" outlineLevel="1" collapsed="1" x14ac:dyDescent="0.25">
      <c r="A68" s="27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SUM(OSRRefD22_13x_0)</f>
        <v>50</v>
      </c>
      <c r="E68" s="1"/>
      <c r="F68" s="5">
        <f t="shared" ref="F68:F71" si="44">IF(D$12=0,0,D68/D$12)</f>
        <v>5.1905190394466996E-4</v>
      </c>
      <c r="G68" s="1"/>
      <c r="H68" s="1">
        <f>SUM(OSRRefH22_13x_0)</f>
        <v>145</v>
      </c>
      <c r="I68" s="1"/>
      <c r="J68" s="5">
        <f t="shared" ref="J68:J71" si="45">IF(H$12=0,0,H68/H$12)</f>
        <v>1.3696259655390773E-3</v>
      </c>
      <c r="K68" s="1"/>
      <c r="L68" s="1">
        <f t="shared" ref="L68:L71" si="46">+D68-H68</f>
        <v>-95</v>
      </c>
      <c r="M68" s="1"/>
      <c r="N68" s="5">
        <f t="shared" ref="N68:N71" si="47">IF(H68=0,0,L68/H68)</f>
        <v>-0.65517241379310343</v>
      </c>
      <c r="O68" s="14"/>
      <c r="P68" s="1">
        <f>SUM(OSRRefP22_13x_0)</f>
        <v>-45</v>
      </c>
      <c r="Q68" s="1"/>
      <c r="R68" s="5">
        <f t="shared" ref="R68:R71" si="48">IF(P$12=0,0,P68/P$12)</f>
        <v>-2.9119140185558808E-4</v>
      </c>
      <c r="S68" s="1"/>
      <c r="T68" s="1">
        <f>SUM(OSRRefT22_13x_0)</f>
        <v>150</v>
      </c>
      <c r="U68" s="1"/>
      <c r="V68" s="5">
        <f t="shared" ref="V68:V71" si="49">IF(T$12=0,0,T68/T$12)</f>
        <v>7.9484524839920807E-4</v>
      </c>
      <c r="W68" s="1"/>
      <c r="X68" s="1">
        <f t="shared" ref="X68:X71" si="50">+P68-T68</f>
        <v>-195</v>
      </c>
      <c r="Y68" s="1"/>
      <c r="Z68" s="5">
        <f t="shared" ref="Z68:Z71" si="51">IF(T68=0,0,X68/T68)</f>
        <v>-1.3</v>
      </c>
    </row>
    <row r="69" spans="1:26" s="24" customFormat="1" hidden="1" outlineLevel="2" x14ac:dyDescent="0.25">
      <c r="A69" s="28"/>
      <c r="B69" s="11" t="str">
        <f>CONCATENATE("          ", "6309", " - ", "TELEPHONE")</f>
        <v xml:space="preserve">          6309 - TELEPHONE</v>
      </c>
      <c r="C69" s="11"/>
      <c r="D69" s="6">
        <v>50</v>
      </c>
      <c r="E69" s="2"/>
      <c r="F69" s="7">
        <f t="shared" si="44"/>
        <v>5.1905190394466996E-4</v>
      </c>
      <c r="G69" s="2"/>
      <c r="H69" s="6">
        <v>145</v>
      </c>
      <c r="I69" s="2"/>
      <c r="J69" s="7">
        <f t="shared" si="45"/>
        <v>1.3696259655390773E-3</v>
      </c>
      <c r="K69" s="2"/>
      <c r="L69" s="6">
        <f t="shared" si="46"/>
        <v>-95</v>
      </c>
      <c r="M69" s="2"/>
      <c r="N69" s="7">
        <f t="shared" si="47"/>
        <v>-0.65517241379310343</v>
      </c>
      <c r="O69" s="11"/>
      <c r="P69" s="6">
        <v>-45</v>
      </c>
      <c r="Q69" s="2"/>
      <c r="R69" s="7">
        <f t="shared" si="48"/>
        <v>-2.9119140185558808E-4</v>
      </c>
      <c r="S69" s="2"/>
      <c r="T69" s="6">
        <v>150</v>
      </c>
      <c r="U69" s="2"/>
      <c r="V69" s="7">
        <f t="shared" si="49"/>
        <v>7.9484524839920807E-4</v>
      </c>
      <c r="W69" s="2"/>
      <c r="X69" s="6">
        <f t="shared" si="50"/>
        <v>-195</v>
      </c>
      <c r="Y69" s="2"/>
      <c r="Z69" s="7">
        <f t="shared" si="51"/>
        <v>-1.3</v>
      </c>
    </row>
    <row r="70" spans="1:26" s="29" customFormat="1" outlineLevel="1" collapsed="1" x14ac:dyDescent="0.25">
      <c r="A70" s="27"/>
      <c r="B70" s="14" t="str">
        <f>CONCATENATE("     ","Training                                          ")</f>
        <v xml:space="preserve">     Training                                          </v>
      </c>
      <c r="C70" s="14"/>
      <c r="D70" s="1">
        <f>SUM(OSRRefD22_14x_0)</f>
        <v>96</v>
      </c>
      <c r="E70" s="1"/>
      <c r="F70" s="5">
        <f t="shared" si="44"/>
        <v>9.9657965557376632E-4</v>
      </c>
      <c r="G70" s="1"/>
      <c r="H70" s="1">
        <f>SUM(OSRRefH22_14x_0)</f>
        <v>80</v>
      </c>
      <c r="I70" s="1"/>
      <c r="J70" s="5">
        <f t="shared" si="45"/>
        <v>7.5565570512500823E-4</v>
      </c>
      <c r="K70" s="1"/>
      <c r="L70" s="1">
        <f t="shared" si="46"/>
        <v>16</v>
      </c>
      <c r="M70" s="1"/>
      <c r="N70" s="5">
        <f t="shared" si="47"/>
        <v>0.2</v>
      </c>
      <c r="O70" s="14"/>
      <c r="P70" s="1">
        <f>SUM(OSRRefP22_14x_0)</f>
        <v>96</v>
      </c>
      <c r="Q70" s="1"/>
      <c r="R70" s="5">
        <f t="shared" si="48"/>
        <v>6.2120832395858798E-4</v>
      </c>
      <c r="S70" s="1"/>
      <c r="T70" s="1">
        <f>SUM(OSRRefT22_14x_0)</f>
        <v>125.16</v>
      </c>
      <c r="U70" s="1"/>
      <c r="V70" s="5">
        <f t="shared" si="49"/>
        <v>6.6321887526429922E-4</v>
      </c>
      <c r="W70" s="1"/>
      <c r="X70" s="1">
        <f t="shared" si="50"/>
        <v>-29.159999999999997</v>
      </c>
      <c r="Y70" s="1"/>
      <c r="Z70" s="5">
        <f t="shared" si="51"/>
        <v>-0.23298178331735378</v>
      </c>
    </row>
    <row r="71" spans="1:26" s="24" customFormat="1" hidden="1" outlineLevel="2" x14ac:dyDescent="0.25">
      <c r="A71" s="28"/>
      <c r="B71" s="11" t="str">
        <f>CONCATENATE("          ", "6376", " - ", "TRAINING")</f>
        <v xml:space="preserve">          6376 - TRAINING</v>
      </c>
      <c r="C71" s="11"/>
      <c r="D71" s="6">
        <v>96</v>
      </c>
      <c r="E71" s="2"/>
      <c r="F71" s="7">
        <f t="shared" si="44"/>
        <v>9.9657965557376632E-4</v>
      </c>
      <c r="G71" s="2"/>
      <c r="H71" s="6">
        <v>80</v>
      </c>
      <c r="I71" s="2"/>
      <c r="J71" s="7">
        <f t="shared" si="45"/>
        <v>7.5565570512500823E-4</v>
      </c>
      <c r="K71" s="2"/>
      <c r="L71" s="6">
        <f t="shared" si="46"/>
        <v>16</v>
      </c>
      <c r="M71" s="2"/>
      <c r="N71" s="7">
        <f t="shared" si="47"/>
        <v>0.2</v>
      </c>
      <c r="O71" s="11"/>
      <c r="P71" s="6">
        <v>96</v>
      </c>
      <c r="Q71" s="2"/>
      <c r="R71" s="7">
        <f t="shared" si="48"/>
        <v>6.2120832395858798E-4</v>
      </c>
      <c r="S71" s="2"/>
      <c r="T71" s="6">
        <v>125.16</v>
      </c>
      <c r="U71" s="2"/>
      <c r="V71" s="7">
        <f t="shared" si="49"/>
        <v>6.6321887526429922E-4</v>
      </c>
      <c r="W71" s="2"/>
      <c r="X71" s="6">
        <f t="shared" si="50"/>
        <v>-29.159999999999997</v>
      </c>
      <c r="Y71" s="2"/>
      <c r="Z71" s="7">
        <f t="shared" si="51"/>
        <v>-0.23298178331735378</v>
      </c>
    </row>
    <row r="72" spans="1:26" s="53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x14ac:dyDescent="0.25">
      <c r="A73" s="10"/>
      <c r="B73" s="25" t="s">
        <v>0</v>
      </c>
      <c r="C73" s="10"/>
      <c r="D73" s="4">
        <f>SUM(0)</f>
        <v>0</v>
      </c>
      <c r="E73" s="4"/>
      <c r="F73" s="12">
        <f>IF(D$12=0,0,D73/D$12)</f>
        <v>0</v>
      </c>
      <c r="G73" s="4"/>
      <c r="H73" s="4">
        <f>SUM(0)</f>
        <v>0</v>
      </c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>
        <f>SUM(0)</f>
        <v>0</v>
      </c>
      <c r="Q73" s="4"/>
      <c r="R73" s="12">
        <f>IF(P$12=0,0,P73/P$12)</f>
        <v>0</v>
      </c>
      <c r="S73" s="4"/>
      <c r="T73" s="4">
        <f>SUM(0)</f>
        <v>0</v>
      </c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6" t="s">
        <v>3</v>
      </c>
      <c r="C75" s="26"/>
      <c r="D75" s="21">
        <f>+D20-D22+D73</f>
        <v>15289.829999999994</v>
      </c>
      <c r="E75" s="13"/>
      <c r="F75" s="20">
        <f>IF(D$12=0,0,D75/D$12)</f>
        <v>0.15872430744980659</v>
      </c>
      <c r="G75" s="13"/>
      <c r="H75" s="21">
        <f>+H20-H22+H73</f>
        <v>30080.17</v>
      </c>
      <c r="I75" s="13"/>
      <c r="J75" s="20">
        <f>IF(H$12=0,0,H75/H$12)</f>
        <v>0.28412815089537646</v>
      </c>
      <c r="K75" s="15"/>
      <c r="L75" s="21">
        <f>+D75-H75</f>
        <v>-14790.340000000004</v>
      </c>
      <c r="M75" s="15"/>
      <c r="N75" s="20">
        <f>IF(H75=0,0,L75/H75)</f>
        <v>-0.49169735410404941</v>
      </c>
      <c r="O75" s="25"/>
      <c r="P75" s="21">
        <f>+P20-P22+P73</f>
        <v>936.40999999998894</v>
      </c>
      <c r="Q75" s="13"/>
      <c r="R75" s="20">
        <f>IF(P$12=0,0,P75/P$12)</f>
        <v>6.0594342358130668E-3</v>
      </c>
      <c r="S75" s="13"/>
      <c r="T75" s="21">
        <f>+T20-T22+T73</f>
        <v>20215.61000000003</v>
      </c>
      <c r="U75" s="13"/>
      <c r="V75" s="20">
        <f>IF(T$12=0,0,T75/T$12)</f>
        <v>0.10712187701327693</v>
      </c>
      <c r="W75" s="15"/>
      <c r="X75" s="21">
        <f>+P75-T75</f>
        <v>-19279.200000000041</v>
      </c>
      <c r="Y75" s="15"/>
      <c r="Z75" s="20">
        <f>IF(T75=0,0,X75/T75)</f>
        <v>-0.95367886499591215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1"/>
      <c r="B77" s="10" t="s">
        <v>13</v>
      </c>
      <c r="C77" s="10"/>
      <c r="D77" s="4">
        <v>9341.9</v>
      </c>
      <c r="E77" s="4"/>
      <c r="F77" s="12">
        <f>IF(D$12=0,0,D77/D$12)</f>
        <v>9.6978619629214238E-2</v>
      </c>
      <c r="G77" s="4"/>
      <c r="H77" s="4">
        <v>8308.51</v>
      </c>
      <c r="I77" s="4"/>
      <c r="J77" s="12">
        <f>IF(H$12=0,0,H77/H$12)</f>
        <v>7.8479662282352272E-2</v>
      </c>
      <c r="K77" s="4"/>
      <c r="L77" s="4">
        <f>+D77-H77</f>
        <v>1033.3899999999994</v>
      </c>
      <c r="M77" s="4"/>
      <c r="N77" s="12">
        <f>IF(H77=0,0,L77/H77)</f>
        <v>0.1243772950866039</v>
      </c>
      <c r="O77" s="10"/>
      <c r="P77" s="4">
        <v>16599.38</v>
      </c>
      <c r="Q77" s="4"/>
      <c r="R77" s="12">
        <f>IF(P$12=0,0,P77/P$12)</f>
        <v>0.10741326071408026</v>
      </c>
      <c r="S77" s="4"/>
      <c r="T77" s="4">
        <v>16766.870000000003</v>
      </c>
      <c r="U77" s="4"/>
      <c r="V77" s="12">
        <f>IF(T$12=0,0,T77/T$12)</f>
        <v>8.8847113000181555E-2</v>
      </c>
      <c r="W77" s="4"/>
      <c r="X77" s="4">
        <f>+P77-T77</f>
        <v>-167.4900000000016</v>
      </c>
      <c r="Y77" s="4"/>
      <c r="Z77" s="12">
        <f>IF(T77=0,0,X77/T77)</f>
        <v>-9.9893420775613792E-3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6" t="s">
        <v>4</v>
      </c>
      <c r="C79" s="26"/>
      <c r="D79" s="35">
        <f>+D75-D77</f>
        <v>5947.9299999999948</v>
      </c>
      <c r="E79" s="13"/>
      <c r="F79" s="30">
        <f>IF(D$12=0,0,D79/D$12)</f>
        <v>6.1745687820592358E-2</v>
      </c>
      <c r="G79" s="13"/>
      <c r="H79" s="35">
        <f>+H75-H77</f>
        <v>21771.659999999996</v>
      </c>
      <c r="I79" s="13"/>
      <c r="J79" s="30">
        <f>IF(H$12=0,0,H79/H$12)</f>
        <v>0.20564848861302415</v>
      </c>
      <c r="K79" s="15"/>
      <c r="L79" s="35">
        <f>D79-H79</f>
        <v>-15823.730000000001</v>
      </c>
      <c r="M79" s="15"/>
      <c r="N79" s="30">
        <f>IF(H79=0,0,L79/H79)</f>
        <v>-0.72680401953732532</v>
      </c>
      <c r="O79" s="25"/>
      <c r="P79" s="35">
        <f>+P75-P77</f>
        <v>-15662.970000000012</v>
      </c>
      <c r="Q79" s="13"/>
      <c r="R79" s="30">
        <f>IF(P$12=0,0,P79/P$12)</f>
        <v>-0.1013538264782672</v>
      </c>
      <c r="S79" s="13"/>
      <c r="T79" s="35">
        <f>+T75-T77</f>
        <v>3448.7400000000271</v>
      </c>
      <c r="U79" s="13"/>
      <c r="V79" s="30">
        <f>IF(T$12=0,0,T79/T$12)</f>
        <v>1.8274764013095378E-2</v>
      </c>
      <c r="W79" s="15"/>
      <c r="X79" s="35">
        <f>P79-T79</f>
        <v>-19111.710000000039</v>
      </c>
      <c r="Y79" s="15"/>
      <c r="Z79" s="30">
        <f>IF(T79=0,0,X79/T79)</f>
        <v>-5.5416499939107871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6" t="s">
        <v>5</v>
      </c>
      <c r="C82" s="26"/>
      <c r="D82" s="36">
        <f>SUM(D79:D81)</f>
        <v>5947.9299999999948</v>
      </c>
      <c r="E82" s="13"/>
      <c r="F82" s="31">
        <f>IF(D$12=0,0,D82/D$12)</f>
        <v>6.1745687820592358E-2</v>
      </c>
      <c r="G82" s="13"/>
      <c r="H82" s="36">
        <f>SUM(H79:H81)</f>
        <v>21771.659999999996</v>
      </c>
      <c r="I82" s="13"/>
      <c r="J82" s="31">
        <f>IF(H$12=0,0,H82/H$12)</f>
        <v>0.20564848861302415</v>
      </c>
      <c r="K82" s="15"/>
      <c r="L82" s="36">
        <f>+D82-H82</f>
        <v>-15823.730000000001</v>
      </c>
      <c r="M82" s="15"/>
      <c r="N82" s="31">
        <f>IF(H82=0,0,L82/H82)</f>
        <v>-0.72680401953732532</v>
      </c>
      <c r="O82" s="25"/>
      <c r="P82" s="36">
        <f>SUM(P79:P81)</f>
        <v>-15662.970000000012</v>
      </c>
      <c r="Q82" s="13"/>
      <c r="R82" s="31">
        <f>IF(P$12=0,0,P82/P$12)</f>
        <v>-0.1013538264782672</v>
      </c>
      <c r="S82" s="13"/>
      <c r="T82" s="36">
        <f>SUM(T79:T81)</f>
        <v>3448.7400000000271</v>
      </c>
      <c r="U82" s="13"/>
      <c r="V82" s="31">
        <f>IF(T$12=0,0,T82/T$12)</f>
        <v>1.8274764013095378E-2</v>
      </c>
      <c r="W82" s="15"/>
      <c r="X82" s="36">
        <f>+P82-T82</f>
        <v>-19111.710000000039</v>
      </c>
      <c r="Y82" s="15"/>
      <c r="Z82" s="31">
        <f>IF(T82=0,0,X82/T82)</f>
        <v>-5.5416499939107871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55">
        <v>43756.463371678241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6" t="s">
        <v>313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7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5" activePane="bottomRight" state="frozen"/>
      <selection pane="topRight" activeCell="D1" sqref="D1"/>
      <selection pane="bottomLeft" activeCell="A11" sqref="A11"/>
      <selection pane="bottomRight" activeCell="D18" sqref="D18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","415", " - ", "Outpost")</f>
        <v>Department 415 - Outpost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105265.63999999998</v>
      </c>
      <c r="E12" s="4"/>
      <c r="F12" s="12"/>
      <c r="G12" s="4"/>
      <c r="H12" s="4">
        <f>SUM(OSRRefH13x_0)</f>
        <v>110425.81</v>
      </c>
      <c r="I12" s="4"/>
      <c r="J12" s="12"/>
      <c r="K12" s="4"/>
      <c r="L12" s="4">
        <f t="shared" ref="L12:L14" si="0">+D12-H12</f>
        <v>-5160.1700000000128</v>
      </c>
      <c r="M12" s="4"/>
      <c r="N12" s="12">
        <f t="shared" ref="N12:N14" si="1">IF(H12=0,0,L12/H12)</f>
        <v>-4.6729745518733462E-2</v>
      </c>
      <c r="O12" s="10"/>
      <c r="P12" s="4">
        <f>SUM(OSRRefP13x_0)</f>
        <v>173060.99</v>
      </c>
      <c r="Q12" s="4"/>
      <c r="R12" s="12"/>
      <c r="S12" s="4"/>
      <c r="T12" s="4">
        <f>SUM(OSRRefT13x_0)</f>
        <v>177460.69</v>
      </c>
      <c r="U12" s="4"/>
      <c r="V12" s="12"/>
      <c r="W12" s="4"/>
      <c r="X12" s="4">
        <f t="shared" ref="X12:X14" si="2">+P12-T12</f>
        <v>-4399.7000000000116</v>
      </c>
      <c r="Y12" s="4"/>
      <c r="Z12" s="12">
        <f t="shared" ref="Z12:Z14" si="3">IF(T12=0,0,X12/T12)</f>
        <v>-2.479253292658792E-2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--30450.21</f>
        <v>30450.21</v>
      </c>
      <c r="E13" s="2"/>
      <c r="F13" s="19"/>
      <c r="G13" s="2"/>
      <c r="H13" s="2">
        <f>--34851.43</f>
        <v>34851.43</v>
      </c>
      <c r="I13" s="2"/>
      <c r="J13" s="19"/>
      <c r="K13" s="2"/>
      <c r="L13" s="2">
        <f t="shared" si="0"/>
        <v>-4401.2200000000012</v>
      </c>
      <c r="M13" s="2"/>
      <c r="N13" s="19">
        <f t="shared" si="1"/>
        <v>-0.12628520551380534</v>
      </c>
      <c r="O13" s="11"/>
      <c r="P13" s="2">
        <f>--56880.05</f>
        <v>56880.05</v>
      </c>
      <c r="Q13" s="2"/>
      <c r="R13" s="19"/>
      <c r="S13" s="2"/>
      <c r="T13" s="2">
        <f>--69459.82</f>
        <v>69459.820000000007</v>
      </c>
      <c r="U13" s="2"/>
      <c r="V13" s="19"/>
      <c r="W13" s="2"/>
      <c r="X13" s="2">
        <f t="shared" si="2"/>
        <v>-12579.770000000004</v>
      </c>
      <c r="Y13" s="2"/>
      <c r="Z13" s="19">
        <f t="shared" si="3"/>
        <v>-0.18110858910950248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--74815.43</f>
        <v>74815.429999999993</v>
      </c>
      <c r="E14" s="2"/>
      <c r="F14" s="19"/>
      <c r="G14" s="2"/>
      <c r="H14" s="2">
        <f>--75574.38</f>
        <v>75574.38</v>
      </c>
      <c r="I14" s="2"/>
      <c r="J14" s="19"/>
      <c r="K14" s="2"/>
      <c r="L14" s="2">
        <f t="shared" si="0"/>
        <v>-758.95000000001164</v>
      </c>
      <c r="M14" s="2"/>
      <c r="N14" s="19">
        <f t="shared" si="1"/>
        <v>-1.0042424430078177E-2</v>
      </c>
      <c r="O14" s="11"/>
      <c r="P14" s="2">
        <f>--116180.94</f>
        <v>116180.94</v>
      </c>
      <c r="Q14" s="2"/>
      <c r="R14" s="19"/>
      <c r="S14" s="2"/>
      <c r="T14" s="2">
        <f>--108000.87</f>
        <v>108000.87</v>
      </c>
      <c r="U14" s="2"/>
      <c r="V14" s="19"/>
      <c r="W14" s="2"/>
      <c r="X14" s="2">
        <f t="shared" si="2"/>
        <v>8180.070000000007</v>
      </c>
      <c r="Y14" s="2"/>
      <c r="Z14" s="19">
        <f t="shared" si="3"/>
        <v>7.5740778754837881E-2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8</v>
      </c>
      <c r="C16" s="10"/>
      <c r="D16" s="4">
        <f>SUM(OSRRefD16x_0)</f>
        <v>38790.519999999997</v>
      </c>
      <c r="E16" s="4"/>
      <c r="F16" s="12">
        <f t="shared" ref="F16:F18" si="4">IF(D$12=0,0,D16/D$12)</f>
        <v>0.36850125074050755</v>
      </c>
      <c r="G16" s="4"/>
      <c r="H16" s="4">
        <f>SUM(OSRRefH16x_0)</f>
        <v>35667.800000000003</v>
      </c>
      <c r="I16" s="4"/>
      <c r="J16" s="12">
        <f t="shared" ref="J16:J18" si="5">IF(H$12=0,0,H16/H$12)</f>
        <v>0.32300238504023654</v>
      </c>
      <c r="K16" s="4"/>
      <c r="L16" s="4">
        <f t="shared" ref="L16:L18" si="6">+D16-H16</f>
        <v>3122.7199999999939</v>
      </c>
      <c r="M16" s="4"/>
      <c r="N16" s="12">
        <f t="shared" ref="N16:N18" si="7">IF(H16=0,0,L16/H16)</f>
        <v>8.7550115229983169E-2</v>
      </c>
      <c r="O16" s="10"/>
      <c r="P16" s="4">
        <f>SUM(OSRRefP16x_0)</f>
        <v>61432.800000000003</v>
      </c>
      <c r="Q16" s="4"/>
      <c r="R16" s="12">
        <f t="shared" ref="R16:R18" si="8">IF(P$12=0,0,P16/P$12)</f>
        <v>0.35497774512904384</v>
      </c>
      <c r="S16" s="4"/>
      <c r="T16" s="4">
        <f>SUM(OSRRefT16x_0)</f>
        <v>58120.43</v>
      </c>
      <c r="U16" s="4"/>
      <c r="V16" s="12">
        <f t="shared" ref="V16:V18" si="9">IF(T$12=0,0,T16/T$12)</f>
        <v>0.32751157453518298</v>
      </c>
      <c r="W16" s="4"/>
      <c r="X16" s="4">
        <f t="shared" ref="X16:X18" si="10">+P16-T16</f>
        <v>3312.3700000000026</v>
      </c>
      <c r="Y16" s="4"/>
      <c r="Z16" s="12">
        <f t="shared" ref="Z16:Z18" si="11">IF(T16=0,0,X16/T16)</f>
        <v>5.6991491632116323E-2</v>
      </c>
    </row>
    <row r="17" spans="1:26" s="24" customFormat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33793.519999999997</v>
      </c>
      <c r="E17" s="2"/>
      <c r="F17" s="19">
        <f t="shared" si="4"/>
        <v>0.32103087009208325</v>
      </c>
      <c r="G17" s="2"/>
      <c r="H17" s="2">
        <v>33030.800000000003</v>
      </c>
      <c r="I17" s="2"/>
      <c r="J17" s="19">
        <f t="shared" si="5"/>
        <v>0.29912209835725906</v>
      </c>
      <c r="K17" s="2"/>
      <c r="L17" s="2">
        <f t="shared" si="6"/>
        <v>762.71999999999389</v>
      </c>
      <c r="M17" s="2"/>
      <c r="N17" s="19">
        <f t="shared" si="7"/>
        <v>2.309117550891876E-2</v>
      </c>
      <c r="O17" s="11"/>
      <c r="P17" s="2">
        <v>58017.8</v>
      </c>
      <c r="Q17" s="2"/>
      <c r="R17" s="19">
        <f t="shared" si="8"/>
        <v>0.33524481744846141</v>
      </c>
      <c r="S17" s="2"/>
      <c r="T17" s="2">
        <v>58609.43</v>
      </c>
      <c r="U17" s="2"/>
      <c r="V17" s="19">
        <f t="shared" si="9"/>
        <v>0.33026711436769463</v>
      </c>
      <c r="W17" s="2"/>
      <c r="X17" s="2">
        <f t="shared" si="10"/>
        <v>-591.62999999999738</v>
      </c>
      <c r="Y17" s="2"/>
      <c r="Z17" s="19">
        <f t="shared" si="11"/>
        <v>-1.0094450671163283E-2</v>
      </c>
    </row>
    <row r="18" spans="1:26" s="24" customFormat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4997</v>
      </c>
      <c r="E18" s="2"/>
      <c r="F18" s="19">
        <f t="shared" si="4"/>
        <v>4.7470380648424314E-2</v>
      </c>
      <c r="G18" s="2"/>
      <c r="H18" s="2">
        <v>2637</v>
      </c>
      <c r="I18" s="2"/>
      <c r="J18" s="19">
        <f t="shared" si="5"/>
        <v>2.3880286682977467E-2</v>
      </c>
      <c r="K18" s="2"/>
      <c r="L18" s="2">
        <f t="shared" si="6"/>
        <v>2360</v>
      </c>
      <c r="M18" s="2"/>
      <c r="N18" s="19">
        <f t="shared" si="7"/>
        <v>0.89495638983693593</v>
      </c>
      <c r="O18" s="11"/>
      <c r="P18" s="2">
        <v>3415</v>
      </c>
      <c r="Q18" s="2"/>
      <c r="R18" s="19">
        <f t="shared" si="8"/>
        <v>1.9732927680582435E-2</v>
      </c>
      <c r="S18" s="2"/>
      <c r="T18" s="2">
        <v>-489</v>
      </c>
      <c r="U18" s="2"/>
      <c r="V18" s="19">
        <f t="shared" si="9"/>
        <v>-2.7555398325116395E-3</v>
      </c>
      <c r="W18" s="2"/>
      <c r="X18" s="2">
        <f t="shared" si="10"/>
        <v>3904</v>
      </c>
      <c r="Y18" s="2"/>
      <c r="Z18" s="19">
        <f t="shared" si="11"/>
        <v>-7.9836400817995914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1">
        <f>D12-D16</f>
        <v>66475.12</v>
      </c>
      <c r="E20" s="13"/>
      <c r="F20" s="20">
        <f>IF(D$12=0,0,D20/D$12)</f>
        <v>0.63149874925949245</v>
      </c>
      <c r="G20" s="13"/>
      <c r="H20" s="21">
        <f>H12-H16</f>
        <v>74758.009999999995</v>
      </c>
      <c r="I20" s="13"/>
      <c r="J20" s="20">
        <f>IF(H$12=0,0,H20/H$12)</f>
        <v>0.67699761495976341</v>
      </c>
      <c r="K20" s="15"/>
      <c r="L20" s="21">
        <f>+D20-H20</f>
        <v>-8282.89</v>
      </c>
      <c r="M20" s="15"/>
      <c r="N20" s="20">
        <f>IF(H20=0,0,L20/H20)</f>
        <v>-0.11079602038631044</v>
      </c>
      <c r="O20" s="25"/>
      <c r="P20" s="21">
        <f>P12-P16</f>
        <v>111628.18999999999</v>
      </c>
      <c r="Q20" s="13"/>
      <c r="R20" s="20">
        <f>IF(P$12=0,0,P20/P$12)</f>
        <v>0.6450222548709561</v>
      </c>
      <c r="S20" s="13"/>
      <c r="T20" s="21">
        <f>T12-T16</f>
        <v>119340.26000000001</v>
      </c>
      <c r="U20" s="13"/>
      <c r="V20" s="20">
        <f>IF(T$12=0,0,T20/T$12)</f>
        <v>0.67248842546481702</v>
      </c>
      <c r="W20" s="15"/>
      <c r="X20" s="21">
        <f>+P20-T20</f>
        <v>-7712.0700000000215</v>
      </c>
      <c r="Y20" s="15"/>
      <c r="Z20" s="20">
        <f>IF(T20=0,0,X20/T20)</f>
        <v>-6.4622533921075934E-2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70957.510000000009</v>
      </c>
      <c r="E22" s="22"/>
      <c r="F22" s="34">
        <f t="shared" ref="F22:F31" si="12">IF(D$12=0,0,D22/D$12)</f>
        <v>0.6740804501829849</v>
      </c>
      <c r="G22" s="22"/>
      <c r="H22" s="22">
        <f>SUM(OSRRefH22x_0)</f>
        <v>70215.709999999992</v>
      </c>
      <c r="I22" s="22"/>
      <c r="J22" s="34">
        <f t="shared" ref="J22:J31" si="13">IF(H$12=0,0,H22/H$12)</f>
        <v>0.63586320987819778</v>
      </c>
      <c r="K22" s="4"/>
      <c r="L22" s="22">
        <f t="shared" ref="L22:L31" si="14">+D22-H22</f>
        <v>741.80000000001746</v>
      </c>
      <c r="M22" s="4"/>
      <c r="N22" s="34">
        <f t="shared" ref="N22:N31" si="15">IF(H22=0,0,L22/H22)</f>
        <v>1.0564587326682555E-2</v>
      </c>
      <c r="O22" s="10"/>
      <c r="P22" s="22">
        <f>SUM(OSRRefP22x_0)</f>
        <v>196969.86000000002</v>
      </c>
      <c r="Q22" s="22"/>
      <c r="R22" s="34">
        <f t="shared" ref="R22:R31" si="16">IF(P$12=0,0,P22/P$12)</f>
        <v>1.1381528558226786</v>
      </c>
      <c r="S22" s="22"/>
      <c r="T22" s="22">
        <f>SUM(OSRRefT22x_0)</f>
        <v>186563.62000000005</v>
      </c>
      <c r="U22" s="22"/>
      <c r="V22" s="34">
        <f t="shared" ref="V22:V31" si="17">IF(T$12=0,0,T22/T$12)</f>
        <v>1.0512954728171069</v>
      </c>
      <c r="W22" s="4"/>
      <c r="X22" s="22">
        <f t="shared" ref="X22:X31" si="18">+P22-T22</f>
        <v>10406.239999999962</v>
      </c>
      <c r="Y22" s="4"/>
      <c r="Z22" s="34">
        <f t="shared" ref="Z22:Z31" si="19">IF(T22=0,0,X22/T22)</f>
        <v>5.5778506013122807E-2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7531.1500000000015</v>
      </c>
      <c r="E23" s="1"/>
      <c r="F23" s="5">
        <f t="shared" si="12"/>
        <v>7.1544237986868292E-2</v>
      </c>
      <c r="G23" s="1"/>
      <c r="H23" s="1">
        <f>SUM(OSRRefH22_0x_0)</f>
        <v>6764.8599999999988</v>
      </c>
      <c r="I23" s="1"/>
      <c r="J23" s="5">
        <f t="shared" si="13"/>
        <v>6.1261583682293105E-2</v>
      </c>
      <c r="K23" s="1"/>
      <c r="L23" s="1">
        <f t="shared" si="14"/>
        <v>766.29000000000269</v>
      </c>
      <c r="M23" s="1"/>
      <c r="N23" s="5">
        <f t="shared" si="15"/>
        <v>0.11327507147228513</v>
      </c>
      <c r="O23" s="14"/>
      <c r="P23" s="1">
        <f>SUM(OSRRefP22_0x_0)</f>
        <v>26234.91</v>
      </c>
      <c r="Q23" s="1"/>
      <c r="R23" s="5">
        <f t="shared" si="16"/>
        <v>0.15159343535478448</v>
      </c>
      <c r="S23" s="1"/>
      <c r="T23" s="1">
        <f>SUM(OSRRefT22_0x_0)</f>
        <v>20183.86</v>
      </c>
      <c r="U23" s="1"/>
      <c r="V23" s="5">
        <f t="shared" si="17"/>
        <v>0.11373707608146909</v>
      </c>
      <c r="W23" s="1"/>
      <c r="X23" s="1">
        <f t="shared" si="18"/>
        <v>6051.0499999999993</v>
      </c>
      <c r="Y23" s="1"/>
      <c r="Z23" s="5">
        <f t="shared" si="19"/>
        <v>0.29979647104171347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>
        <v>1303.67</v>
      </c>
      <c r="E24" s="2"/>
      <c r="F24" s="7">
        <f t="shared" si="12"/>
        <v>1.2384572971769328E-2</v>
      </c>
      <c r="G24" s="2"/>
      <c r="H24" s="6">
        <v>1285.81</v>
      </c>
      <c r="I24" s="2"/>
      <c r="J24" s="7">
        <f t="shared" si="13"/>
        <v>1.1644107478133962E-2</v>
      </c>
      <c r="K24" s="2"/>
      <c r="L24" s="6">
        <f t="shared" si="14"/>
        <v>17.860000000000127</v>
      </c>
      <c r="M24" s="2"/>
      <c r="N24" s="7">
        <f t="shared" si="15"/>
        <v>1.3890077072040293E-2</v>
      </c>
      <c r="O24" s="11"/>
      <c r="P24" s="6">
        <v>3811.65</v>
      </c>
      <c r="Q24" s="2"/>
      <c r="R24" s="7">
        <f t="shared" si="16"/>
        <v>2.2024894229485226E-2</v>
      </c>
      <c r="S24" s="2"/>
      <c r="T24" s="6">
        <v>3529.08</v>
      </c>
      <c r="U24" s="2"/>
      <c r="V24" s="7">
        <f t="shared" si="17"/>
        <v>1.9886545014560688E-2</v>
      </c>
      <c r="W24" s="2"/>
      <c r="X24" s="6">
        <f t="shared" si="18"/>
        <v>282.57000000000016</v>
      </c>
      <c r="Y24" s="2"/>
      <c r="Z24" s="7">
        <f t="shared" si="19"/>
        <v>8.0069026488489972E-2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>
        <v>1035.51</v>
      </c>
      <c r="E25" s="2"/>
      <c r="F25" s="7">
        <f t="shared" si="12"/>
        <v>9.837113040874498E-3</v>
      </c>
      <c r="G25" s="2"/>
      <c r="H25" s="6"/>
      <c r="I25" s="2"/>
      <c r="J25" s="7">
        <f t="shared" si="13"/>
        <v>0</v>
      </c>
      <c r="K25" s="2"/>
      <c r="L25" s="6">
        <f t="shared" si="14"/>
        <v>1035.51</v>
      </c>
      <c r="M25" s="2"/>
      <c r="N25" s="7">
        <f t="shared" si="15"/>
        <v>0</v>
      </c>
      <c r="O25" s="11"/>
      <c r="P25" s="6">
        <v>2345.39</v>
      </c>
      <c r="Q25" s="2"/>
      <c r="R25" s="7">
        <f t="shared" si="16"/>
        <v>1.3552389825113101E-2</v>
      </c>
      <c r="S25" s="2"/>
      <c r="T25" s="6">
        <v>1136.01</v>
      </c>
      <c r="U25" s="2"/>
      <c r="V25" s="7">
        <f t="shared" si="17"/>
        <v>6.4014740391238195E-3</v>
      </c>
      <c r="W25" s="2"/>
      <c r="X25" s="6">
        <f t="shared" si="18"/>
        <v>1209.3799999999999</v>
      </c>
      <c r="Y25" s="2"/>
      <c r="Z25" s="7">
        <f t="shared" si="19"/>
        <v>1.0645856990695504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>
        <v>3090.11</v>
      </c>
      <c r="E26" s="2"/>
      <c r="F26" s="7">
        <f t="shared" si="12"/>
        <v>2.9355352800780964E-2</v>
      </c>
      <c r="G26" s="2"/>
      <c r="H26" s="6">
        <v>3401.61</v>
      </c>
      <c r="I26" s="2"/>
      <c r="J26" s="7">
        <f t="shared" si="13"/>
        <v>3.0804483118575268E-2</v>
      </c>
      <c r="K26" s="2"/>
      <c r="L26" s="6">
        <f t="shared" si="14"/>
        <v>-311.5</v>
      </c>
      <c r="M26" s="2"/>
      <c r="N26" s="7">
        <f t="shared" si="15"/>
        <v>-9.1574283942015694E-2</v>
      </c>
      <c r="O26" s="11"/>
      <c r="P26" s="6">
        <v>9270.33</v>
      </c>
      <c r="Q26" s="2"/>
      <c r="R26" s="7">
        <f t="shared" si="16"/>
        <v>5.3566837910727312E-2</v>
      </c>
      <c r="S26" s="2"/>
      <c r="T26" s="6">
        <v>8061.44</v>
      </c>
      <c r="U26" s="2"/>
      <c r="V26" s="7">
        <f t="shared" si="17"/>
        <v>4.5426623777919492E-2</v>
      </c>
      <c r="W26" s="2"/>
      <c r="X26" s="6">
        <f t="shared" si="18"/>
        <v>1208.8900000000003</v>
      </c>
      <c r="Y26" s="2"/>
      <c r="Z26" s="7">
        <f t="shared" si="19"/>
        <v>0.14995956057478568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69.39</v>
      </c>
      <c r="E27" s="2"/>
      <c r="F27" s="7">
        <f t="shared" si="12"/>
        <v>6.591894563126202E-4</v>
      </c>
      <c r="G27" s="2"/>
      <c r="H27" s="6">
        <v>70.150000000000006</v>
      </c>
      <c r="I27" s="2"/>
      <c r="J27" s="7">
        <f t="shared" si="13"/>
        <v>6.352681497197078E-4</v>
      </c>
      <c r="K27" s="2"/>
      <c r="L27" s="6">
        <f t="shared" si="14"/>
        <v>-0.76000000000000512</v>
      </c>
      <c r="M27" s="2"/>
      <c r="N27" s="7">
        <f t="shared" si="15"/>
        <v>-1.083392729864583E-2</v>
      </c>
      <c r="O27" s="11"/>
      <c r="P27" s="6">
        <v>157.16</v>
      </c>
      <c r="Q27" s="2"/>
      <c r="R27" s="7">
        <f t="shared" si="16"/>
        <v>9.0811915498692107E-4</v>
      </c>
      <c r="S27" s="2"/>
      <c r="T27" s="6">
        <v>154.54</v>
      </c>
      <c r="U27" s="2"/>
      <c r="V27" s="7">
        <f t="shared" si="17"/>
        <v>8.7084074788619373E-4</v>
      </c>
      <c r="W27" s="2"/>
      <c r="X27" s="6">
        <f t="shared" si="18"/>
        <v>2.6200000000000045</v>
      </c>
      <c r="Y27" s="2"/>
      <c r="Z27" s="7">
        <f t="shared" si="19"/>
        <v>1.6953539536689561E-2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>
        <v>581.80999999999995</v>
      </c>
      <c r="E28" s="2"/>
      <c r="F28" s="7">
        <f t="shared" si="12"/>
        <v>5.5270646718150393E-3</v>
      </c>
      <c r="G28" s="2"/>
      <c r="H28" s="6">
        <v>471.44</v>
      </c>
      <c r="I28" s="2"/>
      <c r="J28" s="7">
        <f t="shared" si="13"/>
        <v>4.2692917534406134E-3</v>
      </c>
      <c r="K28" s="2"/>
      <c r="L28" s="6">
        <f t="shared" si="14"/>
        <v>110.36999999999995</v>
      </c>
      <c r="M28" s="2"/>
      <c r="N28" s="7">
        <f t="shared" si="15"/>
        <v>0.23411250636348199</v>
      </c>
      <c r="O28" s="11"/>
      <c r="P28" s="6">
        <v>1745.43</v>
      </c>
      <c r="Q28" s="2"/>
      <c r="R28" s="7">
        <f t="shared" si="16"/>
        <v>1.0085635127824013E-2</v>
      </c>
      <c r="S28" s="2"/>
      <c r="T28" s="6">
        <v>1643.18</v>
      </c>
      <c r="U28" s="2"/>
      <c r="V28" s="7">
        <f t="shared" si="17"/>
        <v>9.2594027443486226E-3</v>
      </c>
      <c r="W28" s="2"/>
      <c r="X28" s="6">
        <f t="shared" si="18"/>
        <v>102.25</v>
      </c>
      <c r="Y28" s="2"/>
      <c r="Z28" s="7">
        <f t="shared" si="19"/>
        <v>6.2226901495879935E-2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>
        <v>714.17</v>
      </c>
      <c r="E29" s="2"/>
      <c r="F29" s="7">
        <f t="shared" si="12"/>
        <v>6.7844550225505691E-3</v>
      </c>
      <c r="G29" s="2"/>
      <c r="H29" s="6">
        <v>803.95</v>
      </c>
      <c r="I29" s="2"/>
      <c r="J29" s="7">
        <f t="shared" si="13"/>
        <v>7.2804537272581479E-3</v>
      </c>
      <c r="K29" s="2"/>
      <c r="L29" s="6">
        <f t="shared" si="14"/>
        <v>-89.780000000000086</v>
      </c>
      <c r="M29" s="2"/>
      <c r="N29" s="7">
        <f t="shared" si="15"/>
        <v>-0.11167361154300651</v>
      </c>
      <c r="O29" s="11"/>
      <c r="P29" s="6">
        <v>3317.97</v>
      </c>
      <c r="Q29" s="2"/>
      <c r="R29" s="7">
        <f t="shared" si="16"/>
        <v>1.9172258288826384E-2</v>
      </c>
      <c r="S29" s="2"/>
      <c r="T29" s="6">
        <v>2413.2600000000002</v>
      </c>
      <c r="U29" s="2"/>
      <c r="V29" s="7">
        <f t="shared" si="17"/>
        <v>1.3598842650730143E-2</v>
      </c>
      <c r="W29" s="2"/>
      <c r="X29" s="6">
        <f t="shared" si="18"/>
        <v>904.70999999999958</v>
      </c>
      <c r="Y29" s="2"/>
      <c r="Z29" s="7">
        <f t="shared" si="19"/>
        <v>0.37489122597647973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>
        <v>392.9</v>
      </c>
      <c r="E30" s="2"/>
      <c r="F30" s="7">
        <f t="shared" si="12"/>
        <v>3.7324619885463102E-3</v>
      </c>
      <c r="G30" s="2"/>
      <c r="H30" s="6">
        <v>459.16</v>
      </c>
      <c r="I30" s="2"/>
      <c r="J30" s="7">
        <f t="shared" si="13"/>
        <v>4.1580858677876123E-3</v>
      </c>
      <c r="K30" s="2"/>
      <c r="L30" s="6">
        <f t="shared" si="14"/>
        <v>-66.260000000000048</v>
      </c>
      <c r="M30" s="2"/>
      <c r="N30" s="7">
        <f t="shared" si="15"/>
        <v>-0.14430699538287317</v>
      </c>
      <c r="O30" s="11"/>
      <c r="P30" s="6">
        <v>4621.63</v>
      </c>
      <c r="Q30" s="2"/>
      <c r="R30" s="7">
        <f t="shared" si="16"/>
        <v>2.6705209533355843E-2</v>
      </c>
      <c r="S30" s="2"/>
      <c r="T30" s="6">
        <v>2380.62</v>
      </c>
      <c r="U30" s="2"/>
      <c r="V30" s="7">
        <f t="shared" si="17"/>
        <v>1.3414914593198076E-2</v>
      </c>
      <c r="W30" s="2"/>
      <c r="X30" s="6">
        <f t="shared" si="18"/>
        <v>2241.0100000000002</v>
      </c>
      <c r="Y30" s="2"/>
      <c r="Z30" s="7">
        <f t="shared" si="19"/>
        <v>0.94135561324360895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>
        <v>343.59</v>
      </c>
      <c r="E31" s="2"/>
      <c r="F31" s="7">
        <f t="shared" si="12"/>
        <v>3.2640280342189532E-3</v>
      </c>
      <c r="G31" s="2"/>
      <c r="H31" s="6">
        <v>272.74</v>
      </c>
      <c r="I31" s="2"/>
      <c r="J31" s="7">
        <f t="shared" si="13"/>
        <v>2.469893587377806E-3</v>
      </c>
      <c r="K31" s="2"/>
      <c r="L31" s="6">
        <f t="shared" si="14"/>
        <v>70.849999999999966</v>
      </c>
      <c r="M31" s="2"/>
      <c r="N31" s="7">
        <f t="shared" si="15"/>
        <v>0.25977121067683495</v>
      </c>
      <c r="O31" s="11"/>
      <c r="P31" s="6">
        <v>965.35</v>
      </c>
      <c r="Q31" s="2"/>
      <c r="R31" s="7">
        <f t="shared" si="16"/>
        <v>5.5780912844656675E-3</v>
      </c>
      <c r="S31" s="2"/>
      <c r="T31" s="6">
        <v>865.73</v>
      </c>
      <c r="U31" s="2"/>
      <c r="V31" s="7">
        <f t="shared" si="17"/>
        <v>4.878432513702049E-3</v>
      </c>
      <c r="W31" s="2"/>
      <c r="X31" s="6">
        <f t="shared" si="18"/>
        <v>99.62</v>
      </c>
      <c r="Y31" s="2"/>
      <c r="Z31" s="7">
        <f t="shared" si="19"/>
        <v>0.11507051852194103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26914.43</v>
      </c>
      <c r="E32" s="1"/>
      <c r="F32" s="5">
        <f t="shared" ref="F32:F37" si="20">IF(D$12=0,0,D32/D$12)</f>
        <v>0.25568105604069857</v>
      </c>
      <c r="G32" s="1"/>
      <c r="H32" s="1">
        <f>SUM(OSRRefH22_1x_0)</f>
        <v>25754.94</v>
      </c>
      <c r="I32" s="1"/>
      <c r="J32" s="5">
        <f t="shared" ref="J32:J37" si="21">IF(H$12=0,0,H32/H$12)</f>
        <v>0.23323297334201126</v>
      </c>
      <c r="K32" s="1"/>
      <c r="L32" s="1">
        <f t="shared" ref="L32:L37" si="22">+D32-H32</f>
        <v>1159.4900000000016</v>
      </c>
      <c r="M32" s="1"/>
      <c r="N32" s="5">
        <f t="shared" ref="N32:N37" si="23">IF(H32=0,0,L32/H32)</f>
        <v>4.5020100998099846E-2</v>
      </c>
      <c r="O32" s="14"/>
      <c r="P32" s="1">
        <f>SUM(OSRRefP22_1x_0)</f>
        <v>65479.59</v>
      </c>
      <c r="Q32" s="1"/>
      <c r="R32" s="5">
        <f t="shared" ref="R32:R37" si="24">IF(P$12=0,0,P32/P$12)</f>
        <v>0.37836135110517977</v>
      </c>
      <c r="S32" s="1"/>
      <c r="T32" s="1">
        <f>SUM(OSRRefT22_1x_0)</f>
        <v>59899.97</v>
      </c>
      <c r="U32" s="1"/>
      <c r="V32" s="5">
        <f t="shared" ref="V32:V37" si="25">IF(T$12=0,0,T32/T$12)</f>
        <v>0.33753937280419682</v>
      </c>
      <c r="W32" s="1"/>
      <c r="X32" s="1">
        <f t="shared" ref="X32:X37" si="26">+P32-T32</f>
        <v>5579.6199999999953</v>
      </c>
      <c r="Y32" s="1"/>
      <c r="Z32" s="5">
        <f t="shared" ref="Z32:Z37" si="27">IF(T32=0,0,X32/T32)</f>
        <v>9.3148961510331224E-2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>
        <v>4838.4399999999996</v>
      </c>
      <c r="E33" s="2"/>
      <c r="F33" s="7">
        <f t="shared" si="20"/>
        <v>4.5964096166612393E-2</v>
      </c>
      <c r="G33" s="2"/>
      <c r="H33" s="6">
        <v>4526.5600000000004</v>
      </c>
      <c r="I33" s="2"/>
      <c r="J33" s="7">
        <f t="shared" si="21"/>
        <v>4.0991865941485968E-2</v>
      </c>
      <c r="K33" s="2"/>
      <c r="L33" s="6">
        <f t="shared" si="22"/>
        <v>311.8799999999992</v>
      </c>
      <c r="M33" s="2"/>
      <c r="N33" s="7">
        <f t="shared" si="23"/>
        <v>6.8900003534692833E-2</v>
      </c>
      <c r="O33" s="11"/>
      <c r="P33" s="6">
        <v>15511.710000000001</v>
      </c>
      <c r="Q33" s="2"/>
      <c r="R33" s="7">
        <f t="shared" si="24"/>
        <v>8.9631464606784006E-2</v>
      </c>
      <c r="S33" s="2"/>
      <c r="T33" s="6">
        <v>15333.74</v>
      </c>
      <c r="U33" s="2"/>
      <c r="V33" s="7">
        <f t="shared" si="25"/>
        <v>8.6406403581548108E-2</v>
      </c>
      <c r="W33" s="2"/>
      <c r="X33" s="6">
        <f t="shared" si="26"/>
        <v>177.97000000000116</v>
      </c>
      <c r="Y33" s="2"/>
      <c r="Z33" s="7">
        <f t="shared" si="27"/>
        <v>1.160643130769148E-2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6">
        <v>3432.34</v>
      </c>
      <c r="E34" s="2"/>
      <c r="F34" s="7">
        <f t="shared" si="20"/>
        <v>3.2606461139646332E-2</v>
      </c>
      <c r="G34" s="2"/>
      <c r="H34" s="6">
        <v>3265.11</v>
      </c>
      <c r="I34" s="2"/>
      <c r="J34" s="7">
        <f t="shared" si="21"/>
        <v>2.9568359063881895E-2</v>
      </c>
      <c r="K34" s="2"/>
      <c r="L34" s="6">
        <f t="shared" si="22"/>
        <v>167.23000000000002</v>
      </c>
      <c r="M34" s="2"/>
      <c r="N34" s="7">
        <f t="shared" si="23"/>
        <v>5.1217263736903204E-2</v>
      </c>
      <c r="O34" s="11"/>
      <c r="P34" s="6">
        <v>9620.6299999999992</v>
      </c>
      <c r="Q34" s="2"/>
      <c r="R34" s="7">
        <f t="shared" si="24"/>
        <v>5.5590979804287489E-2</v>
      </c>
      <c r="S34" s="2"/>
      <c r="T34" s="6">
        <v>8927.5400000000009</v>
      </c>
      <c r="U34" s="2"/>
      <c r="V34" s="7">
        <f t="shared" si="25"/>
        <v>5.030714126041097E-2</v>
      </c>
      <c r="W34" s="2"/>
      <c r="X34" s="6">
        <f t="shared" si="26"/>
        <v>693.08999999999833</v>
      </c>
      <c r="Y34" s="2"/>
      <c r="Z34" s="7">
        <f t="shared" si="27"/>
        <v>7.7635048400791065E-2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6">
        <v>8316.7099999999991</v>
      </c>
      <c r="E35" s="2"/>
      <c r="F35" s="7">
        <f t="shared" si="20"/>
        <v>7.9006882017722019E-2</v>
      </c>
      <c r="G35" s="2"/>
      <c r="H35" s="6">
        <v>8232.2199999999993</v>
      </c>
      <c r="I35" s="2"/>
      <c r="J35" s="7">
        <f t="shared" si="21"/>
        <v>7.4549781432438664E-2</v>
      </c>
      <c r="K35" s="2"/>
      <c r="L35" s="6">
        <f t="shared" si="22"/>
        <v>84.489999999999782</v>
      </c>
      <c r="M35" s="2"/>
      <c r="N35" s="7">
        <f t="shared" si="23"/>
        <v>1.0263331154901082E-2</v>
      </c>
      <c r="O35" s="11"/>
      <c r="P35" s="6">
        <v>16313.809999999998</v>
      </c>
      <c r="Q35" s="2"/>
      <c r="R35" s="7">
        <f t="shared" si="24"/>
        <v>9.4266246830091507E-2</v>
      </c>
      <c r="S35" s="2"/>
      <c r="T35" s="6">
        <v>12848.7</v>
      </c>
      <c r="U35" s="2"/>
      <c r="V35" s="7">
        <f t="shared" si="25"/>
        <v>7.2403076985669335E-2</v>
      </c>
      <c r="W35" s="2"/>
      <c r="X35" s="6">
        <f t="shared" si="26"/>
        <v>3465.1099999999969</v>
      </c>
      <c r="Y35" s="2"/>
      <c r="Z35" s="7">
        <f t="shared" si="27"/>
        <v>0.26968564913181853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>
        <v>200.5</v>
      </c>
      <c r="Q36" s="2"/>
      <c r="R36" s="7">
        <f t="shared" si="24"/>
        <v>1.1585510980839761E-3</v>
      </c>
      <c r="S36" s="2"/>
      <c r="T36" s="6"/>
      <c r="U36" s="2"/>
      <c r="V36" s="7">
        <f t="shared" si="25"/>
        <v>0</v>
      </c>
      <c r="W36" s="2"/>
      <c r="X36" s="6">
        <f t="shared" si="26"/>
        <v>200.5</v>
      </c>
      <c r="Y36" s="2"/>
      <c r="Z36" s="7">
        <f t="shared" si="27"/>
        <v>0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6">
        <v>10326.94</v>
      </c>
      <c r="E37" s="2"/>
      <c r="F37" s="7">
        <f t="shared" si="20"/>
        <v>9.8103616716717842E-2</v>
      </c>
      <c r="G37" s="2"/>
      <c r="H37" s="6">
        <v>9731.0499999999993</v>
      </c>
      <c r="I37" s="2"/>
      <c r="J37" s="7">
        <f t="shared" si="21"/>
        <v>8.8122966904204722E-2</v>
      </c>
      <c r="K37" s="2"/>
      <c r="L37" s="6">
        <f t="shared" si="22"/>
        <v>595.89000000000124</v>
      </c>
      <c r="M37" s="2"/>
      <c r="N37" s="7">
        <f t="shared" si="23"/>
        <v>6.1235940623057254E-2</v>
      </c>
      <c r="O37" s="11"/>
      <c r="P37" s="6">
        <v>23832.94</v>
      </c>
      <c r="Q37" s="2"/>
      <c r="R37" s="7">
        <f t="shared" si="24"/>
        <v>0.13771410876593276</v>
      </c>
      <c r="S37" s="2"/>
      <c r="T37" s="6">
        <v>22789.99</v>
      </c>
      <c r="U37" s="2"/>
      <c r="V37" s="7">
        <f t="shared" si="25"/>
        <v>0.12842275097656838</v>
      </c>
      <c r="W37" s="2"/>
      <c r="X37" s="6">
        <f t="shared" si="26"/>
        <v>1042.9499999999971</v>
      </c>
      <c r="Y37" s="2"/>
      <c r="Z37" s="7">
        <f t="shared" si="27"/>
        <v>4.576351284050572E-2</v>
      </c>
    </row>
    <row r="38" spans="1:26" s="29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13.41</v>
      </c>
      <c r="E38" s="1"/>
      <c r="F38" s="5">
        <f t="shared" ref="F38:F46" si="28">IF(D$12=0,0,D38/D$12)</f>
        <v>1.2739199609673206E-4</v>
      </c>
      <c r="G38" s="1"/>
      <c r="H38" s="1">
        <f>SUM(OSRRefH22_2x_0)</f>
        <v>288.95999999999998</v>
      </c>
      <c r="I38" s="1"/>
      <c r="J38" s="5">
        <f t="shared" ref="J38:J46" si="29">IF(H$12=0,0,H38/H$12)</f>
        <v>2.6167795373201247E-3</v>
      </c>
      <c r="K38" s="1"/>
      <c r="L38" s="1">
        <f t="shared" ref="L38:L46" si="30">+D38-H38</f>
        <v>-275.54999999999995</v>
      </c>
      <c r="M38" s="1"/>
      <c r="N38" s="5">
        <f t="shared" ref="N38:N46" si="31">IF(H38=0,0,L38/H38)</f>
        <v>-0.95359219269102979</v>
      </c>
      <c r="O38" s="14"/>
      <c r="P38" s="1">
        <f>SUM(OSRRefP22_2x_0)</f>
        <v>2013.86</v>
      </c>
      <c r="Q38" s="1"/>
      <c r="R38" s="5">
        <f t="shared" ref="R38:R46" si="32">IF(P$12=0,0,P38/P$12)</f>
        <v>1.1636706804924669E-2</v>
      </c>
      <c r="S38" s="1"/>
      <c r="T38" s="1">
        <f>SUM(OSRRefT22_2x_0)</f>
        <v>565.84</v>
      </c>
      <c r="U38" s="1"/>
      <c r="V38" s="5">
        <f t="shared" ref="V38:V46" si="33">IF(T$12=0,0,T38/T$12)</f>
        <v>3.1885371346183767E-3</v>
      </c>
      <c r="W38" s="1"/>
      <c r="X38" s="1">
        <f t="shared" ref="X38:X46" si="34">+P38-T38</f>
        <v>1448.02</v>
      </c>
      <c r="Y38" s="1"/>
      <c r="Z38" s="5">
        <f t="shared" ref="Z38:Z46" si="35">IF(T38=0,0,X38/T38)</f>
        <v>2.5590626325463028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6">
        <v>13.41</v>
      </c>
      <c r="E39" s="2"/>
      <c r="F39" s="7">
        <f t="shared" si="28"/>
        <v>1.2739199609673206E-4</v>
      </c>
      <c r="G39" s="2"/>
      <c r="H39" s="6">
        <v>288.95999999999998</v>
      </c>
      <c r="I39" s="2"/>
      <c r="J39" s="7">
        <f t="shared" si="29"/>
        <v>2.6167795373201247E-3</v>
      </c>
      <c r="K39" s="2"/>
      <c r="L39" s="6">
        <f t="shared" si="30"/>
        <v>-275.54999999999995</v>
      </c>
      <c r="M39" s="2"/>
      <c r="N39" s="7">
        <f t="shared" si="31"/>
        <v>-0.95359219269102979</v>
      </c>
      <c r="O39" s="11"/>
      <c r="P39" s="6">
        <v>2013.86</v>
      </c>
      <c r="Q39" s="2"/>
      <c r="R39" s="7">
        <f t="shared" si="32"/>
        <v>1.1636706804924669E-2</v>
      </c>
      <c r="S39" s="2"/>
      <c r="T39" s="6">
        <v>565.84</v>
      </c>
      <c r="U39" s="2"/>
      <c r="V39" s="7">
        <f t="shared" si="33"/>
        <v>3.1885371346183767E-3</v>
      </c>
      <c r="W39" s="2"/>
      <c r="X39" s="6">
        <f t="shared" si="34"/>
        <v>1448.02</v>
      </c>
      <c r="Y39" s="2"/>
      <c r="Z39" s="7">
        <f t="shared" si="35"/>
        <v>2.5590626325463028</v>
      </c>
    </row>
    <row r="40" spans="1:26" s="29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20.239999999999998</v>
      </c>
      <c r="E40" s="1"/>
      <c r="F40" s="5">
        <f t="shared" si="28"/>
        <v>1.9227546614450833E-4</v>
      </c>
      <c r="G40" s="1"/>
      <c r="H40" s="1">
        <f>SUM(OSRRefH22_3x_0)</f>
        <v>17.18</v>
      </c>
      <c r="I40" s="1"/>
      <c r="J40" s="5">
        <f t="shared" si="29"/>
        <v>1.5557956966763477E-4</v>
      </c>
      <c r="K40" s="1"/>
      <c r="L40" s="1">
        <f t="shared" si="30"/>
        <v>3.0599999999999987</v>
      </c>
      <c r="M40" s="1"/>
      <c r="N40" s="5">
        <f t="shared" si="31"/>
        <v>0.17811408614668212</v>
      </c>
      <c r="O40" s="14"/>
      <c r="P40" s="1">
        <f>SUM(OSRRefP22_3x_0)</f>
        <v>2.0299999999999998</v>
      </c>
      <c r="Q40" s="1"/>
      <c r="R40" s="5">
        <f t="shared" si="32"/>
        <v>1.1729968723742999E-5</v>
      </c>
      <c r="S40" s="1"/>
      <c r="T40" s="1">
        <f>SUM(OSRRefT22_3x_0)</f>
        <v>24.45</v>
      </c>
      <c r="U40" s="1"/>
      <c r="V40" s="5">
        <f t="shared" si="33"/>
        <v>1.3777699162558198E-4</v>
      </c>
      <c r="W40" s="1"/>
      <c r="X40" s="1">
        <f t="shared" si="34"/>
        <v>-22.419999999999998</v>
      </c>
      <c r="Y40" s="1"/>
      <c r="Z40" s="5">
        <f t="shared" si="35"/>
        <v>-0.9169734151329243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6">
        <v>20.239999999999998</v>
      </c>
      <c r="E41" s="2"/>
      <c r="F41" s="7">
        <f t="shared" si="28"/>
        <v>1.9227546614450833E-4</v>
      </c>
      <c r="G41" s="2"/>
      <c r="H41" s="6">
        <v>17.18</v>
      </c>
      <c r="I41" s="2"/>
      <c r="J41" s="7">
        <f t="shared" si="29"/>
        <v>1.5557956966763477E-4</v>
      </c>
      <c r="K41" s="2"/>
      <c r="L41" s="6">
        <f t="shared" si="30"/>
        <v>3.0599999999999987</v>
      </c>
      <c r="M41" s="2"/>
      <c r="N41" s="7">
        <f t="shared" si="31"/>
        <v>0.17811408614668212</v>
      </c>
      <c r="O41" s="11"/>
      <c r="P41" s="6">
        <v>2.0299999999999998</v>
      </c>
      <c r="Q41" s="2"/>
      <c r="R41" s="7">
        <f t="shared" si="32"/>
        <v>1.1729968723742999E-5</v>
      </c>
      <c r="S41" s="2"/>
      <c r="T41" s="6">
        <v>24.45</v>
      </c>
      <c r="U41" s="2"/>
      <c r="V41" s="7">
        <f t="shared" si="33"/>
        <v>1.3777699162558198E-4</v>
      </c>
      <c r="W41" s="2"/>
      <c r="X41" s="6">
        <f t="shared" si="34"/>
        <v>-22.419999999999998</v>
      </c>
      <c r="Y41" s="2"/>
      <c r="Z41" s="7">
        <f t="shared" si="35"/>
        <v>-0.9169734151329243</v>
      </c>
    </row>
    <row r="42" spans="1:26" s="29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3924.28</v>
      </c>
      <c r="E42" s="1"/>
      <c r="F42" s="5">
        <f t="shared" si="28"/>
        <v>3.7279780942765378E-2</v>
      </c>
      <c r="G42" s="1"/>
      <c r="H42" s="1">
        <f>SUM(OSRRefH22_4x_0)</f>
        <v>3983.41</v>
      </c>
      <c r="I42" s="1"/>
      <c r="J42" s="5">
        <f t="shared" si="29"/>
        <v>3.6073178906271999E-2</v>
      </c>
      <c r="K42" s="1"/>
      <c r="L42" s="1">
        <f t="shared" si="30"/>
        <v>-59.129999999999654</v>
      </c>
      <c r="M42" s="1"/>
      <c r="N42" s="5">
        <f t="shared" si="31"/>
        <v>-1.4844065762750923E-2</v>
      </c>
      <c r="O42" s="14"/>
      <c r="P42" s="1">
        <f>SUM(OSRRefP22_4x_0)</f>
        <v>6392.84</v>
      </c>
      <c r="Q42" s="1"/>
      <c r="R42" s="5">
        <f t="shared" si="32"/>
        <v>3.6939809485661675E-2</v>
      </c>
      <c r="S42" s="1"/>
      <c r="T42" s="1">
        <f>SUM(OSRRefT22_4x_0)</f>
        <v>6180.97</v>
      </c>
      <c r="U42" s="1"/>
      <c r="V42" s="5">
        <f t="shared" si="33"/>
        <v>3.4830079833454951E-2</v>
      </c>
      <c r="W42" s="1"/>
      <c r="X42" s="1">
        <f t="shared" si="34"/>
        <v>211.86999999999989</v>
      </c>
      <c r="Y42" s="1"/>
      <c r="Z42" s="5">
        <f t="shared" si="35"/>
        <v>3.4277791349901374E-2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6">
        <v>3924.28</v>
      </c>
      <c r="E43" s="2"/>
      <c r="F43" s="7">
        <f t="shared" si="28"/>
        <v>3.7279780942765378E-2</v>
      </c>
      <c r="G43" s="2"/>
      <c r="H43" s="6">
        <v>3983.41</v>
      </c>
      <c r="I43" s="2"/>
      <c r="J43" s="7">
        <f t="shared" si="29"/>
        <v>3.6073178906271999E-2</v>
      </c>
      <c r="K43" s="2"/>
      <c r="L43" s="6">
        <f t="shared" si="30"/>
        <v>-59.129999999999654</v>
      </c>
      <c r="M43" s="2"/>
      <c r="N43" s="7">
        <f t="shared" si="31"/>
        <v>-1.4844065762750923E-2</v>
      </c>
      <c r="O43" s="11"/>
      <c r="P43" s="6">
        <v>6392.84</v>
      </c>
      <c r="Q43" s="2"/>
      <c r="R43" s="7">
        <f t="shared" si="32"/>
        <v>3.6939809485661675E-2</v>
      </c>
      <c r="S43" s="2"/>
      <c r="T43" s="6">
        <v>6180.97</v>
      </c>
      <c r="U43" s="2"/>
      <c r="V43" s="7">
        <f t="shared" si="33"/>
        <v>3.4830079833454951E-2</v>
      </c>
      <c r="W43" s="2"/>
      <c r="X43" s="6">
        <f t="shared" si="34"/>
        <v>211.86999999999989</v>
      </c>
      <c r="Y43" s="2"/>
      <c r="Z43" s="7">
        <f t="shared" si="35"/>
        <v>3.4277791349901374E-2</v>
      </c>
    </row>
    <row r="44" spans="1:26" s="29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13266.91</v>
      </c>
      <c r="E44" s="1"/>
      <c r="F44" s="5">
        <f t="shared" si="28"/>
        <v>0.12603267314956715</v>
      </c>
      <c r="G44" s="1"/>
      <c r="H44" s="1">
        <f>SUM(OSRRefH22_5x_0)</f>
        <v>13266.9</v>
      </c>
      <c r="I44" s="1"/>
      <c r="J44" s="5">
        <f t="shared" si="29"/>
        <v>0.12014310784770335</v>
      </c>
      <c r="K44" s="1"/>
      <c r="L44" s="1">
        <f t="shared" si="30"/>
        <v>1.0000000000218279E-2</v>
      </c>
      <c r="M44" s="1"/>
      <c r="N44" s="5">
        <f t="shared" si="31"/>
        <v>7.537555872297431E-7</v>
      </c>
      <c r="O44" s="14"/>
      <c r="P44" s="1">
        <f>SUM(OSRRefP22_5x_0)</f>
        <v>39800.729999999996</v>
      </c>
      <c r="Q44" s="1"/>
      <c r="R44" s="5">
        <f t="shared" si="32"/>
        <v>0.2299809448680491</v>
      </c>
      <c r="S44" s="1"/>
      <c r="T44" s="1">
        <f>SUM(OSRRefT22_5x_0)</f>
        <v>39800.699999999997</v>
      </c>
      <c r="U44" s="1"/>
      <c r="V44" s="5">
        <f t="shared" si="33"/>
        <v>0.22427896566839675</v>
      </c>
      <c r="W44" s="1"/>
      <c r="X44" s="1">
        <f t="shared" si="34"/>
        <v>2.9999999998835847E-2</v>
      </c>
      <c r="Y44" s="1"/>
      <c r="Z44" s="5">
        <f t="shared" si="35"/>
        <v>7.537555871840407E-7</v>
      </c>
    </row>
    <row r="45" spans="1:26" s="24" customFormat="1" hidden="1" outlineLevel="2" x14ac:dyDescent="0.25">
      <c r="A45" s="28"/>
      <c r="B45" s="11" t="str">
        <f>CONCATENATE("          ", "6321", " - ", "BUILDING DEPRECIATION")</f>
        <v xml:space="preserve">          6321 - BUILDING DEPRECIATION</v>
      </c>
      <c r="C45" s="11"/>
      <c r="D45" s="6">
        <v>10612.46</v>
      </c>
      <c r="E45" s="2"/>
      <c r="F45" s="7">
        <f t="shared" si="28"/>
        <v>0.10081599275889075</v>
      </c>
      <c r="G45" s="2"/>
      <c r="H45" s="6">
        <v>10612.46</v>
      </c>
      <c r="I45" s="2"/>
      <c r="J45" s="7">
        <f t="shared" si="29"/>
        <v>9.6104887073049317E-2</v>
      </c>
      <c r="K45" s="2"/>
      <c r="L45" s="6">
        <f t="shared" si="30"/>
        <v>0</v>
      </c>
      <c r="M45" s="2"/>
      <c r="N45" s="7">
        <f t="shared" si="31"/>
        <v>0</v>
      </c>
      <c r="O45" s="11"/>
      <c r="P45" s="6">
        <v>31837.379999999997</v>
      </c>
      <c r="Q45" s="2"/>
      <c r="R45" s="7">
        <f t="shared" si="32"/>
        <v>0.18396624219010882</v>
      </c>
      <c r="S45" s="2"/>
      <c r="T45" s="6">
        <v>31837.379999999997</v>
      </c>
      <c r="U45" s="2"/>
      <c r="V45" s="7">
        <f t="shared" si="33"/>
        <v>0.17940525307322988</v>
      </c>
      <c r="W45" s="2"/>
      <c r="X45" s="6">
        <f t="shared" si="34"/>
        <v>0</v>
      </c>
      <c r="Y45" s="2"/>
      <c r="Z45" s="7">
        <f t="shared" si="35"/>
        <v>0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2654.45</v>
      </c>
      <c r="E46" s="2"/>
      <c r="F46" s="7">
        <f t="shared" si="28"/>
        <v>2.5216680390676389E-2</v>
      </c>
      <c r="G46" s="2"/>
      <c r="H46" s="6">
        <v>2654.44</v>
      </c>
      <c r="I46" s="2"/>
      <c r="J46" s="7">
        <f t="shared" si="29"/>
        <v>2.4038220774654041E-2</v>
      </c>
      <c r="K46" s="2"/>
      <c r="L46" s="6">
        <f t="shared" si="30"/>
        <v>9.9999999997635314E-3</v>
      </c>
      <c r="M46" s="2"/>
      <c r="N46" s="7">
        <f t="shared" si="31"/>
        <v>3.7672729463704327E-6</v>
      </c>
      <c r="O46" s="11"/>
      <c r="P46" s="6">
        <v>7963.35</v>
      </c>
      <c r="Q46" s="2"/>
      <c r="R46" s="7">
        <f t="shared" si="32"/>
        <v>4.6014702677940306E-2</v>
      </c>
      <c r="S46" s="2"/>
      <c r="T46" s="6">
        <v>7963.32</v>
      </c>
      <c r="U46" s="2"/>
      <c r="V46" s="7">
        <f t="shared" si="33"/>
        <v>4.4873712595166849E-2</v>
      </c>
      <c r="W46" s="2"/>
      <c r="X46" s="6">
        <f t="shared" si="34"/>
        <v>3.0000000000654836E-2</v>
      </c>
      <c r="Y46" s="2"/>
      <c r="Z46" s="7">
        <f t="shared" si="35"/>
        <v>3.7672729465417485E-6</v>
      </c>
    </row>
    <row r="47" spans="1:26" s="29" customFormat="1" outlineLevel="1" collapsed="1" x14ac:dyDescent="0.25">
      <c r="A47" s="27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SUM(OSRRefD22_6x_0)</f>
        <v>0</v>
      </c>
      <c r="E47" s="1"/>
      <c r="F47" s="5">
        <f t="shared" ref="F47:F60" si="36">IF(D$12=0,0,D47/D$12)</f>
        <v>0</v>
      </c>
      <c r="G47" s="1"/>
      <c r="H47" s="1">
        <f>SUM(OSRRefH22_6x_0)</f>
        <v>0</v>
      </c>
      <c r="I47" s="1"/>
      <c r="J47" s="5">
        <f t="shared" ref="J47:J60" si="37">IF(H$12=0,0,H47/H$12)</f>
        <v>0</v>
      </c>
      <c r="K47" s="1"/>
      <c r="L47" s="1">
        <f t="shared" ref="L47:L60" si="38">+D47-H47</f>
        <v>0</v>
      </c>
      <c r="M47" s="1"/>
      <c r="N47" s="5">
        <f t="shared" ref="N47:N60" si="39">IF(H47=0,0,L47/H47)</f>
        <v>0</v>
      </c>
      <c r="O47" s="14"/>
      <c r="P47" s="1">
        <f>SUM(OSRRefP22_6x_0)</f>
        <v>15.35</v>
      </c>
      <c r="Q47" s="1"/>
      <c r="R47" s="5">
        <f t="shared" ref="R47:R60" si="40">IF(P$12=0,0,P47/P$12)</f>
        <v>8.8697054142588695E-5</v>
      </c>
      <c r="S47" s="1"/>
      <c r="T47" s="1">
        <f>SUM(OSRRefT22_6x_0)</f>
        <v>0</v>
      </c>
      <c r="U47" s="1"/>
      <c r="V47" s="5">
        <f t="shared" ref="V47:V60" si="41">IF(T$12=0,0,T47/T$12)</f>
        <v>0</v>
      </c>
      <c r="W47" s="1"/>
      <c r="X47" s="1">
        <f t="shared" ref="X47:X60" si="42">+P47-T47</f>
        <v>15.35</v>
      </c>
      <c r="Y47" s="1"/>
      <c r="Z47" s="5">
        <f t="shared" ref="Z47:Z60" si="43">IF(T47=0,0,X47/T47)</f>
        <v>0</v>
      </c>
    </row>
    <row r="48" spans="1:26" s="24" customFormat="1" hidden="1" outlineLevel="2" x14ac:dyDescent="0.25">
      <c r="A48" s="28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36"/>
        <v>0</v>
      </c>
      <c r="G48" s="2"/>
      <c r="H48" s="6"/>
      <c r="I48" s="2"/>
      <c r="J48" s="7">
        <f t="shared" si="37"/>
        <v>0</v>
      </c>
      <c r="K48" s="2"/>
      <c r="L48" s="6">
        <f t="shared" si="38"/>
        <v>0</v>
      </c>
      <c r="M48" s="2"/>
      <c r="N48" s="7">
        <f t="shared" si="39"/>
        <v>0</v>
      </c>
      <c r="O48" s="11"/>
      <c r="P48" s="6">
        <v>15.35</v>
      </c>
      <c r="Q48" s="2"/>
      <c r="R48" s="7">
        <f t="shared" si="40"/>
        <v>8.8697054142588695E-5</v>
      </c>
      <c r="S48" s="2"/>
      <c r="T48" s="6"/>
      <c r="U48" s="2"/>
      <c r="V48" s="7">
        <f t="shared" si="41"/>
        <v>0</v>
      </c>
      <c r="W48" s="2"/>
      <c r="X48" s="6">
        <f t="shared" si="42"/>
        <v>15.35</v>
      </c>
      <c r="Y48" s="2"/>
      <c r="Z48" s="7">
        <f t="shared" si="43"/>
        <v>0</v>
      </c>
    </row>
    <row r="49" spans="1:26" s="29" customFormat="1" outlineLevel="1" collapsed="1" x14ac:dyDescent="0.25">
      <c r="A49" s="27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SUM(OSRRefD22_7x_0)</f>
        <v>56.69</v>
      </c>
      <c r="E49" s="1"/>
      <c r="F49" s="5">
        <f t="shared" si="36"/>
        <v>5.3854230117253844E-4</v>
      </c>
      <c r="G49" s="1"/>
      <c r="H49" s="1">
        <f>SUM(OSRRefH22_7x_0)</f>
        <v>123.86</v>
      </c>
      <c r="I49" s="1"/>
      <c r="J49" s="5">
        <f t="shared" si="37"/>
        <v>1.1216580616433785E-3</v>
      </c>
      <c r="K49" s="1"/>
      <c r="L49" s="1">
        <f t="shared" si="38"/>
        <v>-67.17</v>
      </c>
      <c r="M49" s="1"/>
      <c r="N49" s="5">
        <f t="shared" si="39"/>
        <v>-0.54230582916195702</v>
      </c>
      <c r="O49" s="14"/>
      <c r="P49" s="1">
        <f>SUM(OSRRefP22_7x_0)</f>
        <v>349.2</v>
      </c>
      <c r="Q49" s="1"/>
      <c r="R49" s="5">
        <f t="shared" si="40"/>
        <v>2.0177857528724413E-3</v>
      </c>
      <c r="S49" s="1"/>
      <c r="T49" s="1">
        <f>SUM(OSRRefT22_7x_0)</f>
        <v>355.38</v>
      </c>
      <c r="U49" s="1"/>
      <c r="V49" s="5">
        <f t="shared" si="41"/>
        <v>2.0025843469897472E-3</v>
      </c>
      <c r="W49" s="1"/>
      <c r="X49" s="1">
        <f t="shared" si="42"/>
        <v>-6.1800000000000068</v>
      </c>
      <c r="Y49" s="1"/>
      <c r="Z49" s="5">
        <f t="shared" si="43"/>
        <v>-1.738983623163939E-2</v>
      </c>
    </row>
    <row r="50" spans="1:26" s="24" customFormat="1" hidden="1" outlineLevel="2" x14ac:dyDescent="0.25">
      <c r="A50" s="28"/>
      <c r="B50" s="11" t="str">
        <f>CONCATENATE("          ", "6351", " - ", "EQUIPMENT RENTAL")</f>
        <v xml:space="preserve">          6351 - EQUIPMENT RENTAL</v>
      </c>
      <c r="C50" s="11"/>
      <c r="D50" s="6">
        <v>56.69</v>
      </c>
      <c r="E50" s="2"/>
      <c r="F50" s="7">
        <f t="shared" si="36"/>
        <v>5.3854230117253844E-4</v>
      </c>
      <c r="G50" s="2"/>
      <c r="H50" s="6">
        <v>123.86</v>
      </c>
      <c r="I50" s="2"/>
      <c r="J50" s="7">
        <f t="shared" si="37"/>
        <v>1.1216580616433785E-3</v>
      </c>
      <c r="K50" s="2"/>
      <c r="L50" s="6">
        <f t="shared" si="38"/>
        <v>-67.17</v>
      </c>
      <c r="M50" s="2"/>
      <c r="N50" s="7">
        <f t="shared" si="39"/>
        <v>-0.54230582916195702</v>
      </c>
      <c r="O50" s="11"/>
      <c r="P50" s="6">
        <v>349.2</v>
      </c>
      <c r="Q50" s="2"/>
      <c r="R50" s="7">
        <f t="shared" si="40"/>
        <v>2.0177857528724413E-3</v>
      </c>
      <c r="S50" s="2"/>
      <c r="T50" s="6">
        <v>355.38</v>
      </c>
      <c r="U50" s="2"/>
      <c r="V50" s="7">
        <f t="shared" si="41"/>
        <v>2.0025843469897472E-3</v>
      </c>
      <c r="W50" s="2"/>
      <c r="X50" s="6">
        <f t="shared" si="42"/>
        <v>-6.1800000000000068</v>
      </c>
      <c r="Y50" s="2"/>
      <c r="Z50" s="7">
        <f t="shared" si="43"/>
        <v>-1.738983623163939E-2</v>
      </c>
    </row>
    <row r="51" spans="1:26" s="29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SUM(OSRRefD22_8x_0)</f>
        <v>0</v>
      </c>
      <c r="E51" s="1"/>
      <c r="F51" s="5">
        <f t="shared" si="36"/>
        <v>0</v>
      </c>
      <c r="G51" s="1"/>
      <c r="H51" s="1">
        <f>SUM(OSRRefH22_8x_0)</f>
        <v>5</v>
      </c>
      <c r="I51" s="1"/>
      <c r="J51" s="5">
        <f t="shared" si="37"/>
        <v>4.5279269402687649E-5</v>
      </c>
      <c r="K51" s="1"/>
      <c r="L51" s="1">
        <f t="shared" si="38"/>
        <v>-5</v>
      </c>
      <c r="M51" s="1"/>
      <c r="N51" s="5">
        <f t="shared" si="39"/>
        <v>-1</v>
      </c>
      <c r="O51" s="14"/>
      <c r="P51" s="1">
        <f>SUM(OSRRefP22_8x_0)</f>
        <v>1354.55</v>
      </c>
      <c r="Q51" s="1"/>
      <c r="R51" s="5">
        <f t="shared" si="40"/>
        <v>7.8270094259832914E-3</v>
      </c>
      <c r="S51" s="1"/>
      <c r="T51" s="1">
        <f>SUM(OSRRefT22_8x_0)</f>
        <v>1309.2</v>
      </c>
      <c r="U51" s="1"/>
      <c r="V51" s="5">
        <f t="shared" si="41"/>
        <v>7.3774084840986477E-3</v>
      </c>
      <c r="W51" s="1"/>
      <c r="X51" s="1">
        <f t="shared" si="42"/>
        <v>45.349999999999909</v>
      </c>
      <c r="Y51" s="1"/>
      <c r="Z51" s="5">
        <f t="shared" si="43"/>
        <v>3.4639474488237024E-2</v>
      </c>
    </row>
    <row r="52" spans="1:26" s="24" customFormat="1" hidden="1" outlineLevel="2" x14ac:dyDescent="0.25">
      <c r="A52" s="28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6"/>
        <v>0</v>
      </c>
      <c r="G52" s="2"/>
      <c r="H52" s="6">
        <v>5</v>
      </c>
      <c r="I52" s="2"/>
      <c r="J52" s="7">
        <f t="shared" si="37"/>
        <v>4.5279269402687649E-5</v>
      </c>
      <c r="K52" s="2"/>
      <c r="L52" s="6">
        <f t="shared" si="38"/>
        <v>-5</v>
      </c>
      <c r="M52" s="2"/>
      <c r="N52" s="7">
        <f t="shared" si="39"/>
        <v>-1</v>
      </c>
      <c r="O52" s="11"/>
      <c r="P52" s="6">
        <v>1354.55</v>
      </c>
      <c r="Q52" s="2"/>
      <c r="R52" s="7">
        <f t="shared" si="40"/>
        <v>7.8270094259832914E-3</v>
      </c>
      <c r="S52" s="2"/>
      <c r="T52" s="6">
        <v>1309.2</v>
      </c>
      <c r="U52" s="2"/>
      <c r="V52" s="7">
        <f t="shared" si="41"/>
        <v>7.3774084840986477E-3</v>
      </c>
      <c r="W52" s="2"/>
      <c r="X52" s="6">
        <f t="shared" si="42"/>
        <v>45.349999999999909</v>
      </c>
      <c r="Y52" s="2"/>
      <c r="Z52" s="7">
        <f t="shared" si="43"/>
        <v>3.4639474488237024E-2</v>
      </c>
    </row>
    <row r="53" spans="1:26" s="29" customFormat="1" outlineLevel="1" collapsed="1" x14ac:dyDescent="0.25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SUM(OSRRefD22_9x_0)</f>
        <v>641.28</v>
      </c>
      <c r="E53" s="1"/>
      <c r="F53" s="5">
        <f t="shared" si="36"/>
        <v>6.0920163502544613E-3</v>
      </c>
      <c r="G53" s="1"/>
      <c r="H53" s="1">
        <f>SUM(OSRRefH22_9x_0)</f>
        <v>604.16</v>
      </c>
      <c r="I53" s="1"/>
      <c r="J53" s="5">
        <f t="shared" si="37"/>
        <v>5.4711846804655542E-3</v>
      </c>
      <c r="K53" s="1"/>
      <c r="L53" s="1">
        <f t="shared" si="38"/>
        <v>37.120000000000005</v>
      </c>
      <c r="M53" s="1"/>
      <c r="N53" s="5">
        <f t="shared" si="39"/>
        <v>6.1440677966101705E-2</v>
      </c>
      <c r="O53" s="14"/>
      <c r="P53" s="1">
        <f>SUM(OSRRefP22_9x_0)</f>
        <v>1923.84</v>
      </c>
      <c r="Q53" s="1"/>
      <c r="R53" s="5">
        <f t="shared" si="40"/>
        <v>1.1116543364278687E-2</v>
      </c>
      <c r="S53" s="1"/>
      <c r="T53" s="1">
        <f>SUM(OSRRefT22_9x_0)</f>
        <v>1812.48</v>
      </c>
      <c r="U53" s="1"/>
      <c r="V53" s="5">
        <f t="shared" si="41"/>
        <v>1.0213416841780565E-2</v>
      </c>
      <c r="W53" s="1"/>
      <c r="X53" s="1">
        <f t="shared" si="42"/>
        <v>111.3599999999999</v>
      </c>
      <c r="Y53" s="1"/>
      <c r="Z53" s="5">
        <f t="shared" si="43"/>
        <v>6.1440677966101642E-2</v>
      </c>
    </row>
    <row r="54" spans="1:26" s="24" customFormat="1" hidden="1" outlineLevel="2" x14ac:dyDescent="0.25">
      <c r="A54" s="28"/>
      <c r="B54" s="11" t="str">
        <f>CONCATENATE("          ", "6314", " - ", "LIABILITY INSURANCE")</f>
        <v xml:space="preserve">          6314 - LIABILITY INSURANCE</v>
      </c>
      <c r="C54" s="11"/>
      <c r="D54" s="6">
        <v>641.28</v>
      </c>
      <c r="E54" s="2"/>
      <c r="F54" s="7">
        <f t="shared" si="36"/>
        <v>6.0920163502544613E-3</v>
      </c>
      <c r="G54" s="2"/>
      <c r="H54" s="6">
        <v>604.16</v>
      </c>
      <c r="I54" s="2"/>
      <c r="J54" s="7">
        <f t="shared" si="37"/>
        <v>5.4711846804655542E-3</v>
      </c>
      <c r="K54" s="2"/>
      <c r="L54" s="6">
        <f t="shared" si="38"/>
        <v>37.120000000000005</v>
      </c>
      <c r="M54" s="2"/>
      <c r="N54" s="7">
        <f t="shared" si="39"/>
        <v>6.1440677966101705E-2</v>
      </c>
      <c r="O54" s="11"/>
      <c r="P54" s="6">
        <v>1923.84</v>
      </c>
      <c r="Q54" s="2"/>
      <c r="R54" s="7">
        <f t="shared" si="40"/>
        <v>1.1116543364278687E-2</v>
      </c>
      <c r="S54" s="2"/>
      <c r="T54" s="6">
        <v>1812.48</v>
      </c>
      <c r="U54" s="2"/>
      <c r="V54" s="7">
        <f t="shared" si="41"/>
        <v>1.0213416841780565E-2</v>
      </c>
      <c r="W54" s="2"/>
      <c r="X54" s="6">
        <f t="shared" si="42"/>
        <v>111.3599999999999</v>
      </c>
      <c r="Y54" s="2"/>
      <c r="Z54" s="7">
        <f t="shared" si="43"/>
        <v>6.1440677966101642E-2</v>
      </c>
    </row>
    <row r="55" spans="1:26" s="29" customFormat="1" outlineLevel="1" collapsed="1" x14ac:dyDescent="0.25">
      <c r="A55" s="27"/>
      <c r="B55" s="14" t="str">
        <f>CONCATENATE("     ","Interest                                          ")</f>
        <v xml:space="preserve">     Interest                                          </v>
      </c>
      <c r="C55" s="14"/>
      <c r="D55" s="1">
        <f>SUM(OSRRefD22_10x_0)</f>
        <v>7630</v>
      </c>
      <c r="E55" s="1"/>
      <c r="F55" s="5">
        <f t="shared" si="36"/>
        <v>7.2483290844001902E-2</v>
      </c>
      <c r="G55" s="1"/>
      <c r="H55" s="1">
        <f>SUM(OSRRefH22_10x_0)</f>
        <v>7949</v>
      </c>
      <c r="I55" s="1"/>
      <c r="J55" s="5">
        <f t="shared" si="37"/>
        <v>7.1984982496392833E-2</v>
      </c>
      <c r="K55" s="1"/>
      <c r="L55" s="1">
        <f t="shared" si="38"/>
        <v>-319</v>
      </c>
      <c r="M55" s="1"/>
      <c r="N55" s="5">
        <f t="shared" si="39"/>
        <v>-4.013083406717826E-2</v>
      </c>
      <c r="O55" s="14"/>
      <c r="P55" s="1">
        <f>SUM(OSRRefP22_10x_0)</f>
        <v>22890</v>
      </c>
      <c r="Q55" s="1"/>
      <c r="R55" s="5">
        <f t="shared" si="40"/>
        <v>0.13226550940220555</v>
      </c>
      <c r="S55" s="1"/>
      <c r="T55" s="1">
        <f>SUM(OSRRefT22_10x_0)</f>
        <v>23847</v>
      </c>
      <c r="U55" s="1"/>
      <c r="V55" s="5">
        <f t="shared" si="41"/>
        <v>0.13437905600389585</v>
      </c>
      <c r="W55" s="1"/>
      <c r="X55" s="1">
        <f t="shared" si="42"/>
        <v>-957</v>
      </c>
      <c r="Y55" s="1"/>
      <c r="Z55" s="5">
        <f t="shared" si="43"/>
        <v>-4.013083406717826E-2</v>
      </c>
    </row>
    <row r="56" spans="1:26" s="24" customFormat="1" hidden="1" outlineLevel="2" x14ac:dyDescent="0.25">
      <c r="A56" s="28"/>
      <c r="B56" s="11" t="str">
        <f>CONCATENATE("          ", "6401", " - ", "INTEREST EXPENSE")</f>
        <v xml:space="preserve">          6401 - INTEREST EXPENSE</v>
      </c>
      <c r="C56" s="11"/>
      <c r="D56" s="6">
        <v>7630</v>
      </c>
      <c r="E56" s="2"/>
      <c r="F56" s="7">
        <f t="shared" si="36"/>
        <v>7.2483290844001902E-2</v>
      </c>
      <c r="G56" s="2"/>
      <c r="H56" s="6">
        <v>7949</v>
      </c>
      <c r="I56" s="2"/>
      <c r="J56" s="7">
        <f t="shared" si="37"/>
        <v>7.1984982496392833E-2</v>
      </c>
      <c r="K56" s="2"/>
      <c r="L56" s="6">
        <f t="shared" si="38"/>
        <v>-319</v>
      </c>
      <c r="M56" s="2"/>
      <c r="N56" s="7">
        <f t="shared" si="39"/>
        <v>-4.013083406717826E-2</v>
      </c>
      <c r="O56" s="11"/>
      <c r="P56" s="6">
        <v>22890</v>
      </c>
      <c r="Q56" s="2"/>
      <c r="R56" s="7">
        <f t="shared" si="40"/>
        <v>0.13226550940220555</v>
      </c>
      <c r="S56" s="2"/>
      <c r="T56" s="6">
        <v>23847</v>
      </c>
      <c r="U56" s="2"/>
      <c r="V56" s="7">
        <f t="shared" si="41"/>
        <v>0.13437905600389585</v>
      </c>
      <c r="W56" s="2"/>
      <c r="X56" s="6">
        <f t="shared" si="42"/>
        <v>-957</v>
      </c>
      <c r="Y56" s="2"/>
      <c r="Z56" s="7">
        <f t="shared" si="43"/>
        <v>-4.013083406717826E-2</v>
      </c>
    </row>
    <row r="57" spans="1:26" s="29" customFormat="1" outlineLevel="1" collapsed="1" x14ac:dyDescent="0.2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SUM(OSRRefD22_11x_0)</f>
        <v>2956.1400000000003</v>
      </c>
      <c r="E57" s="1"/>
      <c r="F57" s="5">
        <f t="shared" si="36"/>
        <v>2.8082667810693032E-2</v>
      </c>
      <c r="G57" s="1"/>
      <c r="H57" s="1">
        <f>SUM(OSRRefH22_11x_0)</f>
        <v>2875.83</v>
      </c>
      <c r="I57" s="1"/>
      <c r="J57" s="5">
        <f t="shared" si="37"/>
        <v>2.6043096265266245E-2</v>
      </c>
      <c r="K57" s="1"/>
      <c r="L57" s="1">
        <f t="shared" si="38"/>
        <v>80.3100000000004</v>
      </c>
      <c r="M57" s="1"/>
      <c r="N57" s="5">
        <f t="shared" si="39"/>
        <v>2.792585097171961E-2</v>
      </c>
      <c r="O57" s="14"/>
      <c r="P57" s="1">
        <f>SUM(OSRRefP22_11x_0)</f>
        <v>4454.1499999999996</v>
      </c>
      <c r="Q57" s="1"/>
      <c r="R57" s="5">
        <f t="shared" si="40"/>
        <v>2.5737458222098462E-2</v>
      </c>
      <c r="S57" s="1"/>
      <c r="T57" s="1">
        <f>SUM(OSRRefT22_11x_0)</f>
        <v>4467.26</v>
      </c>
      <c r="U57" s="1"/>
      <c r="V57" s="5">
        <f t="shared" si="41"/>
        <v>2.5173236957435476E-2</v>
      </c>
      <c r="W57" s="1"/>
      <c r="X57" s="1">
        <f t="shared" si="42"/>
        <v>-13.110000000000582</v>
      </c>
      <c r="Y57" s="1"/>
      <c r="Z57" s="5">
        <f t="shared" si="43"/>
        <v>-2.9346847956019085E-3</v>
      </c>
    </row>
    <row r="58" spans="1:26" s="24" customFormat="1" hidden="1" outlineLevel="2" x14ac:dyDescent="0.25">
      <c r="A58" s="28"/>
      <c r="B58" s="11" t="str">
        <f>CONCATENATE("          ", "6371", " - ", "COMPUTER SOFTWARE MAINTENANCE")</f>
        <v xml:space="preserve">          6371 - COMPUTER SOFTWARE MAINTENANCE</v>
      </c>
      <c r="C58" s="11"/>
      <c r="D58" s="6">
        <v>2623.84</v>
      </c>
      <c r="E58" s="2"/>
      <c r="F58" s="7">
        <f t="shared" si="36"/>
        <v>2.492589224746081E-2</v>
      </c>
      <c r="G58" s="2"/>
      <c r="H58" s="6"/>
      <c r="I58" s="2"/>
      <c r="J58" s="7">
        <f t="shared" si="37"/>
        <v>0</v>
      </c>
      <c r="K58" s="2"/>
      <c r="L58" s="6">
        <f t="shared" si="38"/>
        <v>2623.84</v>
      </c>
      <c r="M58" s="2"/>
      <c r="N58" s="7">
        <f t="shared" si="39"/>
        <v>0</v>
      </c>
      <c r="O58" s="11"/>
      <c r="P58" s="6">
        <v>2623.84</v>
      </c>
      <c r="Q58" s="2"/>
      <c r="R58" s="7">
        <f t="shared" si="40"/>
        <v>1.5161360165569376E-2</v>
      </c>
      <c r="S58" s="2"/>
      <c r="T58" s="6"/>
      <c r="U58" s="2"/>
      <c r="V58" s="7">
        <f t="shared" si="41"/>
        <v>0</v>
      </c>
      <c r="W58" s="2"/>
      <c r="X58" s="6">
        <f t="shared" si="42"/>
        <v>2623.84</v>
      </c>
      <c r="Y58" s="2"/>
      <c r="Z58" s="7">
        <f t="shared" si="43"/>
        <v>0</v>
      </c>
    </row>
    <row r="59" spans="1:26" s="24" customFormat="1" hidden="1" outlineLevel="2" x14ac:dyDescent="0.25">
      <c r="A59" s="28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36"/>
        <v>0</v>
      </c>
      <c r="G59" s="2"/>
      <c r="H59" s="6">
        <v>101.2</v>
      </c>
      <c r="I59" s="2"/>
      <c r="J59" s="7">
        <f t="shared" si="37"/>
        <v>9.1645241271039808E-4</v>
      </c>
      <c r="K59" s="2"/>
      <c r="L59" s="6">
        <f t="shared" si="38"/>
        <v>-101.2</v>
      </c>
      <c r="M59" s="2"/>
      <c r="N59" s="7">
        <f t="shared" si="39"/>
        <v>-1</v>
      </c>
      <c r="O59" s="11"/>
      <c r="P59" s="6"/>
      <c r="Q59" s="2"/>
      <c r="R59" s="7">
        <f t="shared" si="40"/>
        <v>0</v>
      </c>
      <c r="S59" s="2"/>
      <c r="T59" s="6">
        <v>101.2</v>
      </c>
      <c r="U59" s="2"/>
      <c r="V59" s="7">
        <f t="shared" si="41"/>
        <v>5.7026713916191805E-4</v>
      </c>
      <c r="W59" s="2"/>
      <c r="X59" s="6">
        <f t="shared" si="42"/>
        <v>-101.2</v>
      </c>
      <c r="Y59" s="2"/>
      <c r="Z59" s="7">
        <f t="shared" si="43"/>
        <v>-1</v>
      </c>
    </row>
    <row r="60" spans="1:26" s="24" customFormat="1" hidden="1" outlineLevel="2" x14ac:dyDescent="0.25">
      <c r="A60" s="28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332.3</v>
      </c>
      <c r="E60" s="2"/>
      <c r="F60" s="7">
        <f t="shared" si="36"/>
        <v>3.1567755632322197E-3</v>
      </c>
      <c r="G60" s="2"/>
      <c r="H60" s="6">
        <v>2774.63</v>
      </c>
      <c r="I60" s="2"/>
      <c r="J60" s="7">
        <f t="shared" si="37"/>
        <v>2.5126643852555849E-2</v>
      </c>
      <c r="K60" s="2"/>
      <c r="L60" s="6">
        <f t="shared" si="38"/>
        <v>-2442.33</v>
      </c>
      <c r="M60" s="2"/>
      <c r="N60" s="7">
        <f t="shared" si="39"/>
        <v>-0.88023628375675311</v>
      </c>
      <c r="O60" s="11"/>
      <c r="P60" s="6">
        <v>1830.31</v>
      </c>
      <c r="Q60" s="2"/>
      <c r="R60" s="7">
        <f t="shared" si="40"/>
        <v>1.0576098056529089E-2</v>
      </c>
      <c r="S60" s="2"/>
      <c r="T60" s="6">
        <v>4366.0600000000004</v>
      </c>
      <c r="U60" s="2"/>
      <c r="V60" s="7">
        <f t="shared" si="41"/>
        <v>2.4602969818273559E-2</v>
      </c>
      <c r="W60" s="2"/>
      <c r="X60" s="6">
        <f t="shared" si="42"/>
        <v>-2535.7500000000005</v>
      </c>
      <c r="Y60" s="2"/>
      <c r="Z60" s="7">
        <f t="shared" si="43"/>
        <v>-0.58078679633353647</v>
      </c>
    </row>
    <row r="61" spans="1:26" s="29" customFormat="1" outlineLevel="1" collapsed="1" x14ac:dyDescent="0.25">
      <c r="A61" s="27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SUM(OSRRefD22_12x_0)</f>
        <v>4299.68</v>
      </c>
      <c r="E61" s="1"/>
      <c r="F61" s="5">
        <f t="shared" ref="F61:F66" si="44">IF(D$12=0,0,D61/D$12)</f>
        <v>4.0845996851394256E-2</v>
      </c>
      <c r="G61" s="1"/>
      <c r="H61" s="1">
        <f>SUM(OSRRefH22_12x_0)</f>
        <v>3624.82</v>
      </c>
      <c r="I61" s="1"/>
      <c r="J61" s="5">
        <f t="shared" ref="J61:J66" si="45">IF(H$12=0,0,H61/H$12)</f>
        <v>3.2825840263250049E-2</v>
      </c>
      <c r="K61" s="1"/>
      <c r="L61" s="1">
        <f t="shared" ref="L61:L66" si="46">+D61-H61</f>
        <v>674.86000000000013</v>
      </c>
      <c r="M61" s="1"/>
      <c r="N61" s="5">
        <f t="shared" ref="N61:N66" si="47">IF(H61=0,0,L61/H61)</f>
        <v>0.18617752053895092</v>
      </c>
      <c r="O61" s="14"/>
      <c r="P61" s="1">
        <f>SUM(OSRRefP22_12x_0)</f>
        <v>12257.34</v>
      </c>
      <c r="Q61" s="1"/>
      <c r="R61" s="5">
        <f t="shared" ref="R61:R66" si="48">IF(P$12=0,0,P61/P$12)</f>
        <v>7.0826706815903459E-2</v>
      </c>
      <c r="S61" s="1"/>
      <c r="T61" s="1">
        <f>SUM(OSRRefT22_12x_0)</f>
        <v>11635.72</v>
      </c>
      <c r="U61" s="1"/>
      <c r="V61" s="5">
        <f t="shared" ref="V61:V66" si="49">IF(T$12=0,0,T61/T$12)</f>
        <v>6.5567873087837084E-2</v>
      </c>
      <c r="W61" s="1"/>
      <c r="X61" s="1">
        <f t="shared" ref="X61:X66" si="50">+P61-T61</f>
        <v>621.6200000000008</v>
      </c>
      <c r="Y61" s="1"/>
      <c r="Z61" s="5">
        <f t="shared" ref="Z61:Z66" si="51">IF(T61=0,0,X61/T61)</f>
        <v>5.3423423733125308E-2</v>
      </c>
    </row>
    <row r="62" spans="1:26" s="24" customFormat="1" hidden="1" outlineLevel="2" x14ac:dyDescent="0.25">
      <c r="A62" s="28"/>
      <c r="B62" s="11" t="str">
        <f>CONCATENATE("          ", "6282", " - ", "JANITORIAL/EXTERMINATOR EXPENS")</f>
        <v xml:space="preserve">          6282 - JANITORIAL/EXTERMINATOR EXPENS</v>
      </c>
      <c r="C62" s="11"/>
      <c r="D62" s="6">
        <v>328.54</v>
      </c>
      <c r="E62" s="2"/>
      <c r="F62" s="7">
        <f t="shared" si="44"/>
        <v>3.121056405489959E-3</v>
      </c>
      <c r="G62" s="2"/>
      <c r="H62" s="6">
        <v>328.54</v>
      </c>
      <c r="I62" s="2"/>
      <c r="J62" s="7">
        <f t="shared" si="45"/>
        <v>2.9752102339118004E-3</v>
      </c>
      <c r="K62" s="2"/>
      <c r="L62" s="6">
        <f t="shared" si="46"/>
        <v>0</v>
      </c>
      <c r="M62" s="2"/>
      <c r="N62" s="7">
        <f t="shared" si="47"/>
        <v>0</v>
      </c>
      <c r="O62" s="11"/>
      <c r="P62" s="6">
        <v>985.62</v>
      </c>
      <c r="Q62" s="2"/>
      <c r="R62" s="7">
        <f t="shared" si="48"/>
        <v>5.6952176224116134E-3</v>
      </c>
      <c r="S62" s="2"/>
      <c r="T62" s="6">
        <v>985.62</v>
      </c>
      <c r="U62" s="2"/>
      <c r="V62" s="7">
        <f t="shared" si="49"/>
        <v>5.5540187519838901E-3</v>
      </c>
      <c r="W62" s="2"/>
      <c r="X62" s="6">
        <f t="shared" si="50"/>
        <v>0</v>
      </c>
      <c r="Y62" s="2"/>
      <c r="Z62" s="7">
        <f t="shared" si="51"/>
        <v>0</v>
      </c>
    </row>
    <row r="63" spans="1:26" s="24" customFormat="1" hidden="1" outlineLevel="2" x14ac:dyDescent="0.25">
      <c r="A63" s="28"/>
      <c r="B63" s="11" t="str">
        <f>CONCATENATE("          ", "6283", " - ", "PLANT SERVICE")</f>
        <v xml:space="preserve">          6283 - PLANT SERVICE</v>
      </c>
      <c r="C63" s="11"/>
      <c r="D63" s="6">
        <v>61.55</v>
      </c>
      <c r="E63" s="2"/>
      <c r="F63" s="7">
        <f t="shared" si="44"/>
        <v>5.8471121250960911E-4</v>
      </c>
      <c r="G63" s="2"/>
      <c r="H63" s="6">
        <v>56</v>
      </c>
      <c r="I63" s="2"/>
      <c r="J63" s="7">
        <f t="shared" si="45"/>
        <v>5.0712781731010166E-4</v>
      </c>
      <c r="K63" s="2"/>
      <c r="L63" s="6">
        <f t="shared" si="46"/>
        <v>5.5499999999999972</v>
      </c>
      <c r="M63" s="2"/>
      <c r="N63" s="7">
        <f t="shared" si="47"/>
        <v>9.910714285714281E-2</v>
      </c>
      <c r="O63" s="11"/>
      <c r="P63" s="6">
        <v>184.65</v>
      </c>
      <c r="Q63" s="2"/>
      <c r="R63" s="7">
        <f t="shared" si="48"/>
        <v>1.0669648890833227E-3</v>
      </c>
      <c r="S63" s="2"/>
      <c r="T63" s="6">
        <v>168</v>
      </c>
      <c r="U63" s="2"/>
      <c r="V63" s="7">
        <f t="shared" si="49"/>
        <v>9.4668853141504185E-4</v>
      </c>
      <c r="W63" s="2"/>
      <c r="X63" s="6">
        <f t="shared" si="50"/>
        <v>16.650000000000006</v>
      </c>
      <c r="Y63" s="2"/>
      <c r="Z63" s="7">
        <f t="shared" si="51"/>
        <v>9.9107142857142894E-2</v>
      </c>
    </row>
    <row r="64" spans="1:26" s="24" customFormat="1" hidden="1" outlineLevel="2" x14ac:dyDescent="0.25">
      <c r="A64" s="28"/>
      <c r="B64" s="11" t="str">
        <f>CONCATENATE("          ", "6284", " - ", "TRASH REMOVAL EXPENSE")</f>
        <v xml:space="preserve">          6284 - TRASH REMOVAL EXPENSE</v>
      </c>
      <c r="C64" s="11"/>
      <c r="D64" s="6">
        <v>623</v>
      </c>
      <c r="E64" s="2"/>
      <c r="F64" s="7">
        <f t="shared" si="44"/>
        <v>5.9183604450607063E-3</v>
      </c>
      <c r="G64" s="2"/>
      <c r="H64" s="6">
        <v>298</v>
      </c>
      <c r="I64" s="2"/>
      <c r="J64" s="7">
        <f t="shared" si="45"/>
        <v>2.6986444564001842E-3</v>
      </c>
      <c r="K64" s="2"/>
      <c r="L64" s="6">
        <f t="shared" si="46"/>
        <v>325</v>
      </c>
      <c r="M64" s="2"/>
      <c r="N64" s="7">
        <f t="shared" si="47"/>
        <v>1.0906040268456376</v>
      </c>
      <c r="O64" s="11"/>
      <c r="P64" s="6">
        <v>1246</v>
      </c>
      <c r="Q64" s="2"/>
      <c r="R64" s="7">
        <f t="shared" si="48"/>
        <v>7.1997739062974273E-3</v>
      </c>
      <c r="S64" s="2"/>
      <c r="T64" s="6">
        <v>1246</v>
      </c>
      <c r="U64" s="2"/>
      <c r="V64" s="7">
        <f t="shared" si="49"/>
        <v>7.0212732746615597E-3</v>
      </c>
      <c r="W64" s="2"/>
      <c r="X64" s="6">
        <f t="shared" si="50"/>
        <v>0</v>
      </c>
      <c r="Y64" s="2"/>
      <c r="Z64" s="7">
        <f t="shared" si="51"/>
        <v>0</v>
      </c>
    </row>
    <row r="65" spans="1:26" s="24" customFormat="1" hidden="1" outlineLevel="2" x14ac:dyDescent="0.25">
      <c r="A65" s="28"/>
      <c r="B65" s="11" t="str">
        <f>CONCATENATE("          ", "6285", " - ", "JANITORIAL SERVICES")</f>
        <v xml:space="preserve">          6285 - JANITORIAL SERVICES</v>
      </c>
      <c r="C65" s="11"/>
      <c r="D65" s="6">
        <v>3040.95</v>
      </c>
      <c r="E65" s="2"/>
      <c r="F65" s="7">
        <f t="shared" si="44"/>
        <v>2.8888343812852896E-2</v>
      </c>
      <c r="G65" s="2"/>
      <c r="H65" s="6">
        <v>2822.82</v>
      </c>
      <c r="I65" s="2"/>
      <c r="J65" s="7">
        <f t="shared" si="45"/>
        <v>2.5563045451058954E-2</v>
      </c>
      <c r="K65" s="2"/>
      <c r="L65" s="6">
        <f t="shared" si="46"/>
        <v>218.12999999999965</v>
      </c>
      <c r="M65" s="2"/>
      <c r="N65" s="7">
        <f t="shared" si="47"/>
        <v>7.7273790039747353E-2</v>
      </c>
      <c r="O65" s="11"/>
      <c r="P65" s="6">
        <v>9122.85</v>
      </c>
      <c r="Q65" s="2"/>
      <c r="R65" s="7">
        <f t="shared" si="48"/>
        <v>5.2714652793792525E-2</v>
      </c>
      <c r="S65" s="2"/>
      <c r="T65" s="6">
        <v>8643.34</v>
      </c>
      <c r="U65" s="2"/>
      <c r="V65" s="7">
        <f t="shared" si="49"/>
        <v>4.8705659828100524E-2</v>
      </c>
      <c r="W65" s="2"/>
      <c r="X65" s="6">
        <f t="shared" si="50"/>
        <v>479.51000000000022</v>
      </c>
      <c r="Y65" s="2"/>
      <c r="Z65" s="7">
        <f t="shared" si="51"/>
        <v>5.5477396469420411E-2</v>
      </c>
    </row>
    <row r="66" spans="1:26" s="24" customFormat="1" hidden="1" outlineLevel="2" x14ac:dyDescent="0.25">
      <c r="A66" s="28"/>
      <c r="B66" s="11" t="str">
        <f>CONCATENATE("          ", "6286", " - ", "LAUNDRY EXPENSE")</f>
        <v xml:space="preserve">          6286 - LAUNDRY EXPENSE</v>
      </c>
      <c r="C66" s="11"/>
      <c r="D66" s="6">
        <v>245.64</v>
      </c>
      <c r="E66" s="2"/>
      <c r="F66" s="7">
        <f t="shared" si="44"/>
        <v>2.3335249754810783E-3</v>
      </c>
      <c r="G66" s="2"/>
      <c r="H66" s="6">
        <v>119.46</v>
      </c>
      <c r="I66" s="2"/>
      <c r="J66" s="7">
        <f t="shared" si="45"/>
        <v>1.0818123045690134E-3</v>
      </c>
      <c r="K66" s="2"/>
      <c r="L66" s="6">
        <f t="shared" si="46"/>
        <v>126.17999999999999</v>
      </c>
      <c r="M66" s="2"/>
      <c r="N66" s="7">
        <f t="shared" si="47"/>
        <v>1.0562531391260672</v>
      </c>
      <c r="O66" s="11"/>
      <c r="P66" s="6">
        <v>718.22</v>
      </c>
      <c r="Q66" s="2"/>
      <c r="R66" s="7">
        <f t="shared" si="48"/>
        <v>4.1500976043185702E-3</v>
      </c>
      <c r="S66" s="2"/>
      <c r="T66" s="6">
        <v>592.76</v>
      </c>
      <c r="U66" s="2"/>
      <c r="V66" s="7">
        <f t="shared" si="49"/>
        <v>3.3402327016760726E-3</v>
      </c>
      <c r="W66" s="2"/>
      <c r="X66" s="6">
        <f t="shared" si="50"/>
        <v>125.46000000000004</v>
      </c>
      <c r="Y66" s="2"/>
      <c r="Z66" s="7">
        <f t="shared" si="51"/>
        <v>0.21165395775693374</v>
      </c>
    </row>
    <row r="67" spans="1:26" s="29" customFormat="1" outlineLevel="1" collapsed="1" x14ac:dyDescent="0.25">
      <c r="A67" s="27"/>
      <c r="B67" s="14" t="str">
        <f>CONCATENATE("     ","Subscriptions &amp; Dues                              ")</f>
        <v xml:space="preserve">     Subscriptions &amp; Dues                              </v>
      </c>
      <c r="C67" s="14"/>
      <c r="D67" s="1">
        <f>SUM(OSRRefD22_13x_0)</f>
        <v>196.71</v>
      </c>
      <c r="E67" s="1"/>
      <c r="F67" s="5">
        <f t="shared" ref="F67:F76" si="52">IF(D$12=0,0,D67/D$12)</f>
        <v>1.8687009360319287E-3</v>
      </c>
      <c r="G67" s="1"/>
      <c r="H67" s="1">
        <f>SUM(OSRRefH22_13x_0)</f>
        <v>193.71</v>
      </c>
      <c r="I67" s="1"/>
      <c r="J67" s="5">
        <f t="shared" ref="J67:J76" si="53">IF(H$12=0,0,H67/H$12)</f>
        <v>1.7542094551989251E-3</v>
      </c>
      <c r="K67" s="1"/>
      <c r="L67" s="1">
        <f t="shared" ref="L67:L76" si="54">+D67-H67</f>
        <v>3</v>
      </c>
      <c r="M67" s="1"/>
      <c r="N67" s="5">
        <f t="shared" ref="N67:N76" si="55">IF(H67=0,0,L67/H67)</f>
        <v>1.5487068297971194E-2</v>
      </c>
      <c r="O67" s="14"/>
      <c r="P67" s="1">
        <f>SUM(OSRRefP22_13x_0)</f>
        <v>590.13</v>
      </c>
      <c r="Q67" s="1"/>
      <c r="R67" s="5">
        <f t="shared" ref="R67:R76" si="56">IF(P$12=0,0,P67/P$12)</f>
        <v>3.4099539127795354E-3</v>
      </c>
      <c r="S67" s="1"/>
      <c r="T67" s="1">
        <f>SUM(OSRRefT22_13x_0)</f>
        <v>387.42</v>
      </c>
      <c r="U67" s="1"/>
      <c r="V67" s="5">
        <f t="shared" ref="V67:V76" si="57">IF(T$12=0,0,T67/T$12)</f>
        <v>2.1831313740524735E-3</v>
      </c>
      <c r="W67" s="1"/>
      <c r="X67" s="1">
        <f t="shared" ref="X67:X76" si="58">+P67-T67</f>
        <v>202.70999999999998</v>
      </c>
      <c r="Y67" s="1"/>
      <c r="Z67" s="5">
        <f t="shared" ref="Z67:Z76" si="59">IF(T67=0,0,X67/T67)</f>
        <v>0.52323060244695674</v>
      </c>
    </row>
    <row r="68" spans="1:26" s="24" customFormat="1" hidden="1" outlineLevel="2" x14ac:dyDescent="0.25">
      <c r="A68" s="28"/>
      <c r="B68" s="11" t="str">
        <f>CONCATENATE("          ", "6275", " - ", "SUBSCRIPTIONS")</f>
        <v xml:space="preserve">          6275 - SUBSCRIPTIONS</v>
      </c>
      <c r="C68" s="11"/>
      <c r="D68" s="6">
        <v>196.71</v>
      </c>
      <c r="E68" s="2"/>
      <c r="F68" s="7">
        <f t="shared" si="52"/>
        <v>1.8687009360319287E-3</v>
      </c>
      <c r="G68" s="2"/>
      <c r="H68" s="6">
        <v>193.71</v>
      </c>
      <c r="I68" s="2"/>
      <c r="J68" s="7">
        <f t="shared" si="53"/>
        <v>1.7542094551989251E-3</v>
      </c>
      <c r="K68" s="2"/>
      <c r="L68" s="6">
        <f t="shared" si="54"/>
        <v>3</v>
      </c>
      <c r="M68" s="2"/>
      <c r="N68" s="7">
        <f t="shared" si="55"/>
        <v>1.5487068297971194E-2</v>
      </c>
      <c r="O68" s="11"/>
      <c r="P68" s="6">
        <v>590.13</v>
      </c>
      <c r="Q68" s="2"/>
      <c r="R68" s="7">
        <f t="shared" si="56"/>
        <v>3.4099539127795354E-3</v>
      </c>
      <c r="S68" s="2"/>
      <c r="T68" s="6">
        <v>387.42</v>
      </c>
      <c r="U68" s="2"/>
      <c r="V68" s="7">
        <f t="shared" si="57"/>
        <v>2.1831313740524735E-3</v>
      </c>
      <c r="W68" s="2"/>
      <c r="X68" s="6">
        <f t="shared" si="58"/>
        <v>202.70999999999998</v>
      </c>
      <c r="Y68" s="2"/>
      <c r="Z68" s="7">
        <f t="shared" si="59"/>
        <v>0.52323060244695674</v>
      </c>
    </row>
    <row r="69" spans="1:26" s="29" customFormat="1" outlineLevel="1" collapsed="1" x14ac:dyDescent="0.25">
      <c r="A69" s="27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SUM(OSRRefD22_14x_0)</f>
        <v>1179.5899999999999</v>
      </c>
      <c r="E69" s="1"/>
      <c r="F69" s="5">
        <f t="shared" si="52"/>
        <v>1.1205840766274733E-2</v>
      </c>
      <c r="G69" s="1"/>
      <c r="H69" s="1">
        <f>SUM(OSRRefH22_14x_0)</f>
        <v>2411.08</v>
      </c>
      <c r="I69" s="1"/>
      <c r="J69" s="5">
        <f t="shared" si="53"/>
        <v>2.1834388174286429E-2</v>
      </c>
      <c r="K69" s="1"/>
      <c r="L69" s="1">
        <f t="shared" si="54"/>
        <v>-1231.49</v>
      </c>
      <c r="M69" s="1"/>
      <c r="N69" s="5">
        <f t="shared" si="55"/>
        <v>-0.51076281168604942</v>
      </c>
      <c r="O69" s="14"/>
      <c r="P69" s="1">
        <f>SUM(OSRRefP22_14x_0)</f>
        <v>8610.84</v>
      </c>
      <c r="Q69" s="1"/>
      <c r="R69" s="5">
        <f t="shared" si="56"/>
        <v>4.975610043603703E-2</v>
      </c>
      <c r="S69" s="1"/>
      <c r="T69" s="1">
        <f>SUM(OSRRefT22_14x_0)</f>
        <v>8767.24</v>
      </c>
      <c r="U69" s="1"/>
      <c r="V69" s="5">
        <f t="shared" si="57"/>
        <v>4.9403842620019116E-2</v>
      </c>
      <c r="W69" s="1"/>
      <c r="X69" s="1">
        <f t="shared" si="58"/>
        <v>-156.39999999999964</v>
      </c>
      <c r="Y69" s="1"/>
      <c r="Z69" s="5">
        <f t="shared" si="59"/>
        <v>-1.7839137516481772E-2</v>
      </c>
    </row>
    <row r="70" spans="1:26" s="24" customFormat="1" hidden="1" outlineLevel="2" x14ac:dyDescent="0.25">
      <c r="A70" s="28"/>
      <c r="B70" s="11" t="str">
        <f>CONCATENATE("          ", "6234", " - ", "EXPENDABLE SUPPLIES &amp; EQUIPMEN")</f>
        <v xml:space="preserve">          6234 - EXPENDABLE SUPPLIES &amp; EQUIPMEN</v>
      </c>
      <c r="C70" s="11"/>
      <c r="D70" s="6"/>
      <c r="E70" s="2"/>
      <c r="F70" s="7">
        <f t="shared" si="52"/>
        <v>0</v>
      </c>
      <c r="G70" s="2"/>
      <c r="H70" s="6">
        <v>6.86</v>
      </c>
      <c r="I70" s="2"/>
      <c r="J70" s="7">
        <f t="shared" si="53"/>
        <v>6.2123157620487464E-5</v>
      </c>
      <c r="K70" s="2"/>
      <c r="L70" s="6">
        <f t="shared" si="54"/>
        <v>-6.86</v>
      </c>
      <c r="M70" s="2"/>
      <c r="N70" s="7">
        <f t="shared" si="55"/>
        <v>-1</v>
      </c>
      <c r="O70" s="11"/>
      <c r="P70" s="6"/>
      <c r="Q70" s="2"/>
      <c r="R70" s="7">
        <f t="shared" si="56"/>
        <v>0</v>
      </c>
      <c r="S70" s="2"/>
      <c r="T70" s="6">
        <v>1042.92</v>
      </c>
      <c r="U70" s="2"/>
      <c r="V70" s="7">
        <f t="shared" si="57"/>
        <v>5.8769071618058064E-3</v>
      </c>
      <c r="W70" s="2"/>
      <c r="X70" s="6">
        <f t="shared" si="58"/>
        <v>-1042.92</v>
      </c>
      <c r="Y70" s="2"/>
      <c r="Z70" s="7">
        <f t="shared" si="59"/>
        <v>-1</v>
      </c>
    </row>
    <row r="71" spans="1:26" s="24" customFormat="1" hidden="1" outlineLevel="2" x14ac:dyDescent="0.25">
      <c r="A71" s="28"/>
      <c r="B71" s="11" t="str">
        <f>CONCATENATE("          ", "6237", " - ", "JANITORIAL SUPPLIES")</f>
        <v xml:space="preserve">          6237 - JANITORIAL SUPPLIES</v>
      </c>
      <c r="C71" s="11"/>
      <c r="D71" s="6">
        <v>261.43</v>
      </c>
      <c r="E71" s="2"/>
      <c r="F71" s="7">
        <f t="shared" si="52"/>
        <v>2.4835264384465818E-3</v>
      </c>
      <c r="G71" s="2"/>
      <c r="H71" s="6">
        <v>447.01</v>
      </c>
      <c r="I71" s="2"/>
      <c r="J71" s="7">
        <f t="shared" si="53"/>
        <v>4.0480572431390817E-3</v>
      </c>
      <c r="K71" s="2"/>
      <c r="L71" s="6">
        <f t="shared" si="54"/>
        <v>-185.57999999999998</v>
      </c>
      <c r="M71" s="2"/>
      <c r="N71" s="7">
        <f t="shared" si="55"/>
        <v>-0.41515849757276119</v>
      </c>
      <c r="O71" s="11"/>
      <c r="P71" s="6">
        <v>1502.95</v>
      </c>
      <c r="Q71" s="2"/>
      <c r="R71" s="7">
        <f t="shared" si="56"/>
        <v>8.6845105878569171E-3</v>
      </c>
      <c r="S71" s="2"/>
      <c r="T71" s="6">
        <v>2619.66</v>
      </c>
      <c r="U71" s="2"/>
      <c r="V71" s="7">
        <f t="shared" si="57"/>
        <v>1.4761917132182906E-2</v>
      </c>
      <c r="W71" s="2"/>
      <c r="X71" s="6">
        <f t="shared" si="58"/>
        <v>-1116.7099999999998</v>
      </c>
      <c r="Y71" s="2"/>
      <c r="Z71" s="7">
        <f t="shared" si="59"/>
        <v>-0.42628050968446279</v>
      </c>
    </row>
    <row r="72" spans="1:26" s="24" customFormat="1" hidden="1" outlineLevel="2" x14ac:dyDescent="0.25">
      <c r="A72" s="28"/>
      <c r="B72" s="11" t="str">
        <f>CONCATENATE("          ", "6239", " - ", "KITCHEN SUPPLIES")</f>
        <v xml:space="preserve">          6239 - KITCHEN SUPPLIES</v>
      </c>
      <c r="C72" s="11"/>
      <c r="D72" s="6">
        <v>12.69</v>
      </c>
      <c r="E72" s="2"/>
      <c r="F72" s="7">
        <f t="shared" si="52"/>
        <v>1.2055215738012898E-4</v>
      </c>
      <c r="G72" s="2"/>
      <c r="H72" s="6">
        <v>382.5</v>
      </c>
      <c r="I72" s="2"/>
      <c r="J72" s="7">
        <f t="shared" si="53"/>
        <v>3.4638641093056055E-3</v>
      </c>
      <c r="K72" s="2"/>
      <c r="L72" s="6">
        <f t="shared" si="54"/>
        <v>-369.81</v>
      </c>
      <c r="M72" s="2"/>
      <c r="N72" s="7">
        <f t="shared" si="55"/>
        <v>-0.96682352941176475</v>
      </c>
      <c r="O72" s="11"/>
      <c r="P72" s="6">
        <v>148.44999999999999</v>
      </c>
      <c r="Q72" s="2"/>
      <c r="R72" s="7">
        <f t="shared" si="56"/>
        <v>8.5779007735943265E-4</v>
      </c>
      <c r="S72" s="2"/>
      <c r="T72" s="6">
        <v>853.04</v>
      </c>
      <c r="U72" s="2"/>
      <c r="V72" s="7">
        <f t="shared" si="57"/>
        <v>4.8069237192755196E-3</v>
      </c>
      <c r="W72" s="2"/>
      <c r="X72" s="6">
        <f t="shared" si="58"/>
        <v>-704.58999999999992</v>
      </c>
      <c r="Y72" s="2"/>
      <c r="Z72" s="7">
        <f t="shared" si="59"/>
        <v>-0.82597533527149947</v>
      </c>
    </row>
    <row r="73" spans="1:26" s="24" customFormat="1" hidden="1" outlineLevel="2" x14ac:dyDescent="0.25">
      <c r="A73" s="28"/>
      <c r="B73" s="11" t="str">
        <f>CONCATENATE("          ", "6241", " - ", "OFFICE EXPENSE")</f>
        <v xml:space="preserve">          6241 - OFFICE EXPENSE</v>
      </c>
      <c r="C73" s="11"/>
      <c r="D73" s="6">
        <v>282.94</v>
      </c>
      <c r="E73" s="2"/>
      <c r="F73" s="7">
        <f t="shared" si="52"/>
        <v>2.6878666201050985E-3</v>
      </c>
      <c r="G73" s="2"/>
      <c r="H73" s="6">
        <v>59.4</v>
      </c>
      <c r="I73" s="2"/>
      <c r="J73" s="7">
        <f t="shared" si="53"/>
        <v>5.3791772050392926E-4</v>
      </c>
      <c r="K73" s="2"/>
      <c r="L73" s="6">
        <f t="shared" si="54"/>
        <v>223.54</v>
      </c>
      <c r="M73" s="2"/>
      <c r="N73" s="7">
        <f t="shared" si="55"/>
        <v>3.7632996632996631</v>
      </c>
      <c r="O73" s="11"/>
      <c r="P73" s="6">
        <v>5066.95</v>
      </c>
      <c r="Q73" s="2"/>
      <c r="R73" s="7">
        <f t="shared" si="56"/>
        <v>2.9278406416142655E-2</v>
      </c>
      <c r="S73" s="2"/>
      <c r="T73" s="6">
        <v>198.54</v>
      </c>
      <c r="U73" s="2"/>
      <c r="V73" s="7">
        <f t="shared" si="57"/>
        <v>1.118782982304419E-3</v>
      </c>
      <c r="W73" s="2"/>
      <c r="X73" s="6">
        <f t="shared" si="58"/>
        <v>4868.41</v>
      </c>
      <c r="Y73" s="2"/>
      <c r="Z73" s="7">
        <f t="shared" si="59"/>
        <v>24.521053691951245</v>
      </c>
    </row>
    <row r="74" spans="1:26" s="24" customFormat="1" hidden="1" outlineLevel="2" x14ac:dyDescent="0.25">
      <c r="A74" s="28"/>
      <c r="B74" s="11" t="str">
        <f>CONCATENATE("          ", "6243", " - ", "PAPER SUPPLIES")</f>
        <v xml:space="preserve">          6243 - PAPER SUPPLIES</v>
      </c>
      <c r="C74" s="11"/>
      <c r="D74" s="6">
        <v>622.53</v>
      </c>
      <c r="E74" s="2"/>
      <c r="F74" s="7">
        <f t="shared" si="52"/>
        <v>5.9138955503429238E-3</v>
      </c>
      <c r="G74" s="2"/>
      <c r="H74" s="6">
        <v>1168.68</v>
      </c>
      <c r="I74" s="2"/>
      <c r="J74" s="7">
        <f t="shared" si="53"/>
        <v>1.0583395313106602E-2</v>
      </c>
      <c r="K74" s="2"/>
      <c r="L74" s="6">
        <f t="shared" si="54"/>
        <v>-546.15000000000009</v>
      </c>
      <c r="M74" s="2"/>
      <c r="N74" s="7">
        <f t="shared" si="55"/>
        <v>-0.46732210699250443</v>
      </c>
      <c r="O74" s="11"/>
      <c r="P74" s="6">
        <v>1481.93</v>
      </c>
      <c r="Q74" s="2"/>
      <c r="R74" s="7">
        <f t="shared" si="56"/>
        <v>8.5630505176238752E-3</v>
      </c>
      <c r="S74" s="2"/>
      <c r="T74" s="6">
        <v>1746.47</v>
      </c>
      <c r="U74" s="2"/>
      <c r="V74" s="7">
        <f t="shared" si="57"/>
        <v>9.841447139645406E-3</v>
      </c>
      <c r="W74" s="2"/>
      <c r="X74" s="6">
        <f t="shared" si="58"/>
        <v>-264.53999999999996</v>
      </c>
      <c r="Y74" s="2"/>
      <c r="Z74" s="7">
        <f t="shared" si="59"/>
        <v>-0.1514712534426586</v>
      </c>
    </row>
    <row r="75" spans="1:26" s="24" customFormat="1" hidden="1" outlineLevel="2" x14ac:dyDescent="0.25">
      <c r="A75" s="28"/>
      <c r="B75" s="11" t="str">
        <f>CONCATENATE("          ", "6247", " - ", "STORE SUPPLIES")</f>
        <v xml:space="preserve">          6247 - STORE SUPPLIES</v>
      </c>
      <c r="C75" s="11"/>
      <c r="D75" s="6"/>
      <c r="E75" s="2"/>
      <c r="F75" s="7">
        <f t="shared" si="52"/>
        <v>0</v>
      </c>
      <c r="G75" s="2"/>
      <c r="H75" s="6"/>
      <c r="I75" s="2"/>
      <c r="J75" s="7">
        <f t="shared" si="53"/>
        <v>0</v>
      </c>
      <c r="K75" s="2"/>
      <c r="L75" s="6">
        <f t="shared" si="54"/>
        <v>0</v>
      </c>
      <c r="M75" s="2"/>
      <c r="N75" s="7">
        <f t="shared" si="55"/>
        <v>0</v>
      </c>
      <c r="O75" s="11"/>
      <c r="P75" s="6">
        <v>410.56</v>
      </c>
      <c r="Q75" s="2"/>
      <c r="R75" s="7">
        <f t="shared" si="56"/>
        <v>2.3723428370541508E-3</v>
      </c>
      <c r="S75" s="2"/>
      <c r="T75" s="6">
        <v>848.66</v>
      </c>
      <c r="U75" s="2"/>
      <c r="V75" s="7">
        <f t="shared" si="57"/>
        <v>4.7822421968493414E-3</v>
      </c>
      <c r="W75" s="2"/>
      <c r="X75" s="6">
        <f t="shared" si="58"/>
        <v>-438.09999999999997</v>
      </c>
      <c r="Y75" s="2"/>
      <c r="Z75" s="7">
        <f t="shared" si="59"/>
        <v>-0.51622557914830436</v>
      </c>
    </row>
    <row r="76" spans="1:26" s="24" customFormat="1" hidden="1" outlineLevel="2" x14ac:dyDescent="0.25">
      <c r="A76" s="28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52"/>
        <v>0</v>
      </c>
      <c r="G76" s="2"/>
      <c r="H76" s="6">
        <v>346.63</v>
      </c>
      <c r="I76" s="2"/>
      <c r="J76" s="7">
        <f t="shared" si="53"/>
        <v>3.1390306306107239E-3</v>
      </c>
      <c r="K76" s="2"/>
      <c r="L76" s="6">
        <f t="shared" si="54"/>
        <v>-346.63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1457.95</v>
      </c>
      <c r="U76" s="2"/>
      <c r="V76" s="7">
        <f t="shared" si="57"/>
        <v>8.2156222879557154E-3</v>
      </c>
      <c r="W76" s="2"/>
      <c r="X76" s="6">
        <f t="shared" si="58"/>
        <v>-1457.95</v>
      </c>
      <c r="Y76" s="2"/>
      <c r="Z76" s="7">
        <f t="shared" si="59"/>
        <v>-1</v>
      </c>
    </row>
    <row r="77" spans="1:26" s="29" customFormat="1" outlineLevel="1" collapsed="1" x14ac:dyDescent="0.25">
      <c r="A77" s="27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SUM(OSRRefD22_15x_0)</f>
        <v>200</v>
      </c>
      <c r="E77" s="1"/>
      <c r="F77" s="5">
        <f t="shared" ref="F77:F82" si="60">IF(D$12=0,0,D77/D$12)</f>
        <v>1.8999551990564066E-3</v>
      </c>
      <c r="G77" s="1"/>
      <c r="H77" s="1">
        <f>SUM(OSRRefH22_15x_0)</f>
        <v>210</v>
      </c>
      <c r="I77" s="1"/>
      <c r="J77" s="5">
        <f t="shared" ref="J77:J82" si="61">IF(H$12=0,0,H77/H$12)</f>
        <v>1.9017293149128814E-3</v>
      </c>
      <c r="K77" s="1"/>
      <c r="L77" s="1">
        <f t="shared" ref="L77:L82" si="62">+D77-H77</f>
        <v>-10</v>
      </c>
      <c r="M77" s="1"/>
      <c r="N77" s="5">
        <f t="shared" ref="N77:N82" si="63">IF(H77=0,0,L77/H77)</f>
        <v>-4.7619047619047616E-2</v>
      </c>
      <c r="O77" s="14"/>
      <c r="P77" s="1">
        <f>SUM(OSRRefP22_15x_0)</f>
        <v>442.5</v>
      </c>
      <c r="Q77" s="1"/>
      <c r="R77" s="5">
        <f t="shared" ref="R77:R82" si="64">IF(P$12=0,0,P77/P$12)</f>
        <v>2.5569020493873286E-3</v>
      </c>
      <c r="S77" s="1"/>
      <c r="T77" s="1">
        <f>SUM(OSRRefT22_15x_0)</f>
        <v>511.3</v>
      </c>
      <c r="U77" s="1"/>
      <c r="V77" s="5">
        <f t="shared" ref="V77:V82" si="65">IF(T$12=0,0,T77/T$12)</f>
        <v>2.8812014649554222E-3</v>
      </c>
      <c r="W77" s="1"/>
      <c r="X77" s="1">
        <f t="shared" ref="X77:X82" si="66">+P77-T77</f>
        <v>-68.800000000000011</v>
      </c>
      <c r="Y77" s="1"/>
      <c r="Z77" s="5">
        <f t="shared" ref="Z77:Z82" si="67">IF(T77=0,0,X77/T77)</f>
        <v>-0.13455896733815767</v>
      </c>
    </row>
    <row r="78" spans="1:26" s="24" customFormat="1" hidden="1" outlineLevel="2" x14ac:dyDescent="0.25">
      <c r="A78" s="28"/>
      <c r="B78" s="11" t="str">
        <f>CONCATENATE("          ", "6309", " - ", "TELEPHONE")</f>
        <v xml:space="preserve">          6309 - TELEPHONE</v>
      </c>
      <c r="C78" s="11"/>
      <c r="D78" s="6">
        <v>200</v>
      </c>
      <c r="E78" s="2"/>
      <c r="F78" s="7">
        <f t="shared" si="60"/>
        <v>1.8999551990564066E-3</v>
      </c>
      <c r="G78" s="2"/>
      <c r="H78" s="6">
        <v>210</v>
      </c>
      <c r="I78" s="2"/>
      <c r="J78" s="7">
        <f t="shared" si="61"/>
        <v>1.9017293149128814E-3</v>
      </c>
      <c r="K78" s="2"/>
      <c r="L78" s="6">
        <f t="shared" si="62"/>
        <v>-10</v>
      </c>
      <c r="M78" s="2"/>
      <c r="N78" s="7">
        <f t="shared" si="63"/>
        <v>-4.7619047619047616E-2</v>
      </c>
      <c r="O78" s="11"/>
      <c r="P78" s="6">
        <v>442.5</v>
      </c>
      <c r="Q78" s="2"/>
      <c r="R78" s="7">
        <f t="shared" si="64"/>
        <v>2.5569020493873286E-3</v>
      </c>
      <c r="S78" s="2"/>
      <c r="T78" s="6">
        <v>511.3</v>
      </c>
      <c r="U78" s="2"/>
      <c r="V78" s="7">
        <f t="shared" si="65"/>
        <v>2.8812014649554222E-3</v>
      </c>
      <c r="W78" s="2"/>
      <c r="X78" s="6">
        <f t="shared" si="66"/>
        <v>-68.800000000000011</v>
      </c>
      <c r="Y78" s="2"/>
      <c r="Z78" s="7">
        <f t="shared" si="67"/>
        <v>-0.13455896733815767</v>
      </c>
    </row>
    <row r="79" spans="1:26" s="29" customFormat="1" outlineLevel="1" collapsed="1" x14ac:dyDescent="0.25">
      <c r="A79" s="27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SUM(OSRRefD22_16x_0)</f>
        <v>96</v>
      </c>
      <c r="E79" s="1"/>
      <c r="F79" s="5">
        <f t="shared" si="60"/>
        <v>9.1197849554707508E-4</v>
      </c>
      <c r="G79" s="1"/>
      <c r="H79" s="1">
        <f>SUM(OSRRefH22_16x_0)</f>
        <v>0</v>
      </c>
      <c r="I79" s="1"/>
      <c r="J79" s="5">
        <f t="shared" si="61"/>
        <v>0</v>
      </c>
      <c r="K79" s="1"/>
      <c r="L79" s="1">
        <f t="shared" si="62"/>
        <v>96</v>
      </c>
      <c r="M79" s="1"/>
      <c r="N79" s="5">
        <f t="shared" si="63"/>
        <v>0</v>
      </c>
      <c r="O79" s="14"/>
      <c r="P79" s="1">
        <f>SUM(OSRRefP22_16x_0)</f>
        <v>96</v>
      </c>
      <c r="Q79" s="1"/>
      <c r="R79" s="5">
        <f t="shared" si="64"/>
        <v>5.5471773274843748E-4</v>
      </c>
      <c r="S79" s="1"/>
      <c r="T79" s="1">
        <f>SUM(OSRRefT22_16x_0)</f>
        <v>98.83</v>
      </c>
      <c r="U79" s="1"/>
      <c r="V79" s="5">
        <f t="shared" si="65"/>
        <v>5.5691206880802732E-4</v>
      </c>
      <c r="W79" s="1"/>
      <c r="X79" s="1">
        <f t="shared" si="66"/>
        <v>-2.8299999999999983</v>
      </c>
      <c r="Y79" s="1"/>
      <c r="Z79" s="5">
        <f t="shared" si="67"/>
        <v>-2.8635029849236045E-2</v>
      </c>
    </row>
    <row r="80" spans="1:26" s="24" customFormat="1" hidden="1" outlineLevel="2" x14ac:dyDescent="0.25">
      <c r="A80" s="28"/>
      <c r="B80" s="11" t="str">
        <f>CONCATENATE("          ", "6376", " - ", "TRAINING")</f>
        <v xml:space="preserve">          6376 - TRAINING</v>
      </c>
      <c r="C80" s="11"/>
      <c r="D80" s="6">
        <v>96</v>
      </c>
      <c r="E80" s="2"/>
      <c r="F80" s="7">
        <f t="shared" si="60"/>
        <v>9.1197849554707508E-4</v>
      </c>
      <c r="G80" s="2"/>
      <c r="H80" s="6"/>
      <c r="I80" s="2"/>
      <c r="J80" s="7">
        <f t="shared" si="61"/>
        <v>0</v>
      </c>
      <c r="K80" s="2"/>
      <c r="L80" s="6">
        <f t="shared" si="62"/>
        <v>96</v>
      </c>
      <c r="M80" s="2"/>
      <c r="N80" s="7">
        <f t="shared" si="63"/>
        <v>0</v>
      </c>
      <c r="O80" s="11"/>
      <c r="P80" s="6">
        <v>96</v>
      </c>
      <c r="Q80" s="2"/>
      <c r="R80" s="7">
        <f t="shared" si="64"/>
        <v>5.5471773274843748E-4</v>
      </c>
      <c r="S80" s="2"/>
      <c r="T80" s="6">
        <v>98.83</v>
      </c>
      <c r="U80" s="2"/>
      <c r="V80" s="7">
        <f t="shared" si="65"/>
        <v>5.5691206880802732E-4</v>
      </c>
      <c r="W80" s="2"/>
      <c r="X80" s="6">
        <f t="shared" si="66"/>
        <v>-2.8299999999999983</v>
      </c>
      <c r="Y80" s="2"/>
      <c r="Z80" s="7">
        <f t="shared" si="67"/>
        <v>-2.8635029849236045E-2</v>
      </c>
    </row>
    <row r="81" spans="1:26" s="29" customFormat="1" outlineLevel="1" collapsed="1" x14ac:dyDescent="0.25">
      <c r="A81" s="27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SUM(OSRRefD22_17x_0)</f>
        <v>2031</v>
      </c>
      <c r="E81" s="1"/>
      <c r="F81" s="5">
        <f t="shared" si="60"/>
        <v>1.929404504641781E-2</v>
      </c>
      <c r="G81" s="1"/>
      <c r="H81" s="1">
        <f>SUM(OSRRefH22_17x_0)</f>
        <v>2142</v>
      </c>
      <c r="I81" s="1"/>
      <c r="J81" s="5">
        <f t="shared" si="61"/>
        <v>1.939763901211139E-2</v>
      </c>
      <c r="K81" s="1"/>
      <c r="L81" s="1">
        <f t="shared" si="62"/>
        <v>-111</v>
      </c>
      <c r="M81" s="1"/>
      <c r="N81" s="5">
        <f t="shared" si="63"/>
        <v>-5.182072829131653E-2</v>
      </c>
      <c r="O81" s="14"/>
      <c r="P81" s="1">
        <f>SUM(OSRRefP22_17x_0)</f>
        <v>4062</v>
      </c>
      <c r="Q81" s="1"/>
      <c r="R81" s="5">
        <f t="shared" si="64"/>
        <v>2.3471494066918258E-2</v>
      </c>
      <c r="S81" s="1"/>
      <c r="T81" s="1">
        <f>SUM(OSRRefT22_17x_0)</f>
        <v>6716</v>
      </c>
      <c r="U81" s="1"/>
      <c r="V81" s="5">
        <f t="shared" si="65"/>
        <v>3.7845001053472743E-2</v>
      </c>
      <c r="W81" s="1"/>
      <c r="X81" s="1">
        <f t="shared" si="66"/>
        <v>-2654</v>
      </c>
      <c r="Y81" s="1"/>
      <c r="Z81" s="5">
        <f t="shared" si="67"/>
        <v>-0.39517569982132222</v>
      </c>
    </row>
    <row r="82" spans="1:26" s="24" customFormat="1" hidden="1" outlineLevel="2" x14ac:dyDescent="0.25">
      <c r="A82" s="28"/>
      <c r="B82" s="11" t="str">
        <f>CONCATENATE("          ", "6274", " - ", "UTILITIES")</f>
        <v xml:space="preserve">          6274 - UTILITIES</v>
      </c>
      <c r="C82" s="11"/>
      <c r="D82" s="6">
        <v>2031</v>
      </c>
      <c r="E82" s="2"/>
      <c r="F82" s="7">
        <f t="shared" si="60"/>
        <v>1.929404504641781E-2</v>
      </c>
      <c r="G82" s="2"/>
      <c r="H82" s="6">
        <v>2142</v>
      </c>
      <c r="I82" s="2"/>
      <c r="J82" s="7">
        <f t="shared" si="61"/>
        <v>1.939763901211139E-2</v>
      </c>
      <c r="K82" s="2"/>
      <c r="L82" s="6">
        <f t="shared" si="62"/>
        <v>-111</v>
      </c>
      <c r="M82" s="2"/>
      <c r="N82" s="7">
        <f t="shared" si="63"/>
        <v>-5.182072829131653E-2</v>
      </c>
      <c r="O82" s="11"/>
      <c r="P82" s="6">
        <v>4062</v>
      </c>
      <c r="Q82" s="2"/>
      <c r="R82" s="7">
        <f t="shared" si="64"/>
        <v>2.3471494066918258E-2</v>
      </c>
      <c r="S82" s="2"/>
      <c r="T82" s="6">
        <v>6716</v>
      </c>
      <c r="U82" s="2"/>
      <c r="V82" s="7">
        <f t="shared" si="65"/>
        <v>3.7845001053472743E-2</v>
      </c>
      <c r="W82" s="2"/>
      <c r="X82" s="6">
        <f t="shared" si="66"/>
        <v>-2654</v>
      </c>
      <c r="Y82" s="2"/>
      <c r="Z82" s="7">
        <f t="shared" si="67"/>
        <v>-0.39517569982132222</v>
      </c>
    </row>
    <row r="83" spans="1:26" s="53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5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6" t="s">
        <v>3</v>
      </c>
      <c r="C86" s="26"/>
      <c r="D86" s="21">
        <f>+D20-D22+D84</f>
        <v>-4482.390000000014</v>
      </c>
      <c r="E86" s="13"/>
      <c r="F86" s="20">
        <f>IF(D$12=0,0,D86/D$12)</f>
        <v>-4.2581700923492366E-2</v>
      </c>
      <c r="G86" s="13"/>
      <c r="H86" s="21">
        <f>+H20-H22+H84</f>
        <v>4542.3000000000029</v>
      </c>
      <c r="I86" s="13"/>
      <c r="J86" s="20">
        <f>IF(H$12=0,0,H86/H$12)</f>
        <v>4.1134405081565649E-2</v>
      </c>
      <c r="K86" s="15"/>
      <c r="L86" s="21">
        <f>+D86-H86</f>
        <v>-9024.6900000000169</v>
      </c>
      <c r="M86" s="15"/>
      <c r="N86" s="20">
        <f>IF(H86=0,0,L86/H86)</f>
        <v>-1.986810646588735</v>
      </c>
      <c r="O86" s="25"/>
      <c r="P86" s="21">
        <f>+P20-P22+P84</f>
        <v>-85341.670000000027</v>
      </c>
      <c r="Q86" s="13"/>
      <c r="R86" s="20">
        <f>IF(P$12=0,0,P86/P$12)</f>
        <v>-0.49313060095172245</v>
      </c>
      <c r="S86" s="13"/>
      <c r="T86" s="21">
        <f>+T20-T22+T84</f>
        <v>-67223.360000000044</v>
      </c>
      <c r="U86" s="13"/>
      <c r="V86" s="20">
        <f>IF(T$12=0,0,T86/T$12)</f>
        <v>-0.37880704735228993</v>
      </c>
      <c r="W86" s="15"/>
      <c r="X86" s="21">
        <f>+P86-T86</f>
        <v>-18118.309999999983</v>
      </c>
      <c r="Y86" s="15"/>
      <c r="Z86" s="20">
        <f>IF(T86=0,0,X86/T86)</f>
        <v>0.26952401665135411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1"/>
      <c r="B88" s="10" t="s">
        <v>13</v>
      </c>
      <c r="C88" s="10"/>
      <c r="D88" s="4">
        <v>10136.200000000001</v>
      </c>
      <c r="E88" s="4"/>
      <c r="F88" s="12">
        <f>IF(D$12=0,0,D88/D$12)</f>
        <v>9.6291629443377741E-2</v>
      </c>
      <c r="G88" s="4"/>
      <c r="H88" s="4">
        <v>8922.92</v>
      </c>
      <c r="I88" s="4"/>
      <c r="J88" s="12">
        <f>IF(H$12=0,0,H88/H$12)</f>
        <v>8.0804659707725934E-2</v>
      </c>
      <c r="K88" s="4"/>
      <c r="L88" s="4">
        <f>+D88-H88</f>
        <v>1213.2800000000007</v>
      </c>
      <c r="M88" s="4"/>
      <c r="N88" s="12">
        <f>IF(H88=0,0,L88/H88)</f>
        <v>0.13597342573955618</v>
      </c>
      <c r="O88" s="10"/>
      <c r="P88" s="4">
        <v>18589.04</v>
      </c>
      <c r="Q88" s="4"/>
      <c r="R88" s="12">
        <f>IF(P$12=0,0,P88/P$12)</f>
        <v>0.10741323044552098</v>
      </c>
      <c r="S88" s="4"/>
      <c r="T88" s="4">
        <v>15766.87</v>
      </c>
      <c r="U88" s="4"/>
      <c r="V88" s="12">
        <f>IF(T$12=0,0,T88/T$12)</f>
        <v>8.8847113126856433E-2</v>
      </c>
      <c r="W88" s="4"/>
      <c r="X88" s="4">
        <f>+P88-T88</f>
        <v>2822.17</v>
      </c>
      <c r="Y88" s="4"/>
      <c r="Z88" s="12">
        <f>IF(T88=0,0,X88/T88)</f>
        <v>0.17899367471159464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6" t="s">
        <v>4</v>
      </c>
      <c r="C90" s="26"/>
      <c r="D90" s="35">
        <f>+D86-D88</f>
        <v>-14618.590000000015</v>
      </c>
      <c r="E90" s="13"/>
      <c r="F90" s="30">
        <f>IF(D$12=0,0,D90/D$12)</f>
        <v>-0.13887333036687011</v>
      </c>
      <c r="G90" s="13"/>
      <c r="H90" s="35">
        <f>+H86-H88</f>
        <v>-4380.6199999999972</v>
      </c>
      <c r="I90" s="13"/>
      <c r="J90" s="30">
        <f>IF(H$12=0,0,H90/H$12)</f>
        <v>-3.9670254626160292E-2</v>
      </c>
      <c r="K90" s="15"/>
      <c r="L90" s="35">
        <f>D90-H90</f>
        <v>-10237.970000000018</v>
      </c>
      <c r="M90" s="15"/>
      <c r="N90" s="30">
        <f>IF(H90=0,0,L90/H90)</f>
        <v>2.3371052499417946</v>
      </c>
      <c r="O90" s="25"/>
      <c r="P90" s="35">
        <f>+P86-P88</f>
        <v>-103930.71000000002</v>
      </c>
      <c r="Q90" s="13"/>
      <c r="R90" s="30">
        <f>IF(P$12=0,0,P90/P$12)</f>
        <v>-0.60054383139724343</v>
      </c>
      <c r="S90" s="13"/>
      <c r="T90" s="35">
        <f>+T86-T88</f>
        <v>-82990.23000000004</v>
      </c>
      <c r="U90" s="13"/>
      <c r="V90" s="30">
        <f>IF(T$12=0,0,T90/T$12)</f>
        <v>-0.46765416047914632</v>
      </c>
      <c r="W90" s="15"/>
      <c r="X90" s="35">
        <f>P90-T90</f>
        <v>-20940.479999999981</v>
      </c>
      <c r="Y90" s="15"/>
      <c r="Z90" s="30">
        <f>IF(T90=0,0,X90/T90)</f>
        <v>0.25232464110534425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6" t="s">
        <v>5</v>
      </c>
      <c r="C93" s="26"/>
      <c r="D93" s="36">
        <f>SUM(D90:D92)</f>
        <v>-14618.590000000015</v>
      </c>
      <c r="E93" s="13"/>
      <c r="F93" s="31">
        <f>IF(D$12=0,0,D93/D$12)</f>
        <v>-0.13887333036687011</v>
      </c>
      <c r="G93" s="13"/>
      <c r="H93" s="36">
        <f>SUM(H90:H92)</f>
        <v>-4380.6199999999972</v>
      </c>
      <c r="I93" s="13"/>
      <c r="J93" s="31">
        <f>IF(H$12=0,0,H93/H$12)</f>
        <v>-3.9670254626160292E-2</v>
      </c>
      <c r="K93" s="15"/>
      <c r="L93" s="36">
        <f>+D93-H93</f>
        <v>-10237.970000000018</v>
      </c>
      <c r="M93" s="15"/>
      <c r="N93" s="31">
        <f>IF(H93=0,0,L93/H93)</f>
        <v>2.3371052499417946</v>
      </c>
      <c r="O93" s="25"/>
      <c r="P93" s="36">
        <f>SUM(P90:P92)</f>
        <v>-103930.71000000002</v>
      </c>
      <c r="Q93" s="13"/>
      <c r="R93" s="31">
        <f>IF(P$12=0,0,P93/P$12)</f>
        <v>-0.60054383139724343</v>
      </c>
      <c r="S93" s="13"/>
      <c r="T93" s="36">
        <f>SUM(T90:T92)</f>
        <v>-82990.23000000004</v>
      </c>
      <c r="U93" s="13"/>
      <c r="V93" s="31">
        <f>IF(T$12=0,0,T93/T$12)</f>
        <v>-0.46765416047914632</v>
      </c>
      <c r="W93" s="15"/>
      <c r="X93" s="36">
        <f>+P93-T93</f>
        <v>-20940.479999999981</v>
      </c>
      <c r="Y93" s="15"/>
      <c r="Z93" s="31">
        <f>IF(T93=0,0,X93/T93)</f>
        <v>0.25232464110534425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5">
        <v>43756.463388078701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6" t="s">
        <v>313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7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","418", " - ", "Nugget")</f>
        <v>Department 418 - Nugget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179228.1</v>
      </c>
      <c r="E12" s="4"/>
      <c r="F12" s="12"/>
      <c r="G12" s="4"/>
      <c r="H12" s="4">
        <f>SUM(OSRRefH13x_0)</f>
        <v>181592.41</v>
      </c>
      <c r="I12" s="4"/>
      <c r="J12" s="12"/>
      <c r="K12" s="4"/>
      <c r="L12" s="4">
        <f t="shared" ref="L12:L14" si="0">+D12-H12</f>
        <v>-2364.3099999999977</v>
      </c>
      <c r="M12" s="4"/>
      <c r="N12" s="12">
        <f t="shared" ref="N12:N14" si="1">IF(H12=0,0,L12/H12)</f>
        <v>-1.30198723614054E-2</v>
      </c>
      <c r="O12" s="10"/>
      <c r="P12" s="4">
        <f>SUM(OSRRefP13x_0)</f>
        <v>293890.21999999997</v>
      </c>
      <c r="Q12" s="4"/>
      <c r="R12" s="12"/>
      <c r="S12" s="4"/>
      <c r="T12" s="4">
        <f>SUM(OSRRefT13x_0)</f>
        <v>299155.42000000004</v>
      </c>
      <c r="U12" s="4"/>
      <c r="V12" s="12"/>
      <c r="W12" s="4"/>
      <c r="X12" s="4">
        <f t="shared" ref="X12:X14" si="2">+P12-T12</f>
        <v>-5265.2000000000698</v>
      </c>
      <c r="Y12" s="4"/>
      <c r="Z12" s="12">
        <f t="shared" ref="Z12:Z14" si="3">IF(T12=0,0,X12/T12)</f>
        <v>-1.7600215968007763E-2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>--66898.61</f>
        <v>66898.61</v>
      </c>
      <c r="E13" s="2"/>
      <c r="F13" s="19"/>
      <c r="G13" s="2"/>
      <c r="H13" s="2">
        <f>--76146.03</f>
        <v>76146.03</v>
      </c>
      <c r="I13" s="2"/>
      <c r="J13" s="19"/>
      <c r="K13" s="2"/>
      <c r="L13" s="2">
        <f t="shared" si="0"/>
        <v>-9247.4199999999983</v>
      </c>
      <c r="M13" s="2"/>
      <c r="N13" s="19">
        <f t="shared" si="1"/>
        <v>-0.12144323216850568</v>
      </c>
      <c r="O13" s="11"/>
      <c r="P13" s="2">
        <f>--110835.68</f>
        <v>110835.68</v>
      </c>
      <c r="Q13" s="2"/>
      <c r="R13" s="19"/>
      <c r="S13" s="2"/>
      <c r="T13" s="2">
        <f>--126311.72</f>
        <v>126311.72</v>
      </c>
      <c r="U13" s="2"/>
      <c r="V13" s="19"/>
      <c r="W13" s="2"/>
      <c r="X13" s="2">
        <f t="shared" si="2"/>
        <v>-15476.040000000008</v>
      </c>
      <c r="Y13" s="2"/>
      <c r="Z13" s="19">
        <f t="shared" si="3"/>
        <v>-0.12252259726967543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>--112329.49</f>
        <v>112329.49</v>
      </c>
      <c r="E14" s="2"/>
      <c r="F14" s="19"/>
      <c r="G14" s="2"/>
      <c r="H14" s="2">
        <f>--105446.38</f>
        <v>105446.38</v>
      </c>
      <c r="I14" s="2"/>
      <c r="J14" s="19"/>
      <c r="K14" s="2"/>
      <c r="L14" s="2">
        <f t="shared" si="0"/>
        <v>6883.1100000000006</v>
      </c>
      <c r="M14" s="2"/>
      <c r="N14" s="19">
        <f t="shared" si="1"/>
        <v>6.5275925072060328E-2</v>
      </c>
      <c r="O14" s="11"/>
      <c r="P14" s="2">
        <f>--183054.54</f>
        <v>183054.54</v>
      </c>
      <c r="Q14" s="2"/>
      <c r="R14" s="19"/>
      <c r="S14" s="2"/>
      <c r="T14" s="2">
        <f>--172843.7</f>
        <v>172843.7</v>
      </c>
      <c r="U14" s="2"/>
      <c r="V14" s="19"/>
      <c r="W14" s="2"/>
      <c r="X14" s="2">
        <f t="shared" si="2"/>
        <v>10210.839999999997</v>
      </c>
      <c r="Y14" s="2"/>
      <c r="Z14" s="19">
        <f t="shared" si="3"/>
        <v>5.9075569430647436E-2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69869.72</v>
      </c>
      <c r="E16" s="4"/>
      <c r="F16" s="12">
        <f t="shared" ref="F16:F18" si="4">IF(D$12=0,0,D16/D$12)</f>
        <v>0.38983686151892477</v>
      </c>
      <c r="G16" s="4"/>
      <c r="H16" s="4">
        <f>SUM(OSRRefH16x_0)</f>
        <v>58109.100000000006</v>
      </c>
      <c r="I16" s="4"/>
      <c r="J16" s="12">
        <f t="shared" ref="J16:J18" si="5">IF(H$12=0,0,H16/H$12)</f>
        <v>0.31999740517789266</v>
      </c>
      <c r="K16" s="4"/>
      <c r="L16" s="4">
        <f t="shared" ref="L16:L18" si="6">+D16-H16</f>
        <v>11760.619999999995</v>
      </c>
      <c r="M16" s="4"/>
      <c r="N16" s="12">
        <f t="shared" ref="N16:N18" si="7">IF(H16=0,0,L16/H16)</f>
        <v>0.20238861038976674</v>
      </c>
      <c r="O16" s="10"/>
      <c r="P16" s="4">
        <f>SUM(OSRRefP16x_0)</f>
        <v>108485.49</v>
      </c>
      <c r="Q16" s="4"/>
      <c r="R16" s="12">
        <f t="shared" ref="R16:R18" si="8">IF(P$12=0,0,P16/P$12)</f>
        <v>0.36913610122854723</v>
      </c>
      <c r="S16" s="4"/>
      <c r="T16" s="4">
        <f>SUM(OSRRefT16x_0)</f>
        <v>95728.53</v>
      </c>
      <c r="U16" s="4"/>
      <c r="V16" s="12">
        <f t="shared" ref="V16:V18" si="9">IF(T$12=0,0,T16/T$12)</f>
        <v>0.31999597399906704</v>
      </c>
      <c r="W16" s="4"/>
      <c r="X16" s="4">
        <f t="shared" ref="X16:X18" si="10">+P16-T16</f>
        <v>12756.960000000006</v>
      </c>
      <c r="Y16" s="4"/>
      <c r="Z16" s="12">
        <f t="shared" ref="Z16:Z18" si="11">IF(T16=0,0,X16/T16)</f>
        <v>0.13326183949549844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57667.72</v>
      </c>
      <c r="E17" s="2"/>
      <c r="F17" s="19">
        <f t="shared" si="4"/>
        <v>0.32175601928492237</v>
      </c>
      <c r="G17" s="2"/>
      <c r="H17" s="2">
        <v>54545.100000000006</v>
      </c>
      <c r="I17" s="2"/>
      <c r="J17" s="19">
        <f t="shared" si="5"/>
        <v>0.30037103422989986</v>
      </c>
      <c r="K17" s="2"/>
      <c r="L17" s="2">
        <f t="shared" si="6"/>
        <v>3122.6199999999953</v>
      </c>
      <c r="M17" s="2"/>
      <c r="N17" s="19">
        <f t="shared" si="7"/>
        <v>5.724840544796865E-2</v>
      </c>
      <c r="O17" s="11"/>
      <c r="P17" s="2">
        <v>109407.49</v>
      </c>
      <c r="Q17" s="2"/>
      <c r="R17" s="19">
        <f t="shared" si="8"/>
        <v>0.37227332709472272</v>
      </c>
      <c r="S17" s="2"/>
      <c r="T17" s="2">
        <v>98084.53</v>
      </c>
      <c r="U17" s="2"/>
      <c r="V17" s="19">
        <f t="shared" si="9"/>
        <v>0.32787147897905372</v>
      </c>
      <c r="W17" s="2"/>
      <c r="X17" s="2">
        <f t="shared" si="10"/>
        <v>11322.960000000006</v>
      </c>
      <c r="Y17" s="2"/>
      <c r="Z17" s="19">
        <f t="shared" si="11"/>
        <v>0.11544083455362437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12202</v>
      </c>
      <c r="E18" s="2"/>
      <c r="F18" s="19">
        <f t="shared" si="4"/>
        <v>6.8080842234002362E-2</v>
      </c>
      <c r="G18" s="2"/>
      <c r="H18" s="2">
        <v>3564</v>
      </c>
      <c r="I18" s="2"/>
      <c r="J18" s="19">
        <f t="shared" si="5"/>
        <v>1.9626370947992813E-2</v>
      </c>
      <c r="K18" s="2"/>
      <c r="L18" s="2">
        <f t="shared" si="6"/>
        <v>8638</v>
      </c>
      <c r="M18" s="2"/>
      <c r="N18" s="19">
        <f t="shared" si="7"/>
        <v>2.4236812570145903</v>
      </c>
      <c r="O18" s="11"/>
      <c r="P18" s="2">
        <v>-922</v>
      </c>
      <c r="Q18" s="2"/>
      <c r="R18" s="19">
        <f t="shared" si="8"/>
        <v>-3.1372258661754721E-3</v>
      </c>
      <c r="S18" s="2"/>
      <c r="T18" s="2">
        <v>-2356</v>
      </c>
      <c r="U18" s="2"/>
      <c r="V18" s="19">
        <f t="shared" si="9"/>
        <v>-7.8755049799866562E-3</v>
      </c>
      <c r="W18" s="2"/>
      <c r="X18" s="2">
        <f t="shared" si="10"/>
        <v>1434</v>
      </c>
      <c r="Y18" s="2"/>
      <c r="Z18" s="19">
        <f t="shared" si="11"/>
        <v>-0.60865874363327677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1">
        <f>D12-D16</f>
        <v>109358.38</v>
      </c>
      <c r="E20" s="13"/>
      <c r="F20" s="20">
        <f>IF(D$12=0,0,D20/D$12)</f>
        <v>0.61016313848107528</v>
      </c>
      <c r="G20" s="13"/>
      <c r="H20" s="21">
        <f>H12-H16</f>
        <v>123483.31</v>
      </c>
      <c r="I20" s="13"/>
      <c r="J20" s="20">
        <f>IF(H$12=0,0,H20/H$12)</f>
        <v>0.68000259482210734</v>
      </c>
      <c r="K20" s="15"/>
      <c r="L20" s="21">
        <f>+D20-H20</f>
        <v>-14124.929999999993</v>
      </c>
      <c r="M20" s="15"/>
      <c r="N20" s="20">
        <f>IF(H20=0,0,L20/H20)</f>
        <v>-0.11438736133652389</v>
      </c>
      <c r="O20" s="25"/>
      <c r="P20" s="21">
        <f>P12-P16</f>
        <v>185404.72999999998</v>
      </c>
      <c r="Q20" s="13"/>
      <c r="R20" s="20">
        <f>IF(P$12=0,0,P20/P$12)</f>
        <v>0.63086389877145277</v>
      </c>
      <c r="S20" s="13"/>
      <c r="T20" s="21">
        <f>T12-T16</f>
        <v>203426.89000000004</v>
      </c>
      <c r="U20" s="13"/>
      <c r="V20" s="20">
        <f>IF(T$12=0,0,T20/T$12)</f>
        <v>0.6800040260009329</v>
      </c>
      <c r="W20" s="15"/>
      <c r="X20" s="21">
        <f>+P20-T20</f>
        <v>-18022.160000000062</v>
      </c>
      <c r="Y20" s="15"/>
      <c r="Z20" s="20">
        <f>IF(T20=0,0,X20/T20)</f>
        <v>-8.8592810911084854E-2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71915.180000000022</v>
      </c>
      <c r="E22" s="22"/>
      <c r="F22" s="34">
        <f t="shared" ref="F22:F31" si="12">IF(D$12=0,0,D22/D$12)</f>
        <v>0.40124946925175248</v>
      </c>
      <c r="G22" s="22"/>
      <c r="H22" s="22">
        <f>SUM(OSRRefH22x_0)</f>
        <v>63845.64</v>
      </c>
      <c r="I22" s="22"/>
      <c r="J22" s="34">
        <f t="shared" ref="J22:J31" si="13">IF(H$12=0,0,H22/H$12)</f>
        <v>0.35158760214702806</v>
      </c>
      <c r="K22" s="4"/>
      <c r="L22" s="22">
        <f t="shared" ref="L22:L31" si="14">+D22-H22</f>
        <v>8069.5400000000227</v>
      </c>
      <c r="M22" s="4"/>
      <c r="N22" s="34">
        <f t="shared" ref="N22:N31" si="15">IF(H22=0,0,L22/H22)</f>
        <v>0.12639140276454308</v>
      </c>
      <c r="O22" s="10"/>
      <c r="P22" s="22">
        <f>SUM(OSRRefP22x_0)</f>
        <v>154236.71999999997</v>
      </c>
      <c r="Q22" s="22"/>
      <c r="R22" s="34">
        <f t="shared" ref="R22:R31" si="16">IF(P$12=0,0,P22/P$12)</f>
        <v>0.52481065889160916</v>
      </c>
      <c r="S22" s="22"/>
      <c r="T22" s="22">
        <f>SUM(OSRRefT22x_0)</f>
        <v>152141.15000000002</v>
      </c>
      <c r="U22" s="22"/>
      <c r="V22" s="34">
        <f t="shared" ref="V22:V31" si="17">IF(T$12=0,0,T22/T$12)</f>
        <v>0.50856892380555896</v>
      </c>
      <c r="W22" s="4"/>
      <c r="X22" s="22">
        <f t="shared" ref="X22:X31" si="18">+P22-T22</f>
        <v>2095.5699999999488</v>
      </c>
      <c r="Y22" s="4"/>
      <c r="Z22" s="34">
        <f t="shared" ref="Z22:Z31" si="19">IF(T22=0,0,X22/T22)</f>
        <v>1.3773854082212133E-2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7911.23</v>
      </c>
      <c r="E23" s="1"/>
      <c r="F23" s="5">
        <f t="shared" si="12"/>
        <v>4.4140567243640919E-2</v>
      </c>
      <c r="G23" s="1"/>
      <c r="H23" s="1">
        <f>SUM(OSRRefH22_0x_0)</f>
        <v>7649.2199999999993</v>
      </c>
      <c r="I23" s="1"/>
      <c r="J23" s="5">
        <f t="shared" si="13"/>
        <v>4.2123016044558245E-2</v>
      </c>
      <c r="K23" s="1"/>
      <c r="L23" s="1">
        <f t="shared" si="14"/>
        <v>262.01000000000022</v>
      </c>
      <c r="M23" s="1"/>
      <c r="N23" s="5">
        <f t="shared" si="15"/>
        <v>3.4253165682252604E-2</v>
      </c>
      <c r="O23" s="14"/>
      <c r="P23" s="1">
        <f>SUM(OSRRefP22_0x_0)</f>
        <v>18820.34</v>
      </c>
      <c r="Q23" s="1"/>
      <c r="R23" s="5">
        <f t="shared" si="16"/>
        <v>6.4038674032773191E-2</v>
      </c>
      <c r="S23" s="1"/>
      <c r="T23" s="1">
        <f>SUM(OSRRefT22_0x_0)</f>
        <v>22002.120000000003</v>
      </c>
      <c r="U23" s="1"/>
      <c r="V23" s="5">
        <f t="shared" si="17"/>
        <v>7.3547455700451625E-2</v>
      </c>
      <c r="W23" s="1"/>
      <c r="X23" s="1">
        <f t="shared" si="18"/>
        <v>-3181.7800000000025</v>
      </c>
      <c r="Y23" s="1"/>
      <c r="Z23" s="5">
        <f t="shared" si="19"/>
        <v>-0.14461242825691353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>
        <v>1758.55</v>
      </c>
      <c r="E24" s="2"/>
      <c r="F24" s="7">
        <f t="shared" si="12"/>
        <v>9.8117984847242139E-3</v>
      </c>
      <c r="G24" s="2"/>
      <c r="H24" s="6">
        <v>1440</v>
      </c>
      <c r="I24" s="2"/>
      <c r="J24" s="7">
        <f t="shared" si="13"/>
        <v>7.9298468476738642E-3</v>
      </c>
      <c r="K24" s="2"/>
      <c r="L24" s="6">
        <f t="shared" si="14"/>
        <v>318.54999999999995</v>
      </c>
      <c r="M24" s="2"/>
      <c r="N24" s="7">
        <f t="shared" si="15"/>
        <v>0.22121527777777775</v>
      </c>
      <c r="O24" s="11"/>
      <c r="P24" s="6">
        <v>4088.84</v>
      </c>
      <c r="Q24" s="2"/>
      <c r="R24" s="7">
        <f t="shared" si="16"/>
        <v>1.3912814111337221E-2</v>
      </c>
      <c r="S24" s="2"/>
      <c r="T24" s="6">
        <v>4019.66</v>
      </c>
      <c r="U24" s="2"/>
      <c r="V24" s="7">
        <f t="shared" si="17"/>
        <v>1.3436694544929186E-2</v>
      </c>
      <c r="W24" s="2"/>
      <c r="X24" s="6">
        <f t="shared" si="18"/>
        <v>69.180000000000291</v>
      </c>
      <c r="Y24" s="2"/>
      <c r="Z24" s="7">
        <f t="shared" si="19"/>
        <v>1.7210410830766854E-2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>
        <v>1565.06</v>
      </c>
      <c r="E25" s="2"/>
      <c r="F25" s="7">
        <f t="shared" si="12"/>
        <v>8.7322244670339083E-3</v>
      </c>
      <c r="G25" s="2"/>
      <c r="H25" s="6"/>
      <c r="I25" s="2"/>
      <c r="J25" s="7">
        <f t="shared" si="13"/>
        <v>0</v>
      </c>
      <c r="K25" s="2"/>
      <c r="L25" s="6">
        <f t="shared" si="14"/>
        <v>1565.06</v>
      </c>
      <c r="M25" s="2"/>
      <c r="N25" s="7">
        <f t="shared" si="15"/>
        <v>0</v>
      </c>
      <c r="O25" s="11"/>
      <c r="P25" s="6">
        <v>2667.77</v>
      </c>
      <c r="Q25" s="2"/>
      <c r="R25" s="7">
        <f t="shared" si="16"/>
        <v>9.077437146428351E-3</v>
      </c>
      <c r="S25" s="2"/>
      <c r="T25" s="6">
        <v>1540.94</v>
      </c>
      <c r="U25" s="2"/>
      <c r="V25" s="7">
        <f t="shared" si="17"/>
        <v>5.1509680152209839E-3</v>
      </c>
      <c r="W25" s="2"/>
      <c r="X25" s="6">
        <f t="shared" si="18"/>
        <v>1126.83</v>
      </c>
      <c r="Y25" s="2"/>
      <c r="Z25" s="7">
        <f t="shared" si="19"/>
        <v>0.73126143782366604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>
        <v>2573.2800000000002</v>
      </c>
      <c r="E26" s="2"/>
      <c r="F26" s="7">
        <f t="shared" si="12"/>
        <v>1.4357570046214851E-2</v>
      </c>
      <c r="G26" s="2"/>
      <c r="H26" s="6">
        <v>4110.21</v>
      </c>
      <c r="I26" s="2"/>
      <c r="J26" s="7">
        <f t="shared" si="13"/>
        <v>2.2634260980401107E-2</v>
      </c>
      <c r="K26" s="2"/>
      <c r="L26" s="6">
        <f t="shared" si="14"/>
        <v>-1536.9299999999998</v>
      </c>
      <c r="M26" s="2"/>
      <c r="N26" s="7">
        <f t="shared" si="15"/>
        <v>-0.37392979920733971</v>
      </c>
      <c r="O26" s="11"/>
      <c r="P26" s="6">
        <v>7640.08</v>
      </c>
      <c r="Q26" s="2"/>
      <c r="R26" s="7">
        <f t="shared" si="16"/>
        <v>2.5996373747993386E-2</v>
      </c>
      <c r="S26" s="2"/>
      <c r="T26" s="6">
        <v>9746.36</v>
      </c>
      <c r="U26" s="2"/>
      <c r="V26" s="7">
        <f t="shared" si="17"/>
        <v>3.2579586891656513E-2</v>
      </c>
      <c r="W26" s="2"/>
      <c r="X26" s="6">
        <f t="shared" si="18"/>
        <v>-2106.2800000000007</v>
      </c>
      <c r="Y26" s="2"/>
      <c r="Z26" s="7">
        <f t="shared" si="19"/>
        <v>-0.21610939879093327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104.87</v>
      </c>
      <c r="E27" s="2"/>
      <c r="F27" s="7">
        <f t="shared" si="12"/>
        <v>5.8512030200621448E-4</v>
      </c>
      <c r="G27" s="2"/>
      <c r="H27" s="6">
        <v>100.03</v>
      </c>
      <c r="I27" s="2"/>
      <c r="J27" s="7">
        <f t="shared" si="13"/>
        <v>5.5084901400890044E-4</v>
      </c>
      <c r="K27" s="2"/>
      <c r="L27" s="6">
        <f t="shared" si="14"/>
        <v>4.8400000000000034</v>
      </c>
      <c r="M27" s="2"/>
      <c r="N27" s="7">
        <f t="shared" si="15"/>
        <v>4.8385484354693628E-2</v>
      </c>
      <c r="O27" s="11"/>
      <c r="P27" s="6">
        <v>178.76</v>
      </c>
      <c r="Q27" s="2"/>
      <c r="R27" s="7">
        <f t="shared" si="16"/>
        <v>6.0825433388018155E-4</v>
      </c>
      <c r="S27" s="2"/>
      <c r="T27" s="6">
        <v>214.5</v>
      </c>
      <c r="U27" s="2"/>
      <c r="V27" s="7">
        <f t="shared" si="17"/>
        <v>7.1701859855990567E-4</v>
      </c>
      <c r="W27" s="2"/>
      <c r="X27" s="6">
        <f t="shared" si="18"/>
        <v>-35.740000000000009</v>
      </c>
      <c r="Y27" s="2"/>
      <c r="Z27" s="7">
        <f t="shared" si="19"/>
        <v>-0.16662004662004667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>
        <v>512.70000000000005</v>
      </c>
      <c r="E28" s="2"/>
      <c r="F28" s="7">
        <f t="shared" si="12"/>
        <v>2.8606005419909044E-3</v>
      </c>
      <c r="G28" s="2"/>
      <c r="H28" s="6">
        <v>579.83000000000004</v>
      </c>
      <c r="I28" s="2"/>
      <c r="J28" s="7">
        <f t="shared" si="13"/>
        <v>3.1930299289491229E-3</v>
      </c>
      <c r="K28" s="2"/>
      <c r="L28" s="6">
        <f t="shared" si="14"/>
        <v>-67.13</v>
      </c>
      <c r="M28" s="2"/>
      <c r="N28" s="7">
        <f t="shared" si="15"/>
        <v>-0.11577531345394339</v>
      </c>
      <c r="O28" s="11"/>
      <c r="P28" s="6">
        <v>1049.1400000000001</v>
      </c>
      <c r="Q28" s="2"/>
      <c r="R28" s="7">
        <f t="shared" si="16"/>
        <v>3.5698363831229234E-3</v>
      </c>
      <c r="S28" s="2"/>
      <c r="T28" s="6">
        <v>2020.96</v>
      </c>
      <c r="U28" s="2"/>
      <c r="V28" s="7">
        <f t="shared" si="17"/>
        <v>6.7555520137325261E-3</v>
      </c>
      <c r="W28" s="2"/>
      <c r="X28" s="6">
        <f t="shared" si="18"/>
        <v>-971.81999999999994</v>
      </c>
      <c r="Y28" s="2"/>
      <c r="Z28" s="7">
        <f t="shared" si="19"/>
        <v>-0.48087047739688066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>
        <v>521.64</v>
      </c>
      <c r="E29" s="2"/>
      <c r="F29" s="7">
        <f t="shared" si="12"/>
        <v>2.9104811131736596E-3</v>
      </c>
      <c r="G29" s="2"/>
      <c r="H29" s="6">
        <v>500.32</v>
      </c>
      <c r="I29" s="2"/>
      <c r="J29" s="7">
        <f t="shared" si="13"/>
        <v>2.755181232519575E-3</v>
      </c>
      <c r="K29" s="2"/>
      <c r="L29" s="6">
        <f t="shared" si="14"/>
        <v>21.319999999999993</v>
      </c>
      <c r="M29" s="2"/>
      <c r="N29" s="7">
        <f t="shared" si="15"/>
        <v>4.2612727854173318E-2</v>
      </c>
      <c r="O29" s="11"/>
      <c r="P29" s="6">
        <v>1218.29</v>
      </c>
      <c r="Q29" s="2"/>
      <c r="R29" s="7">
        <f t="shared" si="16"/>
        <v>4.1453914322157441E-3</v>
      </c>
      <c r="S29" s="2"/>
      <c r="T29" s="6">
        <v>1513.28</v>
      </c>
      <c r="U29" s="2"/>
      <c r="V29" s="7">
        <f t="shared" si="17"/>
        <v>5.0585077148192726E-3</v>
      </c>
      <c r="W29" s="2"/>
      <c r="X29" s="6">
        <f t="shared" si="18"/>
        <v>-294.99</v>
      </c>
      <c r="Y29" s="2"/>
      <c r="Z29" s="7">
        <f t="shared" si="19"/>
        <v>-0.19493418270247412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>
        <v>536.96</v>
      </c>
      <c r="E30" s="2"/>
      <c r="F30" s="7">
        <f t="shared" si="12"/>
        <v>2.9959587810170392E-3</v>
      </c>
      <c r="G30" s="2"/>
      <c r="H30" s="6">
        <v>516.36</v>
      </c>
      <c r="I30" s="2"/>
      <c r="J30" s="7">
        <f t="shared" si="13"/>
        <v>2.8435109154617199E-3</v>
      </c>
      <c r="K30" s="2"/>
      <c r="L30" s="6">
        <f t="shared" si="14"/>
        <v>20.600000000000023</v>
      </c>
      <c r="M30" s="2"/>
      <c r="N30" s="7">
        <f t="shared" si="15"/>
        <v>3.9894647145402473E-2</v>
      </c>
      <c r="O30" s="11"/>
      <c r="P30" s="6">
        <v>1169.04</v>
      </c>
      <c r="Q30" s="2"/>
      <c r="R30" s="7">
        <f t="shared" si="16"/>
        <v>3.9778118509693856E-3</v>
      </c>
      <c r="S30" s="2"/>
      <c r="T30" s="6">
        <v>1808.74</v>
      </c>
      <c r="U30" s="2"/>
      <c r="V30" s="7">
        <f t="shared" si="17"/>
        <v>6.0461548716048662E-3</v>
      </c>
      <c r="W30" s="2"/>
      <c r="X30" s="6">
        <f t="shared" si="18"/>
        <v>-639.70000000000005</v>
      </c>
      <c r="Y30" s="2"/>
      <c r="Z30" s="7">
        <f t="shared" si="19"/>
        <v>-0.35367161670555197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>
        <v>338.17</v>
      </c>
      <c r="E31" s="2"/>
      <c r="F31" s="7">
        <f t="shared" si="12"/>
        <v>1.886813507480133E-3</v>
      </c>
      <c r="G31" s="2"/>
      <c r="H31" s="6">
        <v>402.47</v>
      </c>
      <c r="I31" s="2"/>
      <c r="J31" s="7">
        <f t="shared" si="13"/>
        <v>2.2163371255439586E-3</v>
      </c>
      <c r="K31" s="2"/>
      <c r="L31" s="6">
        <f t="shared" si="14"/>
        <v>-64.300000000000011</v>
      </c>
      <c r="M31" s="2"/>
      <c r="N31" s="7">
        <f t="shared" si="15"/>
        <v>-0.15976346063060604</v>
      </c>
      <c r="O31" s="11"/>
      <c r="P31" s="6">
        <v>808.42</v>
      </c>
      <c r="Q31" s="2"/>
      <c r="R31" s="7">
        <f t="shared" si="16"/>
        <v>2.7507550268260034E-3</v>
      </c>
      <c r="S31" s="2"/>
      <c r="T31" s="6">
        <v>1137.68</v>
      </c>
      <c r="U31" s="2"/>
      <c r="V31" s="7">
        <f t="shared" si="17"/>
        <v>3.8029730499283612E-3</v>
      </c>
      <c r="W31" s="2"/>
      <c r="X31" s="6">
        <f t="shared" si="18"/>
        <v>-329.2600000000001</v>
      </c>
      <c r="Y31" s="2"/>
      <c r="Z31" s="7">
        <f t="shared" si="19"/>
        <v>-0.28941354335138181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41784.789999999994</v>
      </c>
      <c r="E32" s="1"/>
      <c r="F32" s="5">
        <f t="shared" ref="F32:F38" si="20">IF(D$12=0,0,D32/D$12)</f>
        <v>0.23313749350687751</v>
      </c>
      <c r="G32" s="1"/>
      <c r="H32" s="1">
        <f>SUM(OSRRefH22_1x_0)</f>
        <v>35244.5</v>
      </c>
      <c r="I32" s="1"/>
      <c r="J32" s="5">
        <f t="shared" ref="J32:J38" si="21">IF(H$12=0,0,H32/H$12)</f>
        <v>0.19408575501586217</v>
      </c>
      <c r="K32" s="1"/>
      <c r="L32" s="1">
        <f t="shared" ref="L32:L38" si="22">+D32-H32</f>
        <v>6540.2899999999936</v>
      </c>
      <c r="M32" s="1"/>
      <c r="N32" s="5">
        <f t="shared" ref="N32:N38" si="23">IF(H32=0,0,L32/H32)</f>
        <v>0.18556909588730139</v>
      </c>
      <c r="O32" s="14"/>
      <c r="P32" s="1">
        <f>SUM(OSRRefP22_1x_0)</f>
        <v>78564.38</v>
      </c>
      <c r="Q32" s="1"/>
      <c r="R32" s="5">
        <f t="shared" ref="R32:R38" si="24">IF(P$12=0,0,P32/P$12)</f>
        <v>0.2673256020564414</v>
      </c>
      <c r="S32" s="1"/>
      <c r="T32" s="1">
        <f>SUM(OSRRefT22_1x_0)</f>
        <v>76860.479999999996</v>
      </c>
      <c r="U32" s="1"/>
      <c r="V32" s="5">
        <f t="shared" ref="V32:V38" si="25">IF(T$12=0,0,T32/T$12)</f>
        <v>0.25692491214098673</v>
      </c>
      <c r="W32" s="1"/>
      <c r="X32" s="1">
        <f t="shared" ref="X32:X38" si="26">+P32-T32</f>
        <v>1703.9000000000087</v>
      </c>
      <c r="Y32" s="1"/>
      <c r="Z32" s="5">
        <f t="shared" ref="Z32:Z38" si="27">IF(T32=0,0,X32/T32)</f>
        <v>2.2168740033890091E-2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>
        <v>8590</v>
      </c>
      <c r="E33" s="2"/>
      <c r="F33" s="7">
        <f t="shared" si="20"/>
        <v>4.7927752400432747E-2</v>
      </c>
      <c r="G33" s="2"/>
      <c r="H33" s="6">
        <v>8474.5400000000009</v>
      </c>
      <c r="I33" s="2"/>
      <c r="J33" s="7">
        <f t="shared" si="21"/>
        <v>4.6667919655893113E-2</v>
      </c>
      <c r="K33" s="2"/>
      <c r="L33" s="6">
        <f t="shared" si="22"/>
        <v>115.45999999999913</v>
      </c>
      <c r="M33" s="2"/>
      <c r="N33" s="7">
        <f t="shared" si="23"/>
        <v>1.3624338312167871E-2</v>
      </c>
      <c r="O33" s="11"/>
      <c r="P33" s="6">
        <v>16078</v>
      </c>
      <c r="Q33" s="2"/>
      <c r="R33" s="7">
        <f t="shared" si="24"/>
        <v>5.4707502685866854E-2</v>
      </c>
      <c r="S33" s="2"/>
      <c r="T33" s="6">
        <v>25786.550000000003</v>
      </c>
      <c r="U33" s="2"/>
      <c r="V33" s="7">
        <f t="shared" si="25"/>
        <v>8.6197836562680361E-2</v>
      </c>
      <c r="W33" s="2"/>
      <c r="X33" s="6">
        <f t="shared" si="26"/>
        <v>-9708.5500000000029</v>
      </c>
      <c r="Y33" s="2"/>
      <c r="Z33" s="7">
        <f t="shared" si="27"/>
        <v>-0.37649666201954124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6">
        <v>2766.59</v>
      </c>
      <c r="E34" s="2"/>
      <c r="F34" s="7">
        <f t="shared" si="20"/>
        <v>1.5436139757102821E-2</v>
      </c>
      <c r="G34" s="2"/>
      <c r="H34" s="6">
        <v>2545.75</v>
      </c>
      <c r="I34" s="2"/>
      <c r="J34" s="7">
        <f t="shared" si="21"/>
        <v>1.401903306421232E-2</v>
      </c>
      <c r="K34" s="2"/>
      <c r="L34" s="6">
        <f t="shared" si="22"/>
        <v>220.84000000000015</v>
      </c>
      <c r="M34" s="2"/>
      <c r="N34" s="7">
        <f t="shared" si="23"/>
        <v>8.674850240597079E-2</v>
      </c>
      <c r="O34" s="11"/>
      <c r="P34" s="6">
        <v>4653.29</v>
      </c>
      <c r="Q34" s="2"/>
      <c r="R34" s="7">
        <f t="shared" si="24"/>
        <v>1.5833429230819592E-2</v>
      </c>
      <c r="S34" s="2"/>
      <c r="T34" s="6">
        <v>4666.5</v>
      </c>
      <c r="U34" s="2"/>
      <c r="V34" s="7">
        <f t="shared" si="25"/>
        <v>1.5598915105733331E-2</v>
      </c>
      <c r="W34" s="2"/>
      <c r="X34" s="6">
        <f t="shared" si="26"/>
        <v>-13.210000000000036</v>
      </c>
      <c r="Y34" s="2"/>
      <c r="Z34" s="7">
        <f t="shared" si="27"/>
        <v>-2.830815386263803E-3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6">
        <v>11362.97</v>
      </c>
      <c r="E35" s="2"/>
      <c r="F35" s="7">
        <f t="shared" si="20"/>
        <v>6.3399489254196181E-2</v>
      </c>
      <c r="G35" s="2"/>
      <c r="H35" s="6">
        <v>7667.34</v>
      </c>
      <c r="I35" s="2"/>
      <c r="J35" s="7">
        <f t="shared" si="21"/>
        <v>4.222279995072481E-2</v>
      </c>
      <c r="K35" s="2"/>
      <c r="L35" s="6">
        <f t="shared" si="22"/>
        <v>3695.6299999999992</v>
      </c>
      <c r="M35" s="2"/>
      <c r="N35" s="7">
        <f t="shared" si="23"/>
        <v>0.48199636379761418</v>
      </c>
      <c r="O35" s="11"/>
      <c r="P35" s="6">
        <v>23063.79</v>
      </c>
      <c r="Q35" s="2"/>
      <c r="R35" s="7">
        <f t="shared" si="24"/>
        <v>7.8477568937135783E-2</v>
      </c>
      <c r="S35" s="2"/>
      <c r="T35" s="6">
        <v>13934.23</v>
      </c>
      <c r="U35" s="2"/>
      <c r="V35" s="7">
        <f t="shared" si="25"/>
        <v>4.6578564413106732E-2</v>
      </c>
      <c r="W35" s="2"/>
      <c r="X35" s="6">
        <f t="shared" si="26"/>
        <v>9129.5600000000013</v>
      </c>
      <c r="Y35" s="2"/>
      <c r="Z35" s="7">
        <f t="shared" si="27"/>
        <v>0.65518941484387738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6">
        <v>1517.75</v>
      </c>
      <c r="E36" s="2"/>
      <c r="F36" s="7">
        <f t="shared" si="20"/>
        <v>8.4682591624862386E-3</v>
      </c>
      <c r="G36" s="2"/>
      <c r="H36" s="6"/>
      <c r="I36" s="2"/>
      <c r="J36" s="7">
        <f t="shared" si="21"/>
        <v>0</v>
      </c>
      <c r="K36" s="2"/>
      <c r="L36" s="6">
        <f t="shared" si="22"/>
        <v>1517.75</v>
      </c>
      <c r="M36" s="2"/>
      <c r="N36" s="7">
        <f t="shared" si="23"/>
        <v>0</v>
      </c>
      <c r="O36" s="11"/>
      <c r="P36" s="6">
        <v>3462.88</v>
      </c>
      <c r="Q36" s="2"/>
      <c r="R36" s="7">
        <f t="shared" si="24"/>
        <v>1.1782903153429197E-2</v>
      </c>
      <c r="S36" s="2"/>
      <c r="T36" s="6"/>
      <c r="U36" s="2"/>
      <c r="V36" s="7">
        <f t="shared" si="25"/>
        <v>0</v>
      </c>
      <c r="W36" s="2"/>
      <c r="X36" s="6">
        <f t="shared" si="26"/>
        <v>3462.88</v>
      </c>
      <c r="Y36" s="2"/>
      <c r="Z36" s="7">
        <f t="shared" si="27"/>
        <v>0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6">
        <v>16767.48</v>
      </c>
      <c r="E37" s="2"/>
      <c r="F37" s="7">
        <f t="shared" si="20"/>
        <v>9.355385678919767E-2</v>
      </c>
      <c r="G37" s="2"/>
      <c r="H37" s="6">
        <v>15438.249999999998</v>
      </c>
      <c r="I37" s="2"/>
      <c r="J37" s="7">
        <f t="shared" si="21"/>
        <v>8.5015943122292381E-2</v>
      </c>
      <c r="K37" s="2"/>
      <c r="L37" s="6">
        <f t="shared" si="22"/>
        <v>1329.2300000000014</v>
      </c>
      <c r="M37" s="2"/>
      <c r="N37" s="7">
        <f t="shared" si="23"/>
        <v>8.6099784625848233E-2</v>
      </c>
      <c r="O37" s="11"/>
      <c r="P37" s="6">
        <v>30526.42</v>
      </c>
      <c r="Q37" s="2"/>
      <c r="R37" s="7">
        <f t="shared" si="24"/>
        <v>0.10387014579797858</v>
      </c>
      <c r="S37" s="2"/>
      <c r="T37" s="6">
        <v>29877.95</v>
      </c>
      <c r="U37" s="2"/>
      <c r="V37" s="7">
        <f t="shared" si="25"/>
        <v>9.9874339565701326E-2</v>
      </c>
      <c r="W37" s="2"/>
      <c r="X37" s="6">
        <f t="shared" si="26"/>
        <v>648.46999999999753</v>
      </c>
      <c r="Y37" s="2"/>
      <c r="Z37" s="7">
        <f t="shared" si="27"/>
        <v>2.1703965633518951E-2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6">
        <v>780</v>
      </c>
      <c r="E38" s="2"/>
      <c r="F38" s="7">
        <f t="shared" si="20"/>
        <v>4.351996143461879E-3</v>
      </c>
      <c r="G38" s="2"/>
      <c r="H38" s="6">
        <v>1118.6199999999999</v>
      </c>
      <c r="I38" s="2"/>
      <c r="J38" s="7">
        <f t="shared" si="21"/>
        <v>6.1600592227395402E-3</v>
      </c>
      <c r="K38" s="2"/>
      <c r="L38" s="6">
        <f t="shared" si="22"/>
        <v>-338.61999999999989</v>
      </c>
      <c r="M38" s="2"/>
      <c r="N38" s="7">
        <f t="shared" si="23"/>
        <v>-0.30271227047612231</v>
      </c>
      <c r="O38" s="11"/>
      <c r="P38" s="6">
        <v>780</v>
      </c>
      <c r="Q38" s="2"/>
      <c r="R38" s="7">
        <f t="shared" si="24"/>
        <v>2.6540522512113539E-3</v>
      </c>
      <c r="S38" s="2"/>
      <c r="T38" s="6">
        <v>2595.25</v>
      </c>
      <c r="U38" s="2"/>
      <c r="V38" s="7">
        <f t="shared" si="25"/>
        <v>8.6752564937650125E-3</v>
      </c>
      <c r="W38" s="2"/>
      <c r="X38" s="6">
        <f t="shared" si="26"/>
        <v>-1815.25</v>
      </c>
      <c r="Y38" s="2"/>
      <c r="Z38" s="7">
        <f t="shared" si="27"/>
        <v>-0.69945091994990849</v>
      </c>
    </row>
    <row r="39" spans="1:26" s="29" customFormat="1" outlineLevel="1" collapsed="1" x14ac:dyDescent="0.25">
      <c r="A39" s="27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67.03</v>
      </c>
      <c r="E39" s="1"/>
      <c r="F39" s="5">
        <f t="shared" ref="F39:F47" si="28">IF(D$12=0,0,D39/D$12)</f>
        <v>3.7399269422596119E-4</v>
      </c>
      <c r="G39" s="1"/>
      <c r="H39" s="1">
        <f>SUM(OSRRefH22_2x_0)</f>
        <v>494.35</v>
      </c>
      <c r="I39" s="1"/>
      <c r="J39" s="5">
        <f t="shared" ref="J39:J47" si="29">IF(H$12=0,0,H39/H$12)</f>
        <v>2.7223054091302604E-3</v>
      </c>
      <c r="K39" s="1"/>
      <c r="L39" s="1">
        <f t="shared" ref="L39:L47" si="30">+D39-H39</f>
        <v>-427.32000000000005</v>
      </c>
      <c r="M39" s="1"/>
      <c r="N39" s="5">
        <f t="shared" ref="N39:N47" si="31">IF(H39=0,0,L39/H39)</f>
        <v>-0.86440780823303331</v>
      </c>
      <c r="O39" s="14"/>
      <c r="P39" s="1">
        <f>SUM(OSRRefP22_2x_0)</f>
        <v>1503.93</v>
      </c>
      <c r="Q39" s="1"/>
      <c r="R39" s="5">
        <f t="shared" ref="R39:R47" si="32">IF(P$12=0,0,P39/P$12)</f>
        <v>5.1173189771337073E-3</v>
      </c>
      <c r="S39" s="1"/>
      <c r="T39" s="1">
        <f>SUM(OSRRefT22_2x_0)</f>
        <v>1871.57</v>
      </c>
      <c r="U39" s="1"/>
      <c r="V39" s="5">
        <f t="shared" ref="V39:V47" si="33">IF(T$12=0,0,T39/T$12)</f>
        <v>6.2561794802180075E-3</v>
      </c>
      <c r="W39" s="1"/>
      <c r="X39" s="1">
        <f t="shared" ref="X39:X47" si="34">+P39-T39</f>
        <v>-367.63999999999987</v>
      </c>
      <c r="Y39" s="1"/>
      <c r="Z39" s="5">
        <f t="shared" ref="Z39:Z47" si="35">IF(T39=0,0,X39/T39)</f>
        <v>-0.19643400994886639</v>
      </c>
    </row>
    <row r="40" spans="1:26" s="24" customFormat="1" hidden="1" outlineLevel="2" x14ac:dyDescent="0.25">
      <c r="A40" s="28"/>
      <c r="B40" s="11" t="str">
        <f>CONCATENATE("          ", "6362", " - ", "ADVERTISING EXPENSE")</f>
        <v xml:space="preserve">          6362 - ADVERTISING EXPENSE</v>
      </c>
      <c r="C40" s="11"/>
      <c r="D40" s="6">
        <v>67.03</v>
      </c>
      <c r="E40" s="2"/>
      <c r="F40" s="7">
        <f t="shared" si="28"/>
        <v>3.7399269422596119E-4</v>
      </c>
      <c r="G40" s="2"/>
      <c r="H40" s="6">
        <v>494.35</v>
      </c>
      <c r="I40" s="2"/>
      <c r="J40" s="7">
        <f t="shared" si="29"/>
        <v>2.7223054091302604E-3</v>
      </c>
      <c r="K40" s="2"/>
      <c r="L40" s="6">
        <f t="shared" si="30"/>
        <v>-427.32000000000005</v>
      </c>
      <c r="M40" s="2"/>
      <c r="N40" s="7">
        <f t="shared" si="31"/>
        <v>-0.86440780823303331</v>
      </c>
      <c r="O40" s="11"/>
      <c r="P40" s="6">
        <v>1503.93</v>
      </c>
      <c r="Q40" s="2"/>
      <c r="R40" s="7">
        <f t="shared" si="32"/>
        <v>5.1173189771337073E-3</v>
      </c>
      <c r="S40" s="2"/>
      <c r="T40" s="6">
        <v>1871.57</v>
      </c>
      <c r="U40" s="2"/>
      <c r="V40" s="7">
        <f t="shared" si="33"/>
        <v>6.2561794802180075E-3</v>
      </c>
      <c r="W40" s="2"/>
      <c r="X40" s="6">
        <f t="shared" si="34"/>
        <v>-367.63999999999987</v>
      </c>
      <c r="Y40" s="2"/>
      <c r="Z40" s="7">
        <f t="shared" si="35"/>
        <v>-0.19643400994886639</v>
      </c>
    </row>
    <row r="41" spans="1:26" s="29" customFormat="1" outlineLevel="1" collapsed="1" x14ac:dyDescent="0.25">
      <c r="A41" s="27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4.92</v>
      </c>
      <c r="E41" s="1"/>
      <c r="F41" s="5">
        <f t="shared" si="28"/>
        <v>2.7451052597221082E-5</v>
      </c>
      <c r="G41" s="1"/>
      <c r="H41" s="1">
        <f>SUM(OSRRefH22_3x_0)</f>
        <v>0.64</v>
      </c>
      <c r="I41" s="1"/>
      <c r="J41" s="5">
        <f t="shared" si="29"/>
        <v>3.5243763767439401E-6</v>
      </c>
      <c r="K41" s="1"/>
      <c r="L41" s="1">
        <f t="shared" si="30"/>
        <v>4.28</v>
      </c>
      <c r="M41" s="1"/>
      <c r="N41" s="5">
        <f t="shared" si="31"/>
        <v>6.6875</v>
      </c>
      <c r="O41" s="14"/>
      <c r="P41" s="1">
        <f>SUM(OSRRefP22_3x_0)</f>
        <v>19.45</v>
      </c>
      <c r="Q41" s="1"/>
      <c r="R41" s="5">
        <f t="shared" si="32"/>
        <v>6.618117472571901E-5</v>
      </c>
      <c r="S41" s="1"/>
      <c r="T41" s="1">
        <f>SUM(OSRRefT22_3x_0)</f>
        <v>-1.68</v>
      </c>
      <c r="U41" s="1"/>
      <c r="V41" s="5">
        <f t="shared" si="33"/>
        <v>-5.6158100027069533E-6</v>
      </c>
      <c r="W41" s="1"/>
      <c r="X41" s="1">
        <f t="shared" si="34"/>
        <v>21.13</v>
      </c>
      <c r="Y41" s="1"/>
      <c r="Z41" s="5">
        <f t="shared" si="35"/>
        <v>-12.577380952380953</v>
      </c>
    </row>
    <row r="42" spans="1:26" s="24" customFormat="1" hidden="1" outlineLevel="2" x14ac:dyDescent="0.25">
      <c r="A42" s="28"/>
      <c r="B42" s="11" t="str">
        <f>CONCATENATE("          ", "6272", " - ", "CASH (OVER/SHORT)")</f>
        <v xml:space="preserve">          6272 - CASH (OVER/SHORT)</v>
      </c>
      <c r="C42" s="11"/>
      <c r="D42" s="6">
        <v>4.92</v>
      </c>
      <c r="E42" s="2"/>
      <c r="F42" s="7">
        <f t="shared" si="28"/>
        <v>2.7451052597221082E-5</v>
      </c>
      <c r="G42" s="2"/>
      <c r="H42" s="6">
        <v>0.64</v>
      </c>
      <c r="I42" s="2"/>
      <c r="J42" s="7">
        <f t="shared" si="29"/>
        <v>3.5243763767439401E-6</v>
      </c>
      <c r="K42" s="2"/>
      <c r="L42" s="6">
        <f t="shared" si="30"/>
        <v>4.28</v>
      </c>
      <c r="M42" s="2"/>
      <c r="N42" s="7">
        <f t="shared" si="31"/>
        <v>6.6875</v>
      </c>
      <c r="O42" s="11"/>
      <c r="P42" s="6">
        <v>19.45</v>
      </c>
      <c r="Q42" s="2"/>
      <c r="R42" s="7">
        <f t="shared" si="32"/>
        <v>6.618117472571901E-5</v>
      </c>
      <c r="S42" s="2"/>
      <c r="T42" s="6">
        <v>-1.68</v>
      </c>
      <c r="U42" s="2"/>
      <c r="V42" s="7">
        <f t="shared" si="33"/>
        <v>-5.6158100027069533E-6</v>
      </c>
      <c r="W42" s="2"/>
      <c r="X42" s="6">
        <f t="shared" si="34"/>
        <v>21.13</v>
      </c>
      <c r="Y42" s="2"/>
      <c r="Z42" s="7">
        <f t="shared" si="35"/>
        <v>-12.577380952380953</v>
      </c>
    </row>
    <row r="43" spans="1:26" s="29" customFormat="1" outlineLevel="1" collapsed="1" x14ac:dyDescent="0.2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6277.96</v>
      </c>
      <c r="E43" s="1"/>
      <c r="F43" s="5">
        <f t="shared" si="28"/>
        <v>3.5027766293343511E-2</v>
      </c>
      <c r="G43" s="1"/>
      <c r="H43" s="1">
        <f>SUM(OSRRefH22_4x_0)</f>
        <v>6060.62</v>
      </c>
      <c r="I43" s="1"/>
      <c r="J43" s="5">
        <f t="shared" si="29"/>
        <v>3.3374853056909147E-2</v>
      </c>
      <c r="K43" s="1"/>
      <c r="L43" s="1">
        <f t="shared" si="30"/>
        <v>217.34000000000015</v>
      </c>
      <c r="M43" s="1"/>
      <c r="N43" s="5">
        <f t="shared" si="31"/>
        <v>3.5861017519659727E-2</v>
      </c>
      <c r="O43" s="14"/>
      <c r="P43" s="1">
        <f>SUM(OSRRefP22_4x_0)</f>
        <v>10105.370000000001</v>
      </c>
      <c r="Q43" s="1"/>
      <c r="R43" s="5">
        <f t="shared" si="32"/>
        <v>3.4384846151056005E-2</v>
      </c>
      <c r="S43" s="1"/>
      <c r="T43" s="1">
        <f>SUM(OSRRefT22_4x_0)</f>
        <v>9789.5400000000009</v>
      </c>
      <c r="U43" s="1"/>
      <c r="V43" s="5">
        <f t="shared" si="33"/>
        <v>3.272392657970228E-2</v>
      </c>
      <c r="W43" s="1"/>
      <c r="X43" s="1">
        <f t="shared" si="34"/>
        <v>315.82999999999993</v>
      </c>
      <c r="Y43" s="1"/>
      <c r="Z43" s="5">
        <f t="shared" si="35"/>
        <v>3.2261985752139517E-2</v>
      </c>
    </row>
    <row r="44" spans="1:26" s="24" customFormat="1" hidden="1" outlineLevel="2" x14ac:dyDescent="0.25">
      <c r="A44" s="28"/>
      <c r="B44" s="11" t="str">
        <f>CONCATENATE("          ", "6381", " - ", "BANK/CREDIT CARD FEES")</f>
        <v xml:space="preserve">          6381 - BANK/CREDIT CARD FEES</v>
      </c>
      <c r="C44" s="11"/>
      <c r="D44" s="6">
        <v>6277.96</v>
      </c>
      <c r="E44" s="2"/>
      <c r="F44" s="7">
        <f t="shared" si="28"/>
        <v>3.5027766293343511E-2</v>
      </c>
      <c r="G44" s="2"/>
      <c r="H44" s="6">
        <v>6060.62</v>
      </c>
      <c r="I44" s="2"/>
      <c r="J44" s="7">
        <f t="shared" si="29"/>
        <v>3.3374853056909147E-2</v>
      </c>
      <c r="K44" s="2"/>
      <c r="L44" s="6">
        <f t="shared" si="30"/>
        <v>217.34000000000015</v>
      </c>
      <c r="M44" s="2"/>
      <c r="N44" s="7">
        <f t="shared" si="31"/>
        <v>3.5861017519659727E-2</v>
      </c>
      <c r="O44" s="11"/>
      <c r="P44" s="6">
        <v>10105.370000000001</v>
      </c>
      <c r="Q44" s="2"/>
      <c r="R44" s="7">
        <f t="shared" si="32"/>
        <v>3.4384846151056005E-2</v>
      </c>
      <c r="S44" s="2"/>
      <c r="T44" s="6">
        <v>9789.5400000000009</v>
      </c>
      <c r="U44" s="2"/>
      <c r="V44" s="7">
        <f t="shared" si="33"/>
        <v>3.272392657970228E-2</v>
      </c>
      <c r="W44" s="2"/>
      <c r="X44" s="6">
        <f t="shared" si="34"/>
        <v>315.82999999999993</v>
      </c>
      <c r="Y44" s="2"/>
      <c r="Z44" s="7">
        <f t="shared" si="35"/>
        <v>3.2261985752139517E-2</v>
      </c>
    </row>
    <row r="45" spans="1:26" s="29" customFormat="1" outlineLevel="1" collapsed="1" x14ac:dyDescent="0.2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8263.4700000000012</v>
      </c>
      <c r="E45" s="1"/>
      <c r="F45" s="5">
        <f t="shared" si="28"/>
        <v>4.610588406617043E-2</v>
      </c>
      <c r="G45" s="1"/>
      <c r="H45" s="1">
        <f>SUM(OSRRefH22_5x_0)</f>
        <v>8410.08</v>
      </c>
      <c r="I45" s="1"/>
      <c r="J45" s="5">
        <f t="shared" si="29"/>
        <v>4.6312948872697927E-2</v>
      </c>
      <c r="K45" s="1"/>
      <c r="L45" s="1">
        <f t="shared" si="30"/>
        <v>-146.60999999999876</v>
      </c>
      <c r="M45" s="1"/>
      <c r="N45" s="5">
        <f t="shared" si="31"/>
        <v>-1.7432652245876229E-2</v>
      </c>
      <c r="O45" s="14"/>
      <c r="P45" s="1">
        <f>SUM(OSRRefP22_5x_0)</f>
        <v>24790.410000000003</v>
      </c>
      <c r="Q45" s="1"/>
      <c r="R45" s="5">
        <f t="shared" si="32"/>
        <v>8.4352619831990341E-2</v>
      </c>
      <c r="S45" s="1"/>
      <c r="T45" s="1">
        <f>SUM(OSRRefT22_5x_0)</f>
        <v>25230.240000000002</v>
      </c>
      <c r="U45" s="1"/>
      <c r="V45" s="5">
        <f t="shared" si="33"/>
        <v>8.4338234620653027E-2</v>
      </c>
      <c r="W45" s="1"/>
      <c r="X45" s="1">
        <f t="shared" si="34"/>
        <v>-439.82999999999811</v>
      </c>
      <c r="Y45" s="1"/>
      <c r="Z45" s="5">
        <f t="shared" si="35"/>
        <v>-1.7432652245876302E-2</v>
      </c>
    </row>
    <row r="46" spans="1:26" s="24" customFormat="1" hidden="1" outlineLevel="2" x14ac:dyDescent="0.25">
      <c r="A46" s="28"/>
      <c r="B46" s="11" t="str">
        <f>CONCATENATE("          ", "6321", " - ", "BUILDING DEPRECIATION")</f>
        <v xml:space="preserve">          6321 - BUILDING DEPRECIATION</v>
      </c>
      <c r="C46" s="11"/>
      <c r="D46" s="6">
        <v>6537.05</v>
      </c>
      <c r="E46" s="2"/>
      <c r="F46" s="7">
        <f t="shared" si="28"/>
        <v>3.6473354345663428E-2</v>
      </c>
      <c r="G46" s="2"/>
      <c r="H46" s="6">
        <v>6537.05</v>
      </c>
      <c r="I46" s="2"/>
      <c r="J46" s="7">
        <f t="shared" si="29"/>
        <v>3.5998475927490579E-2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19611.150000000001</v>
      </c>
      <c r="Q46" s="2"/>
      <c r="R46" s="7">
        <f t="shared" si="32"/>
        <v>6.6729508726081466E-2</v>
      </c>
      <c r="S46" s="2"/>
      <c r="T46" s="6">
        <v>19611.150000000001</v>
      </c>
      <c r="U46" s="2"/>
      <c r="V46" s="7">
        <f t="shared" si="33"/>
        <v>6.5555054961063383E-2</v>
      </c>
      <c r="W46" s="2"/>
      <c r="X46" s="6">
        <f t="shared" si="34"/>
        <v>0</v>
      </c>
      <c r="Y46" s="2"/>
      <c r="Z46" s="7">
        <f t="shared" si="35"/>
        <v>0</v>
      </c>
    </row>
    <row r="47" spans="1:26" s="24" customFormat="1" hidden="1" outlineLevel="2" x14ac:dyDescent="0.25">
      <c r="A47" s="28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1726.42</v>
      </c>
      <c r="E47" s="2"/>
      <c r="F47" s="7">
        <f t="shared" si="28"/>
        <v>9.6325297205069969E-3</v>
      </c>
      <c r="G47" s="2"/>
      <c r="H47" s="6">
        <v>1873.03</v>
      </c>
      <c r="I47" s="2"/>
      <c r="J47" s="7">
        <f t="shared" si="29"/>
        <v>1.0314472945207346E-2</v>
      </c>
      <c r="K47" s="2"/>
      <c r="L47" s="6">
        <f t="shared" si="30"/>
        <v>-146.6099999999999</v>
      </c>
      <c r="M47" s="2"/>
      <c r="N47" s="7">
        <f t="shared" si="31"/>
        <v>-7.827424013496842E-2</v>
      </c>
      <c r="O47" s="11"/>
      <c r="P47" s="6">
        <v>5179.26</v>
      </c>
      <c r="Q47" s="2"/>
      <c r="R47" s="7">
        <f t="shared" si="32"/>
        <v>1.7623111105908869E-2</v>
      </c>
      <c r="S47" s="2"/>
      <c r="T47" s="6">
        <v>5619.09</v>
      </c>
      <c r="U47" s="2"/>
      <c r="V47" s="7">
        <f t="shared" si="33"/>
        <v>1.8783179659589651E-2</v>
      </c>
      <c r="W47" s="2"/>
      <c r="X47" s="6">
        <f t="shared" si="34"/>
        <v>-439.82999999999993</v>
      </c>
      <c r="Y47" s="2"/>
      <c r="Z47" s="7">
        <f t="shared" si="35"/>
        <v>-7.8274240134968462E-2</v>
      </c>
    </row>
    <row r="48" spans="1:26" s="29" customFormat="1" outlineLevel="1" collapsed="1" x14ac:dyDescent="0.25">
      <c r="A48" s="27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SUM(OSRRefD22_6x_0)</f>
        <v>0</v>
      </c>
      <c r="E48" s="1"/>
      <c r="F48" s="5">
        <f t="shared" ref="F48:F54" si="36">IF(D$12=0,0,D48/D$12)</f>
        <v>0</v>
      </c>
      <c r="G48" s="1"/>
      <c r="H48" s="1">
        <f>SUM(OSRRefH22_6x_0)</f>
        <v>0</v>
      </c>
      <c r="I48" s="1"/>
      <c r="J48" s="5">
        <f t="shared" ref="J48:J54" si="37">IF(H$12=0,0,H48/H$12)</f>
        <v>0</v>
      </c>
      <c r="K48" s="1"/>
      <c r="L48" s="1">
        <f t="shared" ref="L48:L54" si="38">+D48-H48</f>
        <v>0</v>
      </c>
      <c r="M48" s="1"/>
      <c r="N48" s="5">
        <f t="shared" ref="N48:N54" si="39">IF(H48=0,0,L48/H48)</f>
        <v>0</v>
      </c>
      <c r="O48" s="14"/>
      <c r="P48" s="1">
        <f>SUM(OSRRefP22_6x_0)</f>
        <v>8.25</v>
      </c>
      <c r="Q48" s="1"/>
      <c r="R48" s="5">
        <f t="shared" ref="R48:R54" si="40">IF(P$12=0,0,P48/P$12)</f>
        <v>2.8071706503197013E-5</v>
      </c>
      <c r="S48" s="1"/>
      <c r="T48" s="1">
        <f>SUM(OSRRefT22_6x_0)</f>
        <v>0</v>
      </c>
      <c r="U48" s="1"/>
      <c r="V48" s="5">
        <f t="shared" ref="V48:V54" si="41">IF(T$12=0,0,T48/T$12)</f>
        <v>0</v>
      </c>
      <c r="W48" s="1"/>
      <c r="X48" s="1">
        <f t="shared" ref="X48:X54" si="42">+P48-T48</f>
        <v>8.25</v>
      </c>
      <c r="Y48" s="1"/>
      <c r="Z48" s="5">
        <f t="shared" ref="Z48:Z54" si="43">IF(T48=0,0,X48/T48)</f>
        <v>0</v>
      </c>
    </row>
    <row r="49" spans="1:26" s="24" customFormat="1" hidden="1" outlineLevel="2" x14ac:dyDescent="0.25">
      <c r="A49" s="28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36"/>
        <v>0</v>
      </c>
      <c r="G49" s="2"/>
      <c r="H49" s="6"/>
      <c r="I49" s="2"/>
      <c r="J49" s="7">
        <f t="shared" si="37"/>
        <v>0</v>
      </c>
      <c r="K49" s="2"/>
      <c r="L49" s="6">
        <f t="shared" si="38"/>
        <v>0</v>
      </c>
      <c r="M49" s="2"/>
      <c r="N49" s="7">
        <f t="shared" si="39"/>
        <v>0</v>
      </c>
      <c r="O49" s="11"/>
      <c r="P49" s="6">
        <v>8.25</v>
      </c>
      <c r="Q49" s="2"/>
      <c r="R49" s="7">
        <f t="shared" si="40"/>
        <v>2.8071706503197013E-5</v>
      </c>
      <c r="S49" s="2"/>
      <c r="T49" s="6"/>
      <c r="U49" s="2"/>
      <c r="V49" s="7">
        <f t="shared" si="41"/>
        <v>0</v>
      </c>
      <c r="W49" s="2"/>
      <c r="X49" s="6">
        <f t="shared" si="42"/>
        <v>8.25</v>
      </c>
      <c r="Y49" s="2"/>
      <c r="Z49" s="7">
        <f t="shared" si="43"/>
        <v>0</v>
      </c>
    </row>
    <row r="50" spans="1:26" s="29" customFormat="1" outlineLevel="1" collapsed="1" x14ac:dyDescent="0.25">
      <c r="A50" s="27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SUM(OSRRefD22_7x_0)</f>
        <v>465.64</v>
      </c>
      <c r="E50" s="1"/>
      <c r="F50" s="5">
        <f t="shared" si="36"/>
        <v>2.5980301080020373E-3</v>
      </c>
      <c r="G50" s="1"/>
      <c r="H50" s="1">
        <f>SUM(OSRRefH22_7x_0)</f>
        <v>0</v>
      </c>
      <c r="I50" s="1"/>
      <c r="J50" s="5">
        <f t="shared" si="37"/>
        <v>0</v>
      </c>
      <c r="K50" s="1"/>
      <c r="L50" s="1">
        <f t="shared" si="38"/>
        <v>465.64</v>
      </c>
      <c r="M50" s="1"/>
      <c r="N50" s="5">
        <f t="shared" si="39"/>
        <v>0</v>
      </c>
      <c r="O50" s="14"/>
      <c r="P50" s="1">
        <f>SUM(OSRRefP22_7x_0)</f>
        <v>918.93</v>
      </c>
      <c r="Q50" s="1"/>
      <c r="R50" s="5">
        <f t="shared" si="40"/>
        <v>3.1267797887251916E-3</v>
      </c>
      <c r="S50" s="1"/>
      <c r="T50" s="1">
        <f>SUM(OSRRefT22_7x_0)</f>
        <v>0</v>
      </c>
      <c r="U50" s="1"/>
      <c r="V50" s="5">
        <f t="shared" si="41"/>
        <v>0</v>
      </c>
      <c r="W50" s="1"/>
      <c r="X50" s="1">
        <f t="shared" si="42"/>
        <v>918.93</v>
      </c>
      <c r="Y50" s="1"/>
      <c r="Z50" s="5">
        <f t="shared" si="43"/>
        <v>0</v>
      </c>
    </row>
    <row r="51" spans="1:26" s="24" customFormat="1" hidden="1" outlineLevel="2" x14ac:dyDescent="0.25">
      <c r="A51" s="28"/>
      <c r="B51" s="11" t="str">
        <f>CONCATENATE("          ", "6351", " - ", "EQUIPMENT RENTAL")</f>
        <v xml:space="preserve">          6351 - EQUIPMENT RENTAL</v>
      </c>
      <c r="C51" s="11"/>
      <c r="D51" s="6">
        <v>465.64</v>
      </c>
      <c r="E51" s="2"/>
      <c r="F51" s="7">
        <f t="shared" si="36"/>
        <v>2.5980301080020373E-3</v>
      </c>
      <c r="G51" s="2"/>
      <c r="H51" s="6"/>
      <c r="I51" s="2"/>
      <c r="J51" s="7">
        <f t="shared" si="37"/>
        <v>0</v>
      </c>
      <c r="K51" s="2"/>
      <c r="L51" s="6">
        <f t="shared" si="38"/>
        <v>465.64</v>
      </c>
      <c r="M51" s="2"/>
      <c r="N51" s="7">
        <f t="shared" si="39"/>
        <v>0</v>
      </c>
      <c r="O51" s="11"/>
      <c r="P51" s="6">
        <v>918.93</v>
      </c>
      <c r="Q51" s="2"/>
      <c r="R51" s="7">
        <f t="shared" si="40"/>
        <v>3.1267797887251916E-3</v>
      </c>
      <c r="S51" s="2"/>
      <c r="T51" s="6"/>
      <c r="U51" s="2"/>
      <c r="V51" s="7">
        <f t="shared" si="41"/>
        <v>0</v>
      </c>
      <c r="W51" s="2"/>
      <c r="X51" s="6">
        <f t="shared" si="42"/>
        <v>918.93</v>
      </c>
      <c r="Y51" s="2"/>
      <c r="Z51" s="7">
        <f t="shared" si="43"/>
        <v>0</v>
      </c>
    </row>
    <row r="52" spans="1:26" s="29" customFormat="1" outlineLevel="1" collapsed="1" x14ac:dyDescent="0.25">
      <c r="A52" s="27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SUM(OSRRefD22_8x_0)</f>
        <v>1050</v>
      </c>
      <c r="E52" s="1"/>
      <c r="F52" s="5">
        <f t="shared" si="36"/>
        <v>5.8584563469679142E-3</v>
      </c>
      <c r="G52" s="1"/>
      <c r="H52" s="1">
        <f>SUM(OSRRefH22_8x_0)</f>
        <v>1633.73</v>
      </c>
      <c r="I52" s="1"/>
      <c r="J52" s="5">
        <f t="shared" si="37"/>
        <v>8.9966865905904327E-3</v>
      </c>
      <c r="K52" s="1"/>
      <c r="L52" s="1">
        <f t="shared" si="38"/>
        <v>-583.73</v>
      </c>
      <c r="M52" s="1"/>
      <c r="N52" s="5">
        <f t="shared" si="39"/>
        <v>-0.35729894168559068</v>
      </c>
      <c r="O52" s="14"/>
      <c r="P52" s="1">
        <f>SUM(OSRRefP22_8x_0)</f>
        <v>4889.55</v>
      </c>
      <c r="Q52" s="1"/>
      <c r="R52" s="5">
        <f t="shared" si="40"/>
        <v>1.663733485244933E-2</v>
      </c>
      <c r="S52" s="1"/>
      <c r="T52" s="1">
        <f>SUM(OSRRefT22_8x_0)</f>
        <v>4394.93</v>
      </c>
      <c r="U52" s="1"/>
      <c r="V52" s="5">
        <f t="shared" si="41"/>
        <v>1.4691126104283853E-2</v>
      </c>
      <c r="W52" s="1"/>
      <c r="X52" s="1">
        <f t="shared" si="42"/>
        <v>494.61999999999989</v>
      </c>
      <c r="Y52" s="1"/>
      <c r="Z52" s="5">
        <f t="shared" si="43"/>
        <v>0.1125433169584043</v>
      </c>
    </row>
    <row r="53" spans="1:26" s="24" customFormat="1" hidden="1" outlineLevel="2" x14ac:dyDescent="0.25">
      <c r="A53" s="28"/>
      <c r="B53" s="11" t="str">
        <f>CONCATENATE("          ", "6269", " - ", "ENTERTAINMENT")</f>
        <v xml:space="preserve">          6269 - ENTERTAINMENT</v>
      </c>
      <c r="C53" s="11"/>
      <c r="D53" s="6">
        <v>1050</v>
      </c>
      <c r="E53" s="2"/>
      <c r="F53" s="7">
        <f t="shared" si="36"/>
        <v>5.8584563469679142E-3</v>
      </c>
      <c r="G53" s="2"/>
      <c r="H53" s="6">
        <v>1550</v>
      </c>
      <c r="I53" s="2"/>
      <c r="J53" s="7">
        <f t="shared" si="37"/>
        <v>8.5355990374267297E-3</v>
      </c>
      <c r="K53" s="2"/>
      <c r="L53" s="6">
        <f t="shared" si="38"/>
        <v>-500</v>
      </c>
      <c r="M53" s="2"/>
      <c r="N53" s="7">
        <f t="shared" si="39"/>
        <v>-0.32258064516129031</v>
      </c>
      <c r="O53" s="11"/>
      <c r="P53" s="6">
        <v>3650</v>
      </c>
      <c r="Q53" s="2"/>
      <c r="R53" s="7">
        <f t="shared" si="40"/>
        <v>1.2419603483232618E-2</v>
      </c>
      <c r="S53" s="2"/>
      <c r="T53" s="6">
        <v>3100</v>
      </c>
      <c r="U53" s="2"/>
      <c r="V53" s="7">
        <f t="shared" si="41"/>
        <v>1.0362506552614021E-2</v>
      </c>
      <c r="W53" s="2"/>
      <c r="X53" s="6">
        <f t="shared" si="42"/>
        <v>550</v>
      </c>
      <c r="Y53" s="2"/>
      <c r="Z53" s="7">
        <f t="shared" si="43"/>
        <v>0.17741935483870969</v>
      </c>
    </row>
    <row r="54" spans="1:26" s="24" customFormat="1" hidden="1" outlineLevel="2" x14ac:dyDescent="0.25">
      <c r="A54" s="28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36"/>
        <v>0</v>
      </c>
      <c r="G54" s="2"/>
      <c r="H54" s="6">
        <v>83.73</v>
      </c>
      <c r="I54" s="2"/>
      <c r="J54" s="7">
        <f t="shared" si="37"/>
        <v>4.6108755316370326E-4</v>
      </c>
      <c r="K54" s="2"/>
      <c r="L54" s="6">
        <f t="shared" si="38"/>
        <v>-83.73</v>
      </c>
      <c r="M54" s="2"/>
      <c r="N54" s="7">
        <f t="shared" si="39"/>
        <v>-1</v>
      </c>
      <c r="O54" s="11"/>
      <c r="P54" s="6">
        <v>1239.55</v>
      </c>
      <c r="Q54" s="2"/>
      <c r="R54" s="7">
        <f t="shared" si="40"/>
        <v>4.2177313692167099E-3</v>
      </c>
      <c r="S54" s="2"/>
      <c r="T54" s="6">
        <v>1294.93</v>
      </c>
      <c r="U54" s="2"/>
      <c r="V54" s="7">
        <f t="shared" si="41"/>
        <v>4.328619551669831E-3</v>
      </c>
      <c r="W54" s="2"/>
      <c r="X54" s="6">
        <f t="shared" si="42"/>
        <v>-55.380000000000109</v>
      </c>
      <c r="Y54" s="2"/>
      <c r="Z54" s="7">
        <f t="shared" si="43"/>
        <v>-4.276679048288333E-2</v>
      </c>
    </row>
    <row r="55" spans="1:26" s="29" customFormat="1" outlineLevel="1" collapsed="1" x14ac:dyDescent="0.2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4279.26</v>
      </c>
      <c r="E55" s="1"/>
      <c r="F55" s="5">
        <f t="shared" ref="F55:F58" si="44">IF(D$12=0,0,D55/D$12)</f>
        <v>2.3876055149834208E-2</v>
      </c>
      <c r="G55" s="1"/>
      <c r="H55" s="1">
        <f>SUM(OSRRefH22_9x_0)</f>
        <v>1152.49</v>
      </c>
      <c r="I55" s="1"/>
      <c r="J55" s="5">
        <f t="shared" ref="J55:J58" si="45">IF(H$12=0,0,H55/H$12)</f>
        <v>6.3465758288025363E-3</v>
      </c>
      <c r="K55" s="1"/>
      <c r="L55" s="1">
        <f t="shared" ref="L55:L58" si="46">+D55-H55</f>
        <v>3126.7700000000004</v>
      </c>
      <c r="M55" s="1"/>
      <c r="N55" s="5">
        <f t="shared" ref="N55:N58" si="47">IF(H55=0,0,L55/H55)</f>
        <v>2.7130560785776887</v>
      </c>
      <c r="O55" s="14"/>
      <c r="P55" s="1">
        <f>SUM(OSRRefP22_9x_0)</f>
        <v>8024.4699999999993</v>
      </c>
      <c r="Q55" s="1"/>
      <c r="R55" s="5">
        <f t="shared" ref="R55:R58" si="48">IF(P$12=0,0,P55/P$12)</f>
        <v>2.7304311113176886E-2</v>
      </c>
      <c r="S55" s="1"/>
      <c r="T55" s="1">
        <f>SUM(OSRRefT22_9x_0)</f>
        <v>3273.08</v>
      </c>
      <c r="U55" s="1"/>
      <c r="V55" s="5">
        <f t="shared" ref="V55:V58" si="49">IF(T$12=0,0,T55/T$12)</f>
        <v>1.0941068692654807E-2</v>
      </c>
      <c r="W55" s="1"/>
      <c r="X55" s="1">
        <f t="shared" ref="X55:X58" si="50">+P55-T55</f>
        <v>4751.3899999999994</v>
      </c>
      <c r="Y55" s="1"/>
      <c r="Z55" s="5">
        <f t="shared" ref="Z55:Z58" si="51">IF(T55=0,0,X55/T55)</f>
        <v>1.451657154728879</v>
      </c>
    </row>
    <row r="56" spans="1:26" s="24" customFormat="1" hidden="1" outlineLevel="2" x14ac:dyDescent="0.25">
      <c r="A56" s="28"/>
      <c r="B56" s="11" t="str">
        <f>CONCATENATE("          ", "6371", " - ", "COMPUTER SOFTWARE MAINTENANCE")</f>
        <v xml:space="preserve">          6371 - COMPUTER SOFTWARE MAINTENANCE</v>
      </c>
      <c r="C56" s="11"/>
      <c r="D56" s="6">
        <v>2623.85</v>
      </c>
      <c r="E56" s="2"/>
      <c r="F56" s="7">
        <f t="shared" si="44"/>
        <v>1.4639724462849295E-2</v>
      </c>
      <c r="G56" s="2"/>
      <c r="H56" s="6"/>
      <c r="I56" s="2"/>
      <c r="J56" s="7">
        <f t="shared" si="45"/>
        <v>0</v>
      </c>
      <c r="K56" s="2"/>
      <c r="L56" s="6">
        <f t="shared" si="46"/>
        <v>2623.85</v>
      </c>
      <c r="M56" s="2"/>
      <c r="N56" s="7">
        <f t="shared" si="47"/>
        <v>0</v>
      </c>
      <c r="O56" s="11"/>
      <c r="P56" s="6">
        <v>2623.85</v>
      </c>
      <c r="Q56" s="2"/>
      <c r="R56" s="7">
        <f t="shared" si="48"/>
        <v>8.9279935888986039E-3</v>
      </c>
      <c r="S56" s="2"/>
      <c r="T56" s="6"/>
      <c r="U56" s="2"/>
      <c r="V56" s="7">
        <f t="shared" si="49"/>
        <v>0</v>
      </c>
      <c r="W56" s="2"/>
      <c r="X56" s="6">
        <f t="shared" si="50"/>
        <v>2623.85</v>
      </c>
      <c r="Y56" s="2"/>
      <c r="Z56" s="7">
        <f t="shared" si="51"/>
        <v>0</v>
      </c>
    </row>
    <row r="57" spans="1:26" s="24" customFormat="1" hidden="1" outlineLevel="2" x14ac:dyDescent="0.25">
      <c r="A57" s="28"/>
      <c r="B57" s="11" t="str">
        <f>CONCATENATE("          ", "6373", " - ", "MAINTENANCE CONTRACTS")</f>
        <v xml:space="preserve">          6373 - MAINTENANCE CONTRACTS</v>
      </c>
      <c r="C57" s="11"/>
      <c r="D57" s="6"/>
      <c r="E57" s="2"/>
      <c r="F57" s="7">
        <f t="shared" si="44"/>
        <v>0</v>
      </c>
      <c r="G57" s="2"/>
      <c r="H57" s="6">
        <v>188.2</v>
      </c>
      <c r="I57" s="2"/>
      <c r="J57" s="7">
        <f t="shared" si="45"/>
        <v>1.0363869282862647E-3</v>
      </c>
      <c r="K57" s="2"/>
      <c r="L57" s="6">
        <f t="shared" si="46"/>
        <v>-188.2</v>
      </c>
      <c r="M57" s="2"/>
      <c r="N57" s="7">
        <f t="shared" si="47"/>
        <v>-1</v>
      </c>
      <c r="O57" s="11"/>
      <c r="P57" s="6"/>
      <c r="Q57" s="2"/>
      <c r="R57" s="7">
        <f t="shared" si="48"/>
        <v>0</v>
      </c>
      <c r="S57" s="2"/>
      <c r="T57" s="6">
        <v>188.2</v>
      </c>
      <c r="U57" s="2"/>
      <c r="V57" s="7">
        <f t="shared" si="49"/>
        <v>6.29104430065148E-4</v>
      </c>
      <c r="W57" s="2"/>
      <c r="X57" s="6">
        <f t="shared" si="50"/>
        <v>-188.2</v>
      </c>
      <c r="Y57" s="2"/>
      <c r="Z57" s="7">
        <f t="shared" si="51"/>
        <v>-1</v>
      </c>
    </row>
    <row r="58" spans="1:26" s="24" customFormat="1" hidden="1" outlineLevel="2" x14ac:dyDescent="0.25">
      <c r="A58" s="28"/>
      <c r="B58" s="11" t="str">
        <f>CONCATENATE("          ", "6375", " - ", "OUTSIDE REPAIRS &amp; MAINTENANCE")</f>
        <v xml:space="preserve">          6375 - OUTSIDE REPAIRS &amp; MAINTENANCE</v>
      </c>
      <c r="C58" s="11"/>
      <c r="D58" s="6">
        <v>1655.41</v>
      </c>
      <c r="E58" s="2"/>
      <c r="F58" s="7">
        <f t="shared" si="44"/>
        <v>9.2363306869849091E-3</v>
      </c>
      <c r="G58" s="2"/>
      <c r="H58" s="6">
        <v>964.29</v>
      </c>
      <c r="I58" s="2"/>
      <c r="J58" s="7">
        <f t="shared" si="45"/>
        <v>5.3101889005162713E-3</v>
      </c>
      <c r="K58" s="2"/>
      <c r="L58" s="6">
        <f t="shared" si="46"/>
        <v>691.12000000000012</v>
      </c>
      <c r="M58" s="2"/>
      <c r="N58" s="7">
        <f t="shared" si="47"/>
        <v>0.71671385164214096</v>
      </c>
      <c r="O58" s="11"/>
      <c r="P58" s="6">
        <v>5400.62</v>
      </c>
      <c r="Q58" s="2"/>
      <c r="R58" s="7">
        <f t="shared" si="48"/>
        <v>1.8376317524278284E-2</v>
      </c>
      <c r="S58" s="2"/>
      <c r="T58" s="6">
        <v>3084.88</v>
      </c>
      <c r="U58" s="2"/>
      <c r="V58" s="7">
        <f t="shared" si="49"/>
        <v>1.0311964262589658E-2</v>
      </c>
      <c r="W58" s="2"/>
      <c r="X58" s="6">
        <f t="shared" si="50"/>
        <v>2315.7399999999998</v>
      </c>
      <c r="Y58" s="2"/>
      <c r="Z58" s="7">
        <f t="shared" si="51"/>
        <v>0.75067425637301932</v>
      </c>
    </row>
    <row r="59" spans="1:26" s="29" customFormat="1" outlineLevel="1" collapsed="1" x14ac:dyDescent="0.2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SUM(OSRRefD22_10x_0)</f>
        <v>39.75</v>
      </c>
      <c r="E59" s="1"/>
      <c r="F59" s="5">
        <f t="shared" ref="F59:F62" si="52">IF(D$12=0,0,D59/D$12)</f>
        <v>2.2178441884949959E-4</v>
      </c>
      <c r="G59" s="1"/>
      <c r="H59" s="1">
        <f>SUM(OSRRefH22_10x_0)</f>
        <v>458.78</v>
      </c>
      <c r="I59" s="1"/>
      <c r="J59" s="5">
        <f t="shared" ref="J59:J62" si="53">IF(H$12=0,0,H59/H$12)</f>
        <v>2.5264271783165385E-3</v>
      </c>
      <c r="K59" s="1"/>
      <c r="L59" s="1">
        <f t="shared" ref="L59:L62" si="54">+D59-H59</f>
        <v>-419.03</v>
      </c>
      <c r="M59" s="1"/>
      <c r="N59" s="5">
        <f t="shared" ref="N59:N62" si="55">IF(H59=0,0,L59/H59)</f>
        <v>-0.91335716465408257</v>
      </c>
      <c r="O59" s="14"/>
      <c r="P59" s="1">
        <f>SUM(OSRRefP22_10x_0)</f>
        <v>862.75</v>
      </c>
      <c r="Q59" s="1"/>
      <c r="R59" s="5">
        <f t="shared" ref="R59:R62" si="56">IF(P$12=0,0,P59/P$12)</f>
        <v>2.9356199740161481E-3</v>
      </c>
      <c r="S59" s="1"/>
      <c r="T59" s="1">
        <f>SUM(OSRRefT22_10x_0)</f>
        <v>758.27</v>
      </c>
      <c r="U59" s="1"/>
      <c r="V59" s="5">
        <f t="shared" ref="V59:V62" si="57">IF(T$12=0,0,T59/T$12)</f>
        <v>2.5347025302098819E-3</v>
      </c>
      <c r="W59" s="1"/>
      <c r="X59" s="1">
        <f t="shared" ref="X59:X62" si="58">+P59-T59</f>
        <v>104.48000000000002</v>
      </c>
      <c r="Y59" s="1"/>
      <c r="Z59" s="5">
        <f t="shared" ref="Z59:Z62" si="59">IF(T59=0,0,X59/T59)</f>
        <v>0.13778733168924001</v>
      </c>
    </row>
    <row r="60" spans="1:26" s="24" customFormat="1" hidden="1" outlineLevel="2" x14ac:dyDescent="0.25">
      <c r="A60" s="28"/>
      <c r="B60" s="11" t="str">
        <f>CONCATENATE("          ", "6283", " - ", "PLANT SERVICE")</f>
        <v xml:space="preserve">          6283 - PLANT SERVICE</v>
      </c>
      <c r="C60" s="11"/>
      <c r="D60" s="6">
        <v>39.75</v>
      </c>
      <c r="E60" s="2"/>
      <c r="F60" s="7">
        <f t="shared" si="52"/>
        <v>2.2178441884949959E-4</v>
      </c>
      <c r="G60" s="2"/>
      <c r="H60" s="6">
        <v>30</v>
      </c>
      <c r="I60" s="2"/>
      <c r="J60" s="7">
        <f t="shared" si="53"/>
        <v>1.6520514265987217E-4</v>
      </c>
      <c r="K60" s="2"/>
      <c r="L60" s="6">
        <f t="shared" si="54"/>
        <v>9.75</v>
      </c>
      <c r="M60" s="2"/>
      <c r="N60" s="7">
        <f t="shared" si="55"/>
        <v>0.32500000000000001</v>
      </c>
      <c r="O60" s="11"/>
      <c r="P60" s="6">
        <v>119.25</v>
      </c>
      <c r="Q60" s="2"/>
      <c r="R60" s="7">
        <f t="shared" si="56"/>
        <v>4.0576375763712048E-4</v>
      </c>
      <c r="S60" s="2"/>
      <c r="T60" s="6">
        <v>90</v>
      </c>
      <c r="U60" s="2"/>
      <c r="V60" s="7">
        <f t="shared" si="57"/>
        <v>3.0084696443072963E-4</v>
      </c>
      <c r="W60" s="2"/>
      <c r="X60" s="6">
        <f t="shared" si="58"/>
        <v>29.25</v>
      </c>
      <c r="Y60" s="2"/>
      <c r="Z60" s="7">
        <f t="shared" si="59"/>
        <v>0.32500000000000001</v>
      </c>
    </row>
    <row r="61" spans="1:26" s="24" customFormat="1" hidden="1" outlineLevel="2" x14ac:dyDescent="0.25">
      <c r="A61" s="28"/>
      <c r="B61" s="11" t="str">
        <f>CONCATENATE("          ", "6285", " - ", "JANITORIAL SERVICES")</f>
        <v xml:space="preserve">          6285 - JANITORIAL SERVICES</v>
      </c>
      <c r="C61" s="11"/>
      <c r="D61" s="6"/>
      <c r="E61" s="2"/>
      <c r="F61" s="7">
        <f t="shared" si="52"/>
        <v>0</v>
      </c>
      <c r="G61" s="2"/>
      <c r="H61" s="6"/>
      <c r="I61" s="2"/>
      <c r="J61" s="7">
        <f t="shared" si="53"/>
        <v>0</v>
      </c>
      <c r="K61" s="2"/>
      <c r="L61" s="6">
        <f t="shared" si="54"/>
        <v>0</v>
      </c>
      <c r="M61" s="2"/>
      <c r="N61" s="7">
        <f t="shared" si="55"/>
        <v>0</v>
      </c>
      <c r="O61" s="11"/>
      <c r="P61" s="6">
        <v>350</v>
      </c>
      <c r="Q61" s="2"/>
      <c r="R61" s="7">
        <f t="shared" si="56"/>
        <v>1.1909208819538128E-3</v>
      </c>
      <c r="S61" s="2"/>
      <c r="T61" s="6"/>
      <c r="U61" s="2"/>
      <c r="V61" s="7">
        <f t="shared" si="57"/>
        <v>0</v>
      </c>
      <c r="W61" s="2"/>
      <c r="X61" s="6">
        <f t="shared" si="58"/>
        <v>350</v>
      </c>
      <c r="Y61" s="2"/>
      <c r="Z61" s="7">
        <f t="shared" si="59"/>
        <v>0</v>
      </c>
    </row>
    <row r="62" spans="1:26" s="24" customFormat="1" hidden="1" outlineLevel="2" x14ac:dyDescent="0.25">
      <c r="A62" s="28"/>
      <c r="B62" s="11" t="str">
        <f>CONCATENATE("          ", "6286", " - ", "LAUNDRY EXPENSE")</f>
        <v xml:space="preserve">          6286 - LAUNDRY EXPENSE</v>
      </c>
      <c r="C62" s="11"/>
      <c r="D62" s="6"/>
      <c r="E62" s="2"/>
      <c r="F62" s="7">
        <f t="shared" si="52"/>
        <v>0</v>
      </c>
      <c r="G62" s="2"/>
      <c r="H62" s="6">
        <v>428.78</v>
      </c>
      <c r="I62" s="2"/>
      <c r="J62" s="7">
        <f t="shared" si="53"/>
        <v>2.3612220356566665E-3</v>
      </c>
      <c r="K62" s="2"/>
      <c r="L62" s="6">
        <f t="shared" si="54"/>
        <v>-428.78</v>
      </c>
      <c r="M62" s="2"/>
      <c r="N62" s="7">
        <f t="shared" si="55"/>
        <v>-1</v>
      </c>
      <c r="O62" s="11"/>
      <c r="P62" s="6">
        <v>393.5</v>
      </c>
      <c r="Q62" s="2"/>
      <c r="R62" s="7">
        <f t="shared" si="56"/>
        <v>1.338935334425215E-3</v>
      </c>
      <c r="S62" s="2"/>
      <c r="T62" s="6">
        <v>668.27</v>
      </c>
      <c r="U62" s="2"/>
      <c r="V62" s="7">
        <f t="shared" si="57"/>
        <v>2.2338555657791521E-3</v>
      </c>
      <c r="W62" s="2"/>
      <c r="X62" s="6">
        <f t="shared" si="58"/>
        <v>-274.77</v>
      </c>
      <c r="Y62" s="2"/>
      <c r="Z62" s="7">
        <f t="shared" si="59"/>
        <v>-0.41116614542026425</v>
      </c>
    </row>
    <row r="63" spans="1:26" s="29" customFormat="1" outlineLevel="1" collapsed="1" x14ac:dyDescent="0.25">
      <c r="A63" s="27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SUM(OSRRefD22_11x_0)</f>
        <v>196.71</v>
      </c>
      <c r="E63" s="1"/>
      <c r="F63" s="5">
        <f t="shared" ref="F63:F72" si="60">IF(D$12=0,0,D63/D$12)</f>
        <v>1.0975399504876747E-3</v>
      </c>
      <c r="G63" s="1"/>
      <c r="H63" s="1">
        <f>SUM(OSRRefH22_11x_0)</f>
        <v>193.71</v>
      </c>
      <c r="I63" s="1"/>
      <c r="J63" s="5">
        <f t="shared" ref="J63:J72" si="61">IF(H$12=0,0,H63/H$12)</f>
        <v>1.0667296061547947E-3</v>
      </c>
      <c r="K63" s="1"/>
      <c r="L63" s="1">
        <f t="shared" ref="L63:L72" si="62">+D63-H63</f>
        <v>3</v>
      </c>
      <c r="M63" s="1"/>
      <c r="N63" s="5">
        <f t="shared" ref="N63:N72" si="63">IF(H63=0,0,L63/H63)</f>
        <v>1.5487068297971194E-2</v>
      </c>
      <c r="O63" s="14"/>
      <c r="P63" s="1">
        <f>SUM(OSRRefP22_11x_0)</f>
        <v>590.13</v>
      </c>
      <c r="Q63" s="1"/>
      <c r="R63" s="5">
        <f t="shared" ref="R63:R72" si="64">IF(P$12=0,0,P63/P$12)</f>
        <v>2.0079946859068668E-3</v>
      </c>
      <c r="S63" s="1"/>
      <c r="T63" s="1">
        <f>SUM(OSRRefT22_11x_0)</f>
        <v>161.66999999999999</v>
      </c>
      <c r="U63" s="1"/>
      <c r="V63" s="5">
        <f t="shared" ref="V63:V72" si="65">IF(T$12=0,0,T63/T$12)</f>
        <v>5.4042143043906733E-4</v>
      </c>
      <c r="W63" s="1"/>
      <c r="X63" s="1">
        <f t="shared" ref="X63:X72" si="66">+P63-T63</f>
        <v>428.46000000000004</v>
      </c>
      <c r="Y63" s="1"/>
      <c r="Z63" s="5">
        <f t="shared" ref="Z63:Z72" si="67">IF(T63=0,0,X63/T63)</f>
        <v>2.6502133976619042</v>
      </c>
    </row>
    <row r="64" spans="1:26" s="24" customFormat="1" hidden="1" outlineLevel="2" x14ac:dyDescent="0.25">
      <c r="A64" s="28"/>
      <c r="B64" s="11" t="str">
        <f>CONCATENATE("          ", "6275", " - ", "SUBSCRIPTIONS")</f>
        <v xml:space="preserve">          6275 - SUBSCRIPTIONS</v>
      </c>
      <c r="C64" s="11"/>
      <c r="D64" s="6">
        <v>196.71</v>
      </c>
      <c r="E64" s="2"/>
      <c r="F64" s="7">
        <f t="shared" si="60"/>
        <v>1.0975399504876747E-3</v>
      </c>
      <c r="G64" s="2"/>
      <c r="H64" s="6">
        <v>193.71</v>
      </c>
      <c r="I64" s="2"/>
      <c r="J64" s="7">
        <f t="shared" si="61"/>
        <v>1.0667296061547947E-3</v>
      </c>
      <c r="K64" s="2"/>
      <c r="L64" s="6">
        <f t="shared" si="62"/>
        <v>3</v>
      </c>
      <c r="M64" s="2"/>
      <c r="N64" s="7">
        <f t="shared" si="63"/>
        <v>1.5487068297971194E-2</v>
      </c>
      <c r="O64" s="11"/>
      <c r="P64" s="6">
        <v>590.13</v>
      </c>
      <c r="Q64" s="2"/>
      <c r="R64" s="7">
        <f t="shared" si="64"/>
        <v>2.0079946859068668E-3</v>
      </c>
      <c r="S64" s="2"/>
      <c r="T64" s="6">
        <v>161.66999999999999</v>
      </c>
      <c r="U64" s="2"/>
      <c r="V64" s="7">
        <f t="shared" si="65"/>
        <v>5.4042143043906733E-4</v>
      </c>
      <c r="W64" s="2"/>
      <c r="X64" s="6">
        <f t="shared" si="66"/>
        <v>428.46000000000004</v>
      </c>
      <c r="Y64" s="2"/>
      <c r="Z64" s="7">
        <f t="shared" si="67"/>
        <v>2.6502133976619042</v>
      </c>
    </row>
    <row r="65" spans="1:26" s="29" customFormat="1" outlineLevel="1" collapsed="1" x14ac:dyDescent="0.2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SUM(OSRRefD22_12x_0)</f>
        <v>1414.4199999999998</v>
      </c>
      <c r="E65" s="1"/>
      <c r="F65" s="5">
        <f t="shared" si="60"/>
        <v>7.8917312631222435E-3</v>
      </c>
      <c r="G65" s="1"/>
      <c r="H65" s="1">
        <f>SUM(OSRRefH22_12x_0)</f>
        <v>2307.5199999999995</v>
      </c>
      <c r="I65" s="1"/>
      <c r="J65" s="5">
        <f t="shared" si="61"/>
        <v>1.2707139026350272E-2</v>
      </c>
      <c r="K65" s="1"/>
      <c r="L65" s="1">
        <f t="shared" si="62"/>
        <v>-893.09999999999968</v>
      </c>
      <c r="M65" s="1"/>
      <c r="N65" s="5">
        <f t="shared" si="63"/>
        <v>-0.38703889890445148</v>
      </c>
      <c r="O65" s="14"/>
      <c r="P65" s="1">
        <f>SUM(OSRRefP22_12x_0)</f>
        <v>4671.8599999999997</v>
      </c>
      <c r="Q65" s="1"/>
      <c r="R65" s="5">
        <f t="shared" si="64"/>
        <v>1.5896616090184969E-2</v>
      </c>
      <c r="S65" s="1"/>
      <c r="T65" s="1">
        <f>SUM(OSRRefT22_12x_0)</f>
        <v>7242.4800000000005</v>
      </c>
      <c r="U65" s="1"/>
      <c r="V65" s="5">
        <f t="shared" si="65"/>
        <v>2.4209756921669677E-2</v>
      </c>
      <c r="W65" s="1"/>
      <c r="X65" s="1">
        <f t="shared" si="66"/>
        <v>-2570.6200000000008</v>
      </c>
      <c r="Y65" s="1"/>
      <c r="Z65" s="5">
        <f t="shared" si="67"/>
        <v>-0.35493643061492758</v>
      </c>
    </row>
    <row r="66" spans="1:26" s="24" customFormat="1" hidden="1" outlineLevel="2" x14ac:dyDescent="0.25">
      <c r="A66" s="28"/>
      <c r="B66" s="11" t="str">
        <f>CONCATENATE("          ", "6237", " - ", "JANITORIAL SUPPLIES")</f>
        <v xml:space="preserve">          6237 - JANITORIAL SUPPLIES</v>
      </c>
      <c r="C66" s="11"/>
      <c r="D66" s="6"/>
      <c r="E66" s="2"/>
      <c r="F66" s="7">
        <f t="shared" si="60"/>
        <v>0</v>
      </c>
      <c r="G66" s="2"/>
      <c r="H66" s="6">
        <v>716.77</v>
      </c>
      <c r="I66" s="2"/>
      <c r="J66" s="7">
        <f t="shared" si="61"/>
        <v>3.9471363368105529E-3</v>
      </c>
      <c r="K66" s="2"/>
      <c r="L66" s="6">
        <f t="shared" si="62"/>
        <v>-716.77</v>
      </c>
      <c r="M66" s="2"/>
      <c r="N66" s="7">
        <f t="shared" si="63"/>
        <v>-1</v>
      </c>
      <c r="O66" s="11"/>
      <c r="P66" s="6"/>
      <c r="Q66" s="2"/>
      <c r="R66" s="7">
        <f t="shared" si="64"/>
        <v>0</v>
      </c>
      <c r="S66" s="2"/>
      <c r="T66" s="6">
        <v>2546.81</v>
      </c>
      <c r="U66" s="2"/>
      <c r="V66" s="7">
        <f t="shared" si="65"/>
        <v>8.5133339720202955E-3</v>
      </c>
      <c r="W66" s="2"/>
      <c r="X66" s="6">
        <f t="shared" si="66"/>
        <v>-2546.81</v>
      </c>
      <c r="Y66" s="2"/>
      <c r="Z66" s="7">
        <f t="shared" si="67"/>
        <v>-1</v>
      </c>
    </row>
    <row r="67" spans="1:26" s="24" customFormat="1" hidden="1" outlineLevel="2" x14ac:dyDescent="0.25">
      <c r="A67" s="28"/>
      <c r="B67" s="11" t="str">
        <f>CONCATENATE("          ", "6239", " - ", "KITCHEN SUPPLIES")</f>
        <v xml:space="preserve">          6239 - KITCHEN SUPPLIES</v>
      </c>
      <c r="C67" s="11"/>
      <c r="D67" s="6">
        <v>363.54</v>
      </c>
      <c r="E67" s="2"/>
      <c r="F67" s="7">
        <f t="shared" si="60"/>
        <v>2.028364971787348E-3</v>
      </c>
      <c r="G67" s="2"/>
      <c r="H67" s="6">
        <v>90.9</v>
      </c>
      <c r="I67" s="2"/>
      <c r="J67" s="7">
        <f t="shared" si="61"/>
        <v>5.0057158225941278E-4</v>
      </c>
      <c r="K67" s="2"/>
      <c r="L67" s="6">
        <f t="shared" si="62"/>
        <v>272.64</v>
      </c>
      <c r="M67" s="2"/>
      <c r="N67" s="7">
        <f t="shared" si="63"/>
        <v>2.999339933993399</v>
      </c>
      <c r="O67" s="11"/>
      <c r="P67" s="6">
        <v>363.54</v>
      </c>
      <c r="Q67" s="2"/>
      <c r="R67" s="7">
        <f t="shared" si="64"/>
        <v>1.2369925069299688E-3</v>
      </c>
      <c r="S67" s="2"/>
      <c r="T67" s="6">
        <v>90.9</v>
      </c>
      <c r="U67" s="2"/>
      <c r="V67" s="7">
        <f t="shared" si="65"/>
        <v>3.0385543407503694E-4</v>
      </c>
      <c r="W67" s="2"/>
      <c r="X67" s="6">
        <f t="shared" si="66"/>
        <v>272.64</v>
      </c>
      <c r="Y67" s="2"/>
      <c r="Z67" s="7">
        <f t="shared" si="67"/>
        <v>2.999339933993399</v>
      </c>
    </row>
    <row r="68" spans="1:26" s="24" customFormat="1" hidden="1" outlineLevel="2" x14ac:dyDescent="0.25">
      <c r="A68" s="28"/>
      <c r="B68" s="11" t="str">
        <f>CONCATENATE("          ", "6241", " - ", "OFFICE EXPENSE")</f>
        <v xml:space="preserve">          6241 - OFFICE EXPENSE</v>
      </c>
      <c r="C68" s="11"/>
      <c r="D68" s="6">
        <v>65.31</v>
      </c>
      <c r="E68" s="2"/>
      <c r="F68" s="7">
        <f t="shared" si="60"/>
        <v>3.6439598478140426E-4</v>
      </c>
      <c r="G68" s="2"/>
      <c r="H68" s="6">
        <v>344.76</v>
      </c>
      <c r="I68" s="2"/>
      <c r="J68" s="7">
        <f t="shared" si="61"/>
        <v>1.898537499447251E-3</v>
      </c>
      <c r="K68" s="2"/>
      <c r="L68" s="6">
        <f t="shared" si="62"/>
        <v>-279.45</v>
      </c>
      <c r="M68" s="2"/>
      <c r="N68" s="7">
        <f t="shared" si="63"/>
        <v>-0.81056387051862167</v>
      </c>
      <c r="O68" s="11"/>
      <c r="P68" s="6">
        <v>1468.9</v>
      </c>
      <c r="Q68" s="2"/>
      <c r="R68" s="7">
        <f t="shared" si="64"/>
        <v>4.9981248100055874E-3</v>
      </c>
      <c r="S68" s="2"/>
      <c r="T68" s="6">
        <v>696.57</v>
      </c>
      <c r="U68" s="2"/>
      <c r="V68" s="7">
        <f t="shared" si="65"/>
        <v>2.3284552223723706E-3</v>
      </c>
      <c r="W68" s="2"/>
      <c r="X68" s="6">
        <f t="shared" si="66"/>
        <v>772.33</v>
      </c>
      <c r="Y68" s="2"/>
      <c r="Z68" s="7">
        <f t="shared" si="67"/>
        <v>1.1087615027922535</v>
      </c>
    </row>
    <row r="69" spans="1:26" s="24" customFormat="1" hidden="1" outlineLevel="2" x14ac:dyDescent="0.25">
      <c r="A69" s="28"/>
      <c r="B69" s="11" t="str">
        <f>CONCATENATE("          ", "6243", " - ", "PAPER SUPPLIES")</f>
        <v xml:space="preserve">          6243 - PAPER SUPPLIES</v>
      </c>
      <c r="C69" s="11"/>
      <c r="D69" s="6">
        <v>963.52</v>
      </c>
      <c r="E69" s="2"/>
      <c r="F69" s="7">
        <f t="shared" si="60"/>
        <v>5.3759427232671657E-3</v>
      </c>
      <c r="G69" s="2"/>
      <c r="H69" s="6">
        <v>1155.0899999999999</v>
      </c>
      <c r="I69" s="2"/>
      <c r="J69" s="7">
        <f t="shared" si="61"/>
        <v>6.3608936078330585E-3</v>
      </c>
      <c r="K69" s="2"/>
      <c r="L69" s="6">
        <f t="shared" si="62"/>
        <v>-191.56999999999994</v>
      </c>
      <c r="M69" s="2"/>
      <c r="N69" s="7">
        <f t="shared" si="63"/>
        <v>-0.16584854859794471</v>
      </c>
      <c r="O69" s="11"/>
      <c r="P69" s="6">
        <v>1523.93</v>
      </c>
      <c r="Q69" s="2"/>
      <c r="R69" s="7">
        <f t="shared" si="64"/>
        <v>5.1853715989596391E-3</v>
      </c>
      <c r="S69" s="2"/>
      <c r="T69" s="6">
        <v>2205.27</v>
      </c>
      <c r="U69" s="2"/>
      <c r="V69" s="7">
        <f t="shared" si="65"/>
        <v>7.3716531694461686E-3</v>
      </c>
      <c r="W69" s="2"/>
      <c r="X69" s="6">
        <f t="shared" si="66"/>
        <v>-681.33999999999992</v>
      </c>
      <c r="Y69" s="2"/>
      <c r="Z69" s="7">
        <f t="shared" si="67"/>
        <v>-0.30895990060174033</v>
      </c>
    </row>
    <row r="70" spans="1:26" s="24" customFormat="1" hidden="1" outlineLevel="2" x14ac:dyDescent="0.25">
      <c r="A70" s="28"/>
      <c r="B70" s="11" t="str">
        <f>CONCATENATE("          ", "6245", " - ", "PRINTING")</f>
        <v xml:space="preserve">          6245 - PRINTING</v>
      </c>
      <c r="C70" s="11"/>
      <c r="D70" s="6">
        <v>22.05</v>
      </c>
      <c r="E70" s="2"/>
      <c r="F70" s="7">
        <f t="shared" si="60"/>
        <v>1.2302758328632619E-4</v>
      </c>
      <c r="G70" s="2"/>
      <c r="H70" s="6"/>
      <c r="I70" s="2"/>
      <c r="J70" s="7">
        <f t="shared" si="61"/>
        <v>0</v>
      </c>
      <c r="K70" s="2"/>
      <c r="L70" s="6">
        <f t="shared" si="62"/>
        <v>22.05</v>
      </c>
      <c r="M70" s="2"/>
      <c r="N70" s="7">
        <f t="shared" si="63"/>
        <v>0</v>
      </c>
      <c r="O70" s="11"/>
      <c r="P70" s="6">
        <v>22.05</v>
      </c>
      <c r="Q70" s="2"/>
      <c r="R70" s="7">
        <f t="shared" si="64"/>
        <v>7.5028015563090205E-5</v>
      </c>
      <c r="S70" s="2"/>
      <c r="T70" s="6"/>
      <c r="U70" s="2"/>
      <c r="V70" s="7">
        <f t="shared" si="65"/>
        <v>0</v>
      </c>
      <c r="W70" s="2"/>
      <c r="X70" s="6">
        <f t="shared" si="66"/>
        <v>22.05</v>
      </c>
      <c r="Y70" s="2"/>
      <c r="Z70" s="7">
        <f t="shared" si="67"/>
        <v>0</v>
      </c>
    </row>
    <row r="71" spans="1:26" s="24" customFormat="1" hidden="1" outlineLevel="2" x14ac:dyDescent="0.25">
      <c r="A71" s="28"/>
      <c r="B71" s="11" t="str">
        <f>CONCATENATE("          ", "6247", " - ", "STORE SUPPLIES")</f>
        <v xml:space="preserve">          6247 - STORE SUPPLIES</v>
      </c>
      <c r="C71" s="11"/>
      <c r="D71" s="6"/>
      <c r="E71" s="2"/>
      <c r="F71" s="7">
        <f t="shared" si="60"/>
        <v>0</v>
      </c>
      <c r="G71" s="2"/>
      <c r="H71" s="6"/>
      <c r="I71" s="2"/>
      <c r="J71" s="7">
        <f t="shared" si="61"/>
        <v>0</v>
      </c>
      <c r="K71" s="2"/>
      <c r="L71" s="6">
        <f t="shared" si="62"/>
        <v>0</v>
      </c>
      <c r="M71" s="2"/>
      <c r="N71" s="7">
        <f t="shared" si="63"/>
        <v>0</v>
      </c>
      <c r="O71" s="11"/>
      <c r="P71" s="6">
        <v>513.20000000000005</v>
      </c>
      <c r="Q71" s="2"/>
      <c r="R71" s="7">
        <f t="shared" si="64"/>
        <v>1.7462302760534191E-3</v>
      </c>
      <c r="S71" s="2"/>
      <c r="T71" s="6">
        <v>957.6</v>
      </c>
      <c r="U71" s="2"/>
      <c r="V71" s="7">
        <f t="shared" si="65"/>
        <v>3.2010117015429636E-3</v>
      </c>
      <c r="W71" s="2"/>
      <c r="X71" s="6">
        <f t="shared" si="66"/>
        <v>-444.4</v>
      </c>
      <c r="Y71" s="2"/>
      <c r="Z71" s="7">
        <f t="shared" si="67"/>
        <v>-0.46407685881370087</v>
      </c>
    </row>
    <row r="72" spans="1:26" s="24" customFormat="1" hidden="1" outlineLevel="2" x14ac:dyDescent="0.25">
      <c r="A72" s="28"/>
      <c r="B72" s="11" t="str">
        <f>CONCATENATE("          ", "6248", " - ", "UNIFORMS")</f>
        <v xml:space="preserve">          6248 - UNIFORMS</v>
      </c>
      <c r="C72" s="11"/>
      <c r="D72" s="6"/>
      <c r="E72" s="2"/>
      <c r="F72" s="7">
        <f t="shared" si="60"/>
        <v>0</v>
      </c>
      <c r="G72" s="2"/>
      <c r="H72" s="6"/>
      <c r="I72" s="2"/>
      <c r="J72" s="7">
        <f t="shared" si="61"/>
        <v>0</v>
      </c>
      <c r="K72" s="2"/>
      <c r="L72" s="6">
        <f t="shared" si="62"/>
        <v>0</v>
      </c>
      <c r="M72" s="2"/>
      <c r="N72" s="7">
        <f t="shared" si="63"/>
        <v>0</v>
      </c>
      <c r="O72" s="11"/>
      <c r="P72" s="6">
        <v>780.24</v>
      </c>
      <c r="Q72" s="2"/>
      <c r="R72" s="7">
        <f t="shared" si="64"/>
        <v>2.6548688826732651E-3</v>
      </c>
      <c r="S72" s="2"/>
      <c r="T72" s="6">
        <v>745.33</v>
      </c>
      <c r="U72" s="2"/>
      <c r="V72" s="7">
        <f t="shared" si="65"/>
        <v>2.4914474222128414E-3</v>
      </c>
      <c r="W72" s="2"/>
      <c r="X72" s="6">
        <f t="shared" si="66"/>
        <v>34.909999999999968</v>
      </c>
      <c r="Y72" s="2"/>
      <c r="Z72" s="7">
        <f t="shared" si="67"/>
        <v>4.683831323038113E-2</v>
      </c>
    </row>
    <row r="73" spans="1:26" s="29" customFormat="1" outlineLevel="1" collapsed="1" x14ac:dyDescent="0.25">
      <c r="A73" s="27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SUM(OSRRefD22_13x_0)</f>
        <v>160</v>
      </c>
      <c r="E73" s="1"/>
      <c r="F73" s="5">
        <f t="shared" ref="F73:F76" si="68">IF(D$12=0,0,D73/D$12)</f>
        <v>8.9271715763320598E-4</v>
      </c>
      <c r="G73" s="1"/>
      <c r="H73" s="1">
        <f>SUM(OSRRefH22_13x_0)</f>
        <v>160</v>
      </c>
      <c r="I73" s="1"/>
      <c r="J73" s="5">
        <f t="shared" ref="J73:J76" si="69">IF(H$12=0,0,H73/H$12)</f>
        <v>8.8109409418598498E-4</v>
      </c>
      <c r="K73" s="1"/>
      <c r="L73" s="1">
        <f t="shared" ref="L73:L76" si="70">+D73-H73</f>
        <v>0</v>
      </c>
      <c r="M73" s="1"/>
      <c r="N73" s="5">
        <f t="shared" ref="N73:N76" si="71">IF(H73=0,0,L73/H73)</f>
        <v>0</v>
      </c>
      <c r="O73" s="14"/>
      <c r="P73" s="1">
        <f>SUM(OSRRefP22_13x_0)</f>
        <v>381.9</v>
      </c>
      <c r="Q73" s="1"/>
      <c r="R73" s="5">
        <f t="shared" ref="R73:R76" si="72">IF(P$12=0,0,P73/P$12)</f>
        <v>1.2994648137661744E-3</v>
      </c>
      <c r="S73" s="1"/>
      <c r="T73" s="1">
        <f>SUM(OSRRefT22_13x_0)</f>
        <v>478.45</v>
      </c>
      <c r="U73" s="1"/>
      <c r="V73" s="5">
        <f t="shared" ref="V73:V76" si="73">IF(T$12=0,0,T73/T$12)</f>
        <v>1.599335890354251E-3</v>
      </c>
      <c r="W73" s="1"/>
      <c r="X73" s="1">
        <f t="shared" ref="X73:X76" si="74">+P73-T73</f>
        <v>-96.550000000000011</v>
      </c>
      <c r="Y73" s="1"/>
      <c r="Z73" s="5">
        <f t="shared" ref="Z73:Z76" si="75">IF(T73=0,0,X73/T73)</f>
        <v>-0.20179747100010453</v>
      </c>
    </row>
    <row r="74" spans="1:26" s="24" customFormat="1" hidden="1" outlineLevel="2" x14ac:dyDescent="0.25">
      <c r="A74" s="28"/>
      <c r="B74" s="11" t="str">
        <f>CONCATENATE("          ", "6309", " - ", "TELEPHONE")</f>
        <v xml:space="preserve">          6309 - TELEPHONE</v>
      </c>
      <c r="C74" s="11"/>
      <c r="D74" s="6">
        <v>160</v>
      </c>
      <c r="E74" s="2"/>
      <c r="F74" s="7">
        <f t="shared" si="68"/>
        <v>8.9271715763320598E-4</v>
      </c>
      <c r="G74" s="2"/>
      <c r="H74" s="6">
        <v>160</v>
      </c>
      <c r="I74" s="2"/>
      <c r="J74" s="7">
        <f t="shared" si="69"/>
        <v>8.8109409418598498E-4</v>
      </c>
      <c r="K74" s="2"/>
      <c r="L74" s="6">
        <f t="shared" si="70"/>
        <v>0</v>
      </c>
      <c r="M74" s="2"/>
      <c r="N74" s="7">
        <f t="shared" si="71"/>
        <v>0</v>
      </c>
      <c r="O74" s="11"/>
      <c r="P74" s="6">
        <v>381.9</v>
      </c>
      <c r="Q74" s="2"/>
      <c r="R74" s="7">
        <f t="shared" si="72"/>
        <v>1.2994648137661744E-3</v>
      </c>
      <c r="S74" s="2"/>
      <c r="T74" s="6">
        <v>478.45</v>
      </c>
      <c r="U74" s="2"/>
      <c r="V74" s="7">
        <f t="shared" si="73"/>
        <v>1.599335890354251E-3</v>
      </c>
      <c r="W74" s="2"/>
      <c r="X74" s="6">
        <f t="shared" si="74"/>
        <v>-96.550000000000011</v>
      </c>
      <c r="Y74" s="2"/>
      <c r="Z74" s="7">
        <f t="shared" si="75"/>
        <v>-0.20179747100010453</v>
      </c>
    </row>
    <row r="75" spans="1:26" s="29" customFormat="1" outlineLevel="1" collapsed="1" x14ac:dyDescent="0.25">
      <c r="A75" s="27"/>
      <c r="B75" s="14" t="str">
        <f>CONCATENATE("     ","Training                                          ")</f>
        <v xml:space="preserve">     Training                                          </v>
      </c>
      <c r="C75" s="14"/>
      <c r="D75" s="1">
        <f>SUM(OSRRefD22_14x_0)</f>
        <v>0</v>
      </c>
      <c r="E75" s="1"/>
      <c r="F75" s="5">
        <f t="shared" si="68"/>
        <v>0</v>
      </c>
      <c r="G75" s="1"/>
      <c r="H75" s="1">
        <f>SUM(OSRRefH22_14x_0)</f>
        <v>80</v>
      </c>
      <c r="I75" s="1"/>
      <c r="J75" s="5">
        <f t="shared" si="69"/>
        <v>4.4054704709299249E-4</v>
      </c>
      <c r="K75" s="1"/>
      <c r="L75" s="1">
        <f t="shared" si="70"/>
        <v>-80</v>
      </c>
      <c r="M75" s="1"/>
      <c r="N75" s="5">
        <f t="shared" si="71"/>
        <v>-1</v>
      </c>
      <c r="O75" s="14"/>
      <c r="P75" s="1">
        <f>SUM(OSRRefP22_14x_0)</f>
        <v>85</v>
      </c>
      <c r="Q75" s="1"/>
      <c r="R75" s="5">
        <f t="shared" si="72"/>
        <v>2.8922364276021167E-4</v>
      </c>
      <c r="S75" s="1"/>
      <c r="T75" s="1">
        <f>SUM(OSRRefT22_14x_0)</f>
        <v>80</v>
      </c>
      <c r="U75" s="1"/>
      <c r="V75" s="5">
        <f t="shared" si="73"/>
        <v>2.6741952393842636E-4</v>
      </c>
      <c r="W75" s="1"/>
      <c r="X75" s="1">
        <f t="shared" si="74"/>
        <v>5</v>
      </c>
      <c r="Y75" s="1"/>
      <c r="Z75" s="5">
        <f t="shared" si="75"/>
        <v>6.25E-2</v>
      </c>
    </row>
    <row r="76" spans="1:26" s="24" customFormat="1" hidden="1" outlineLevel="2" x14ac:dyDescent="0.25">
      <c r="A76" s="28"/>
      <c r="B76" s="11" t="str">
        <f>CONCATENATE("          ", "6376", " - ", "TRAINING")</f>
        <v xml:space="preserve">          6376 - TRAINING</v>
      </c>
      <c r="C76" s="11"/>
      <c r="D76" s="6"/>
      <c r="E76" s="2"/>
      <c r="F76" s="7">
        <f t="shared" si="68"/>
        <v>0</v>
      </c>
      <c r="G76" s="2"/>
      <c r="H76" s="6">
        <v>80</v>
      </c>
      <c r="I76" s="2"/>
      <c r="J76" s="7">
        <f t="shared" si="69"/>
        <v>4.4054704709299249E-4</v>
      </c>
      <c r="K76" s="2"/>
      <c r="L76" s="6">
        <f t="shared" si="70"/>
        <v>-80</v>
      </c>
      <c r="M76" s="2"/>
      <c r="N76" s="7">
        <f t="shared" si="71"/>
        <v>-1</v>
      </c>
      <c r="O76" s="11"/>
      <c r="P76" s="6">
        <v>85</v>
      </c>
      <c r="Q76" s="2"/>
      <c r="R76" s="7">
        <f t="shared" si="72"/>
        <v>2.8922364276021167E-4</v>
      </c>
      <c r="S76" s="2"/>
      <c r="T76" s="6">
        <v>80</v>
      </c>
      <c r="U76" s="2"/>
      <c r="V76" s="7">
        <f t="shared" si="73"/>
        <v>2.6741952393842636E-4</v>
      </c>
      <c r="W76" s="2"/>
      <c r="X76" s="6">
        <f t="shared" si="74"/>
        <v>5</v>
      </c>
      <c r="Y76" s="2"/>
      <c r="Z76" s="7">
        <f t="shared" si="75"/>
        <v>6.25E-2</v>
      </c>
    </row>
    <row r="77" spans="1:26" s="53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collapsed="1" x14ac:dyDescent="0.25">
      <c r="A78" s="10"/>
      <c r="B78" s="25" t="s">
        <v>0</v>
      </c>
      <c r="C78" s="10"/>
      <c r="D78" s="4">
        <f>SUM(OSRRefD25x_0)</f>
        <v>0</v>
      </c>
      <c r="E78" s="4"/>
      <c r="F78" s="12">
        <f t="shared" ref="F78:F79" si="76">IF(D$12=0,0,D78/D$12)</f>
        <v>0</v>
      </c>
      <c r="G78" s="4"/>
      <c r="H78" s="4">
        <f>SUM(OSRRefH25x_0)</f>
        <v>258</v>
      </c>
      <c r="I78" s="4"/>
      <c r="J78" s="12">
        <f t="shared" ref="J78:J79" si="77">IF(H$12=0,0,H78/H$12)</f>
        <v>1.4207642268749007E-3</v>
      </c>
      <c r="K78" s="4"/>
      <c r="L78" s="4">
        <f t="shared" ref="L78:L79" si="78">+D78-H78</f>
        <v>-258</v>
      </c>
      <c r="M78" s="4"/>
      <c r="N78" s="12">
        <f t="shared" ref="N78:N79" si="79">IF(H78=0,0,L78/H78)</f>
        <v>-1</v>
      </c>
      <c r="O78" s="10"/>
      <c r="P78" s="4">
        <f>SUM(OSRRefP25x_0)</f>
        <v>0</v>
      </c>
      <c r="Q78" s="4"/>
      <c r="R78" s="12">
        <f t="shared" ref="R78:R79" si="80">IF(P$12=0,0,P78/P$12)</f>
        <v>0</v>
      </c>
      <c r="S78" s="4"/>
      <c r="T78" s="4">
        <f>SUM(OSRRefT25x_0)</f>
        <v>258</v>
      </c>
      <c r="U78" s="4"/>
      <c r="V78" s="12">
        <f t="shared" ref="V78:V79" si="81">IF(T$12=0,0,T78/T$12)</f>
        <v>8.62427964701425E-4</v>
      </c>
      <c r="W78" s="4"/>
      <c r="X78" s="4">
        <f t="shared" ref="X78:X79" si="82">+P78-T78</f>
        <v>-258</v>
      </c>
      <c r="Y78" s="4"/>
      <c r="Z78" s="12">
        <f t="shared" ref="Z78:Z79" si="83">IF(T78=0,0,X78/T78)</f>
        <v>-1</v>
      </c>
    </row>
    <row r="79" spans="1:26" s="24" customFormat="1" hidden="1" outlineLevel="1" x14ac:dyDescent="0.25">
      <c r="A79" s="44"/>
      <c r="B79" s="11" t="str">
        <f>CONCATENATE("          ", "9150", " - ", "MISC. INCOME")</f>
        <v xml:space="preserve">          9150 - MISC. INCOME</v>
      </c>
      <c r="C79" s="11"/>
      <c r="D79" s="2">
        <f>0</f>
        <v>0</v>
      </c>
      <c r="E79" s="2"/>
      <c r="F79" s="19">
        <f t="shared" si="76"/>
        <v>0</v>
      </c>
      <c r="G79" s="2"/>
      <c r="H79" s="2">
        <f>--258</f>
        <v>258</v>
      </c>
      <c r="I79" s="2"/>
      <c r="J79" s="19">
        <f t="shared" si="77"/>
        <v>1.4207642268749007E-3</v>
      </c>
      <c r="K79" s="2"/>
      <c r="L79" s="2">
        <f t="shared" si="78"/>
        <v>-258</v>
      </c>
      <c r="M79" s="2"/>
      <c r="N79" s="19">
        <f t="shared" si="79"/>
        <v>-1</v>
      </c>
      <c r="O79" s="11"/>
      <c r="P79" s="2">
        <f>0</f>
        <v>0</v>
      </c>
      <c r="Q79" s="2"/>
      <c r="R79" s="19">
        <f t="shared" si="80"/>
        <v>0</v>
      </c>
      <c r="S79" s="2"/>
      <c r="T79" s="2">
        <f>--258</f>
        <v>258</v>
      </c>
      <c r="U79" s="2"/>
      <c r="V79" s="19">
        <f t="shared" si="81"/>
        <v>8.62427964701425E-4</v>
      </c>
      <c r="W79" s="2"/>
      <c r="X79" s="2">
        <f t="shared" si="82"/>
        <v>-258</v>
      </c>
      <c r="Y79" s="2"/>
      <c r="Z79" s="19">
        <f t="shared" si="83"/>
        <v>-1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6" t="s">
        <v>3</v>
      </c>
      <c r="C81" s="26"/>
      <c r="D81" s="21">
        <f>+D20-D22+D78</f>
        <v>37443.199999999983</v>
      </c>
      <c r="E81" s="13"/>
      <c r="F81" s="20">
        <f>IF(D$12=0,0,D81/D$12)</f>
        <v>0.20891366922932275</v>
      </c>
      <c r="G81" s="13"/>
      <c r="H81" s="21">
        <f>+H20-H22+H78</f>
        <v>59895.67</v>
      </c>
      <c r="I81" s="13"/>
      <c r="J81" s="20">
        <f>IF(H$12=0,0,H81/H$12)</f>
        <v>0.32983575690195421</v>
      </c>
      <c r="K81" s="15"/>
      <c r="L81" s="21">
        <f>+D81-H81</f>
        <v>-22452.470000000016</v>
      </c>
      <c r="M81" s="15"/>
      <c r="N81" s="20">
        <f>IF(H81=0,0,L81/H81)</f>
        <v>-0.37485965179118985</v>
      </c>
      <c r="O81" s="25"/>
      <c r="P81" s="21">
        <f>+P20-P22+P78</f>
        <v>31168.010000000009</v>
      </c>
      <c r="Q81" s="13"/>
      <c r="R81" s="20">
        <f>IF(P$12=0,0,P81/P$12)</f>
        <v>0.10605323987984361</v>
      </c>
      <c r="S81" s="13"/>
      <c r="T81" s="21">
        <f>+T20-T22+T78</f>
        <v>51543.74000000002</v>
      </c>
      <c r="U81" s="13"/>
      <c r="V81" s="20">
        <f>IF(T$12=0,0,T81/T$12)</f>
        <v>0.17229753016007537</v>
      </c>
      <c r="W81" s="15"/>
      <c r="X81" s="21">
        <f>+P81-T81</f>
        <v>-20375.73000000001</v>
      </c>
      <c r="Y81" s="15"/>
      <c r="Z81" s="20">
        <f>IF(T81=0,0,X81/T81)</f>
        <v>-0.39530949830183071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1"/>
      <c r="B83" s="10" t="s">
        <v>13</v>
      </c>
      <c r="C83" s="10"/>
      <c r="D83" s="4">
        <v>17271.43</v>
      </c>
      <c r="E83" s="4"/>
      <c r="F83" s="12">
        <f>IF(D$12=0,0,D83/D$12)</f>
        <v>9.6365636861630508E-2</v>
      </c>
      <c r="G83" s="4"/>
      <c r="H83" s="4">
        <v>14576.46</v>
      </c>
      <c r="I83" s="4"/>
      <c r="J83" s="12">
        <f>IF(H$12=0,0,H83/H$12)</f>
        <v>8.0270205125864011E-2</v>
      </c>
      <c r="K83" s="4"/>
      <c r="L83" s="4">
        <f>+D83-H83</f>
        <v>2694.9700000000012</v>
      </c>
      <c r="M83" s="4"/>
      <c r="N83" s="12">
        <f>IF(H83=0,0,L83/H83)</f>
        <v>0.18488508183742838</v>
      </c>
      <c r="O83" s="10"/>
      <c r="P83" s="4">
        <v>31567.699999999997</v>
      </c>
      <c r="Q83" s="4"/>
      <c r="R83" s="12">
        <f>IF(P$12=0,0,P83/P$12)</f>
        <v>0.10741323750072392</v>
      </c>
      <c r="S83" s="4"/>
      <c r="T83" s="4">
        <v>26579.09</v>
      </c>
      <c r="U83" s="4"/>
      <c r="V83" s="12">
        <f>IF(T$12=0,0,T83/T$12)</f>
        <v>8.8847094931457357E-2</v>
      </c>
      <c r="W83" s="4"/>
      <c r="X83" s="4">
        <f>+P83-T83</f>
        <v>4988.6099999999969</v>
      </c>
      <c r="Y83" s="4"/>
      <c r="Z83" s="12">
        <f>IF(T83=0,0,X83/T83)</f>
        <v>0.18768927002391719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6" t="s">
        <v>4</v>
      </c>
      <c r="C85" s="26"/>
      <c r="D85" s="35">
        <f>+D81-D83</f>
        <v>20171.769999999982</v>
      </c>
      <c r="E85" s="13"/>
      <c r="F85" s="30">
        <f>IF(D$12=0,0,D85/D$12)</f>
        <v>0.11254803236769224</v>
      </c>
      <c r="G85" s="13"/>
      <c r="H85" s="35">
        <f>+H81-H83</f>
        <v>45319.21</v>
      </c>
      <c r="I85" s="13"/>
      <c r="J85" s="30">
        <f>IF(H$12=0,0,H85/H$12)</f>
        <v>0.24956555177609019</v>
      </c>
      <c r="K85" s="15"/>
      <c r="L85" s="35">
        <f>D85-H85</f>
        <v>-25147.440000000017</v>
      </c>
      <c r="M85" s="15"/>
      <c r="N85" s="30">
        <f>IF(H85=0,0,L85/H85)</f>
        <v>-0.55489581570376045</v>
      </c>
      <c r="O85" s="25"/>
      <c r="P85" s="35">
        <f>+P81-P83</f>
        <v>-399.68999999998778</v>
      </c>
      <c r="Q85" s="13"/>
      <c r="R85" s="30">
        <f>IF(P$12=0,0,P85/P$12)</f>
        <v>-1.3599976208802996E-3</v>
      </c>
      <c r="S85" s="13"/>
      <c r="T85" s="35">
        <f>+T81-T83</f>
        <v>24964.65000000002</v>
      </c>
      <c r="U85" s="13"/>
      <c r="V85" s="30">
        <f>IF(T$12=0,0,T85/T$12)</f>
        <v>8.3450435228618003E-2</v>
      </c>
      <c r="W85" s="15"/>
      <c r="X85" s="35">
        <f>P85-T85</f>
        <v>-25364.340000000007</v>
      </c>
      <c r="Y85" s="15"/>
      <c r="Z85" s="30">
        <f>IF(T85=0,0,X85/T85)</f>
        <v>-1.0160102384772063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6" t="s">
        <v>5</v>
      </c>
      <c r="C88" s="26"/>
      <c r="D88" s="36">
        <f>SUM(D85:D87)</f>
        <v>20171.769999999982</v>
      </c>
      <c r="E88" s="13"/>
      <c r="F88" s="31">
        <f>IF(D$12=0,0,D88/D$12)</f>
        <v>0.11254803236769224</v>
      </c>
      <c r="G88" s="13"/>
      <c r="H88" s="36">
        <f>SUM(H85:H87)</f>
        <v>45319.21</v>
      </c>
      <c r="I88" s="13"/>
      <c r="J88" s="31">
        <f>IF(H$12=0,0,H88/H$12)</f>
        <v>0.24956555177609019</v>
      </c>
      <c r="K88" s="15"/>
      <c r="L88" s="36">
        <f>+D88-H88</f>
        <v>-25147.440000000017</v>
      </c>
      <c r="M88" s="15"/>
      <c r="N88" s="31">
        <f>IF(H88=0,0,L88/H88)</f>
        <v>-0.55489581570376045</v>
      </c>
      <c r="O88" s="25"/>
      <c r="P88" s="36">
        <f>SUM(P85:P87)</f>
        <v>-399.68999999998778</v>
      </c>
      <c r="Q88" s="13"/>
      <c r="R88" s="31">
        <f>IF(P$12=0,0,P88/P$12)</f>
        <v>-1.3599976208802996E-3</v>
      </c>
      <c r="S88" s="13"/>
      <c r="T88" s="36">
        <f>SUM(T85:T87)</f>
        <v>24964.65000000002</v>
      </c>
      <c r="U88" s="13"/>
      <c r="V88" s="31">
        <f>IF(T$12=0,0,T88/T$12)</f>
        <v>8.3450435228618003E-2</v>
      </c>
      <c r="W88" s="15"/>
      <c r="X88" s="36">
        <f>+P88-T88</f>
        <v>-25364.340000000007</v>
      </c>
      <c r="Y88" s="15"/>
      <c r="Z88" s="31">
        <f>IF(T88=0,0,X88/T88)</f>
        <v>-1.0160102384772063</v>
      </c>
    </row>
    <row r="89" spans="1:26" ht="15.75" thickTop="1" x14ac:dyDescent="0.25">
      <c r="A89" s="9"/>
      <c r="C89" s="9"/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5">
        <v>43756.4634184838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6" t="s">
        <v>313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7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","420", " - ", "Catering")</f>
        <v>Department 420 - Catering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8047.21</v>
      </c>
      <c r="E18" s="22"/>
      <c r="F18" s="34">
        <f t="shared" ref="F18:F21" si="0">IF(D$12=0,0,D18/D$12)</f>
        <v>0</v>
      </c>
      <c r="G18" s="22"/>
      <c r="H18" s="22">
        <f>SUM(OSRRefH22x_0)</f>
        <v>0</v>
      </c>
      <c r="I18" s="22"/>
      <c r="J18" s="34">
        <f t="shared" ref="J18:J21" si="1">IF(H$12=0,0,H18/H$12)</f>
        <v>0</v>
      </c>
      <c r="K18" s="4"/>
      <c r="L18" s="22">
        <f t="shared" ref="L18:L21" si="2">+D18-H18</f>
        <v>8047.21</v>
      </c>
      <c r="M18" s="4"/>
      <c r="N18" s="34">
        <f t="shared" ref="N18:N21" si="3">IF(H18=0,0,L18/H18)</f>
        <v>0</v>
      </c>
      <c r="O18" s="10"/>
      <c r="P18" s="22">
        <f>SUM(OSRRefP22x_0)</f>
        <v>8047.21</v>
      </c>
      <c r="Q18" s="22"/>
      <c r="R18" s="34">
        <f t="shared" ref="R18:R21" si="4">IF(P$12=0,0,P18/P$12)</f>
        <v>0</v>
      </c>
      <c r="S18" s="22"/>
      <c r="T18" s="22">
        <f>SUM(OSRRefT22x_0)</f>
        <v>0</v>
      </c>
      <c r="U18" s="22"/>
      <c r="V18" s="34">
        <f t="shared" ref="V18:V21" si="5">IF(T$12=0,0,T18/T$12)</f>
        <v>0</v>
      </c>
      <c r="W18" s="4"/>
      <c r="X18" s="22">
        <f t="shared" ref="X18:X21" si="6">+P18-T18</f>
        <v>8047.21</v>
      </c>
      <c r="Y18" s="4"/>
      <c r="Z18" s="34">
        <f t="shared" ref="Z18:Z21" si="7">IF(T18=0,0,X18/T18)</f>
        <v>0</v>
      </c>
    </row>
    <row r="19" spans="1:26" s="29" customFormat="1" outlineLevel="1" collapsed="1" x14ac:dyDescent="0.25">
      <c r="A19" s="27"/>
      <c r="B19" s="14" t="str">
        <f>CONCATENATE("     ","*Payroll                                          ")</f>
        <v xml:space="preserve">     *Payroll                                          </v>
      </c>
      <c r="C19" s="14"/>
      <c r="D19" s="1">
        <f>SUM(OSRRefD22_0x_0)</f>
        <v>6896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6896</v>
      </c>
      <c r="M19" s="1"/>
      <c r="N19" s="5">
        <f t="shared" si="3"/>
        <v>0</v>
      </c>
      <c r="O19" s="14"/>
      <c r="P19" s="1">
        <f>SUM(OSRRefP22_0x_0)</f>
        <v>6896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6896</v>
      </c>
      <c r="Y19" s="1"/>
      <c r="Z19" s="5">
        <f t="shared" si="7"/>
        <v>0</v>
      </c>
    </row>
    <row r="20" spans="1:26" s="24" customFormat="1" hidden="1" outlineLevel="2" x14ac:dyDescent="0.25">
      <c r="A20" s="28"/>
      <c r="B20" s="11" t="str">
        <f>CONCATENATE("          ", "6002", " - ", "STAFF SALARIES")</f>
        <v xml:space="preserve">          6002 - STAFF SALARIES</v>
      </c>
      <c r="C20" s="11"/>
      <c r="D20" s="6">
        <v>4625</v>
      </c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4625</v>
      </c>
      <c r="M20" s="2"/>
      <c r="N20" s="7">
        <f t="shared" si="3"/>
        <v>0</v>
      </c>
      <c r="O20" s="11"/>
      <c r="P20" s="6">
        <v>4625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4625</v>
      </c>
      <c r="Y20" s="2"/>
      <c r="Z20" s="7">
        <f t="shared" si="7"/>
        <v>0</v>
      </c>
    </row>
    <row r="21" spans="1:26" s="24" customFormat="1" hidden="1" outlineLevel="2" x14ac:dyDescent="0.25">
      <c r="A21" s="28"/>
      <c r="B21" s="11" t="str">
        <f>CONCATENATE("          ", "6007", " - ", "STUDENT HOURLY")</f>
        <v xml:space="preserve">          6007 - STUDENT HOURLY</v>
      </c>
      <c r="C21" s="11"/>
      <c r="D21" s="6">
        <v>2271</v>
      </c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2271</v>
      </c>
      <c r="M21" s="2"/>
      <c r="N21" s="7">
        <f t="shared" si="3"/>
        <v>0</v>
      </c>
      <c r="O21" s="11"/>
      <c r="P21" s="6">
        <v>2271</v>
      </c>
      <c r="Q21" s="2"/>
      <c r="R21" s="7">
        <f t="shared" si="4"/>
        <v>0</v>
      </c>
      <c r="S21" s="2"/>
      <c r="T21" s="6"/>
      <c r="U21" s="2"/>
      <c r="V21" s="7">
        <f t="shared" si="5"/>
        <v>0</v>
      </c>
      <c r="W21" s="2"/>
      <c r="X21" s="6">
        <f t="shared" si="6"/>
        <v>2271</v>
      </c>
      <c r="Y21" s="2"/>
      <c r="Z21" s="7">
        <f t="shared" si="7"/>
        <v>0</v>
      </c>
    </row>
    <row r="22" spans="1:26" s="29" customFormat="1" outlineLevel="1" collapsed="1" x14ac:dyDescent="0.25">
      <c r="A22" s="27"/>
      <c r="B22" s="14" t="str">
        <f>CONCATENATE("     ","Repair and Maintenance                            ")</f>
        <v xml:space="preserve">     Repair and Maintenance                            </v>
      </c>
      <c r="C22" s="14"/>
      <c r="D22" s="1">
        <f>SUM(OSRRefD22_1x_0)</f>
        <v>1151.21</v>
      </c>
      <c r="E22" s="1"/>
      <c r="F22" s="5">
        <f t="shared" ref="F22:F23" si="8">IF(D$12=0,0,D22/D$12)</f>
        <v>0</v>
      </c>
      <c r="G22" s="1"/>
      <c r="H22" s="1">
        <f>SUM(OSRRefH22_1x_0)</f>
        <v>0</v>
      </c>
      <c r="I22" s="1"/>
      <c r="J22" s="5">
        <f t="shared" ref="J22:J23" si="9">IF(H$12=0,0,H22/H$12)</f>
        <v>0</v>
      </c>
      <c r="K22" s="1"/>
      <c r="L22" s="1">
        <f t="shared" ref="L22:L23" si="10">+D22-H22</f>
        <v>1151.21</v>
      </c>
      <c r="M22" s="1"/>
      <c r="N22" s="5">
        <f t="shared" ref="N22:N23" si="11">IF(H22=0,0,L22/H22)</f>
        <v>0</v>
      </c>
      <c r="O22" s="14"/>
      <c r="P22" s="1">
        <f>SUM(OSRRefP22_1x_0)</f>
        <v>1151.21</v>
      </c>
      <c r="Q22" s="1"/>
      <c r="R22" s="5">
        <f t="shared" ref="R22:R23" si="12">IF(P$12=0,0,P22/P$12)</f>
        <v>0</v>
      </c>
      <c r="S22" s="1"/>
      <c r="T22" s="1">
        <f>SUM(OSRRefT22_1x_0)</f>
        <v>0</v>
      </c>
      <c r="U22" s="1"/>
      <c r="V22" s="5">
        <f t="shared" ref="V22:V23" si="13">IF(T$12=0,0,T22/T$12)</f>
        <v>0</v>
      </c>
      <c r="W22" s="1"/>
      <c r="X22" s="1">
        <f t="shared" ref="X22:X23" si="14">+P22-T22</f>
        <v>1151.21</v>
      </c>
      <c r="Y22" s="1"/>
      <c r="Z22" s="5">
        <f t="shared" ref="Z22:Z23" si="15">IF(T22=0,0,X22/T22)</f>
        <v>0</v>
      </c>
    </row>
    <row r="23" spans="1:26" s="24" customFormat="1" hidden="1" outlineLevel="2" x14ac:dyDescent="0.25">
      <c r="A23" s="28"/>
      <c r="B23" s="11" t="str">
        <f>CONCATENATE("          ", "6375", " - ", "OUTSIDE REPAIRS &amp; MAINTENANCE")</f>
        <v xml:space="preserve">          6375 - OUTSIDE REPAIRS &amp; MAINTENANCE</v>
      </c>
      <c r="C23" s="11"/>
      <c r="D23" s="6">
        <v>1151.21</v>
      </c>
      <c r="E23" s="2"/>
      <c r="F23" s="7">
        <f t="shared" si="8"/>
        <v>0</v>
      </c>
      <c r="G23" s="2"/>
      <c r="H23" s="6"/>
      <c r="I23" s="2"/>
      <c r="J23" s="7">
        <f t="shared" si="9"/>
        <v>0</v>
      </c>
      <c r="K23" s="2"/>
      <c r="L23" s="6">
        <f t="shared" si="10"/>
        <v>1151.21</v>
      </c>
      <c r="M23" s="2"/>
      <c r="N23" s="7">
        <f t="shared" si="11"/>
        <v>0</v>
      </c>
      <c r="O23" s="11"/>
      <c r="P23" s="6">
        <v>1151.21</v>
      </c>
      <c r="Q23" s="2"/>
      <c r="R23" s="7">
        <f t="shared" si="12"/>
        <v>0</v>
      </c>
      <c r="S23" s="2"/>
      <c r="T23" s="6"/>
      <c r="U23" s="2"/>
      <c r="V23" s="7">
        <f t="shared" si="13"/>
        <v>0</v>
      </c>
      <c r="W23" s="2"/>
      <c r="X23" s="6">
        <f t="shared" si="14"/>
        <v>1151.21</v>
      </c>
      <c r="Y23" s="2"/>
      <c r="Z23" s="7">
        <f t="shared" si="15"/>
        <v>0</v>
      </c>
    </row>
    <row r="24" spans="1:26" s="53" customFormat="1" x14ac:dyDescent="0.25">
      <c r="A24" s="37"/>
      <c r="B24" s="37"/>
      <c r="C24" s="37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0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>
        <f>+D16-D18+D25</f>
        <v>-8047.21</v>
      </c>
      <c r="E27" s="13"/>
      <c r="F27" s="20">
        <f>IF(D$12=0,0,D27/D$12)</f>
        <v>0</v>
      </c>
      <c r="G27" s="13"/>
      <c r="H27" s="21">
        <f>+H16-H18+H25</f>
        <v>0</v>
      </c>
      <c r="I27" s="13"/>
      <c r="J27" s="20">
        <f>IF(H$12=0,0,H27/H$12)</f>
        <v>0</v>
      </c>
      <c r="K27" s="15"/>
      <c r="L27" s="21">
        <f>+D27-H27</f>
        <v>-8047.21</v>
      </c>
      <c r="M27" s="15"/>
      <c r="N27" s="20">
        <f>IF(H27=0,0,L27/H27)</f>
        <v>0</v>
      </c>
      <c r="O27" s="25"/>
      <c r="P27" s="21">
        <f>+P16-P18+P25</f>
        <v>-8047.21</v>
      </c>
      <c r="Q27" s="13"/>
      <c r="R27" s="20">
        <f>IF(P$12=0,0,P27/P$12)</f>
        <v>0</v>
      </c>
      <c r="S27" s="13"/>
      <c r="T27" s="21">
        <f>+T16-T18+T25</f>
        <v>0</v>
      </c>
      <c r="U27" s="13"/>
      <c r="V27" s="20">
        <f>IF(T$12=0,0,T27/T$12)</f>
        <v>0</v>
      </c>
      <c r="W27" s="15"/>
      <c r="X27" s="21">
        <f>+P27-T27</f>
        <v>-8047.21</v>
      </c>
      <c r="Y27" s="15"/>
      <c r="Z27" s="20">
        <f>IF(T27=0,0,X27/T27)</f>
        <v>0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/>
      <c r="E29" s="4"/>
      <c r="F29" s="12">
        <f>IF(D$12=0,0,D29/D$12)</f>
        <v>0</v>
      </c>
      <c r="G29" s="4"/>
      <c r="H29" s="4"/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/>
      <c r="Q29" s="4"/>
      <c r="R29" s="12">
        <f>IF(P$12=0,0,P29/P$12)</f>
        <v>0</v>
      </c>
      <c r="S29" s="4"/>
      <c r="T29" s="4"/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>
        <f>+D27-D29</f>
        <v>-8047.21</v>
      </c>
      <c r="E31" s="13"/>
      <c r="F31" s="30">
        <f>IF(D$12=0,0,D31/D$12)</f>
        <v>0</v>
      </c>
      <c r="G31" s="13"/>
      <c r="H31" s="35">
        <f>+H27-H29</f>
        <v>0</v>
      </c>
      <c r="I31" s="13"/>
      <c r="J31" s="30">
        <f>IF(H$12=0,0,H31/H$12)</f>
        <v>0</v>
      </c>
      <c r="K31" s="15"/>
      <c r="L31" s="35">
        <f>D31-H31</f>
        <v>-8047.21</v>
      </c>
      <c r="M31" s="15"/>
      <c r="N31" s="30">
        <f>IF(H31=0,0,L31/H31)</f>
        <v>0</v>
      </c>
      <c r="O31" s="25"/>
      <c r="P31" s="35">
        <f>+P27-P29</f>
        <v>-8047.21</v>
      </c>
      <c r="Q31" s="13"/>
      <c r="R31" s="30">
        <f>IF(P$12=0,0,P31/P$12)</f>
        <v>0</v>
      </c>
      <c r="S31" s="13"/>
      <c r="T31" s="35">
        <f>+T27-T29</f>
        <v>0</v>
      </c>
      <c r="U31" s="13"/>
      <c r="V31" s="30">
        <f>IF(T$12=0,0,T31/T$12)</f>
        <v>0</v>
      </c>
      <c r="W31" s="15"/>
      <c r="X31" s="35">
        <f>P31-T31</f>
        <v>-8047.21</v>
      </c>
      <c r="Y31" s="15"/>
      <c r="Z31" s="30">
        <f>IF(T31=0,0,X31/T31)</f>
        <v>0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6" t="s">
        <v>5</v>
      </c>
      <c r="C34" s="26"/>
      <c r="D34" s="36">
        <f>SUM(D31:D33)</f>
        <v>-8047.21</v>
      </c>
      <c r="E34" s="13"/>
      <c r="F34" s="31">
        <f>IF(D$12=0,0,D34/D$12)</f>
        <v>0</v>
      </c>
      <c r="G34" s="13"/>
      <c r="H34" s="36">
        <f>SUM(H31:H33)</f>
        <v>0</v>
      </c>
      <c r="I34" s="13"/>
      <c r="J34" s="31">
        <f>IF(H$12=0,0,H34/H$12)</f>
        <v>0</v>
      </c>
      <c r="K34" s="15"/>
      <c r="L34" s="36">
        <f>+D34-H34</f>
        <v>-8047.21</v>
      </c>
      <c r="M34" s="15"/>
      <c r="N34" s="31">
        <f>IF(H34=0,0,L34/H34)</f>
        <v>0</v>
      </c>
      <c r="O34" s="25"/>
      <c r="P34" s="36">
        <f>SUM(P31:P33)</f>
        <v>-8047.21</v>
      </c>
      <c r="Q34" s="13"/>
      <c r="R34" s="31">
        <f>IF(P$12=0,0,P34/P$12)</f>
        <v>0</v>
      </c>
      <c r="S34" s="13"/>
      <c r="T34" s="36">
        <f>SUM(T31:T33)</f>
        <v>0</v>
      </c>
      <c r="U34" s="13"/>
      <c r="V34" s="31">
        <f>IF(T$12=0,0,T34/T$12)</f>
        <v>0</v>
      </c>
      <c r="W34" s="15"/>
      <c r="X34" s="36">
        <f>+P34-T34</f>
        <v>-8047.21</v>
      </c>
      <c r="Y34" s="15"/>
      <c r="Z34" s="31">
        <f>IF(T34=0,0,X34/T34)</f>
        <v>0</v>
      </c>
    </row>
    <row r="35" spans="1:26" ht="15.75" thickTop="1" x14ac:dyDescent="0.25">
      <c r="A35" s="9"/>
      <c r="C35" s="9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6" x14ac:dyDescent="0.25">
      <c r="A36" s="9"/>
      <c r="B36" s="55">
        <v>43756.463435381942</v>
      </c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56" t="s">
        <v>313</v>
      </c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/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","423", " - ", "Contract Revenue")</f>
        <v>Department 423 - Contract Revenue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5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-805.48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-805.48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-805.48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-805.48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1">
        <f>D12-D14</f>
        <v>0</v>
      </c>
      <c r="E17" s="13"/>
      <c r="F17" s="20">
        <f>IF(D$12=0,0,D17/D$12)</f>
        <v>0</v>
      </c>
      <c r="G17" s="13"/>
      <c r="H17" s="21">
        <f>H12-H14</f>
        <v>0</v>
      </c>
      <c r="I17" s="13"/>
      <c r="J17" s="20">
        <f>IF(H$12=0,0,H17/H$12)</f>
        <v>0</v>
      </c>
      <c r="K17" s="15"/>
      <c r="L17" s="21">
        <f>+D17-H17</f>
        <v>0</v>
      </c>
      <c r="M17" s="15"/>
      <c r="N17" s="20">
        <f>IF(H17=0,0,L17/H17)</f>
        <v>0</v>
      </c>
      <c r="O17" s="25"/>
      <c r="P17" s="21">
        <f>P12-P14</f>
        <v>805.48</v>
      </c>
      <c r="Q17" s="13"/>
      <c r="R17" s="20">
        <f>IF(P$12=0,0,P17/P$12)</f>
        <v>0</v>
      </c>
      <c r="S17" s="13"/>
      <c r="T17" s="21">
        <f>T12-T14</f>
        <v>0</v>
      </c>
      <c r="U17" s="13"/>
      <c r="V17" s="20">
        <f>IF(T$12=0,0,T17/T$12)</f>
        <v>0</v>
      </c>
      <c r="W17" s="15"/>
      <c r="X17" s="21">
        <f>+P17-T17</f>
        <v>805.48</v>
      </c>
      <c r="Y17" s="15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2">
        <f>SUM(OSRRefD22x_0)</f>
        <v>13333.1</v>
      </c>
      <c r="E19" s="22"/>
      <c r="F19" s="34">
        <f t="shared" ref="F19:F28" si="8">IF(D$12=0,0,D19/D$12)</f>
        <v>0</v>
      </c>
      <c r="G19" s="22"/>
      <c r="H19" s="22">
        <f>SUM(OSRRefH22x_0)</f>
        <v>6044.3799999999992</v>
      </c>
      <c r="I19" s="22"/>
      <c r="J19" s="34">
        <f t="shared" ref="J19:J28" si="9">IF(H$12=0,0,H19/H$12)</f>
        <v>0</v>
      </c>
      <c r="K19" s="4"/>
      <c r="L19" s="22">
        <f t="shared" ref="L19:L28" si="10">+D19-H19</f>
        <v>7288.7200000000012</v>
      </c>
      <c r="M19" s="4"/>
      <c r="N19" s="34">
        <f t="shared" ref="N19:N28" si="11">IF(H19=0,0,L19/H19)</f>
        <v>1.2058672684377889</v>
      </c>
      <c r="O19" s="10"/>
      <c r="P19" s="22">
        <f>SUM(OSRRefP22x_0)</f>
        <v>39922.620000000003</v>
      </c>
      <c r="Q19" s="22"/>
      <c r="R19" s="34">
        <f t="shared" ref="R19:R28" si="12">IF(P$12=0,0,P19/P$12)</f>
        <v>0</v>
      </c>
      <c r="S19" s="22"/>
      <c r="T19" s="22">
        <f>SUM(OSRRefT22x_0)</f>
        <v>27997.219999999998</v>
      </c>
      <c r="U19" s="22"/>
      <c r="V19" s="34">
        <f t="shared" ref="V19:V28" si="13">IF(T$12=0,0,T19/T$12)</f>
        <v>0</v>
      </c>
      <c r="W19" s="4"/>
      <c r="X19" s="22">
        <f t="shared" ref="X19:X28" si="14">+P19-T19</f>
        <v>11925.400000000005</v>
      </c>
      <c r="Y19" s="4"/>
      <c r="Z19" s="34">
        <f t="shared" ref="Z19:Z28" si="15">IF(T19=0,0,X19/T19)</f>
        <v>0.42594943355090276</v>
      </c>
    </row>
    <row r="20" spans="1:26" s="29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9059.09</v>
      </c>
      <c r="E20" s="1"/>
      <c r="F20" s="5">
        <f t="shared" si="8"/>
        <v>0</v>
      </c>
      <c r="G20" s="1"/>
      <c r="H20" s="1">
        <f>SUM(OSRRefH22_0x_0)</f>
        <v>2558.2599999999998</v>
      </c>
      <c r="I20" s="1"/>
      <c r="J20" s="5">
        <f t="shared" si="9"/>
        <v>0</v>
      </c>
      <c r="K20" s="1"/>
      <c r="L20" s="1">
        <f t="shared" si="10"/>
        <v>6500.83</v>
      </c>
      <c r="M20" s="1"/>
      <c r="N20" s="5">
        <f t="shared" si="11"/>
        <v>2.5411138820917345</v>
      </c>
      <c r="O20" s="14"/>
      <c r="P20" s="1">
        <f>SUM(OSRRefP22_0x_0)</f>
        <v>16473.14</v>
      </c>
      <c r="Q20" s="1"/>
      <c r="R20" s="5">
        <f t="shared" si="12"/>
        <v>0</v>
      </c>
      <c r="S20" s="1"/>
      <c r="T20" s="1">
        <f>SUM(OSRRefT22_0x_0)</f>
        <v>9372.4500000000007</v>
      </c>
      <c r="U20" s="1"/>
      <c r="V20" s="5">
        <f t="shared" si="13"/>
        <v>0</v>
      </c>
      <c r="W20" s="1"/>
      <c r="X20" s="1">
        <f t="shared" si="14"/>
        <v>7100.6899999999987</v>
      </c>
      <c r="Y20" s="1"/>
      <c r="Z20" s="5">
        <f t="shared" si="15"/>
        <v>0.7576130040704403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6">
        <v>384.92</v>
      </c>
      <c r="E21" s="2"/>
      <c r="F21" s="7">
        <f t="shared" si="8"/>
        <v>0</v>
      </c>
      <c r="G21" s="2"/>
      <c r="H21" s="6">
        <v>339.74</v>
      </c>
      <c r="I21" s="2"/>
      <c r="J21" s="7">
        <f t="shared" si="9"/>
        <v>0</v>
      </c>
      <c r="K21" s="2"/>
      <c r="L21" s="6">
        <f t="shared" si="10"/>
        <v>45.180000000000007</v>
      </c>
      <c r="M21" s="2"/>
      <c r="N21" s="7">
        <f t="shared" si="11"/>
        <v>0.13298404662388888</v>
      </c>
      <c r="O21" s="11"/>
      <c r="P21" s="6">
        <v>1084.76</v>
      </c>
      <c r="Q21" s="2"/>
      <c r="R21" s="7">
        <f t="shared" si="12"/>
        <v>0</v>
      </c>
      <c r="S21" s="2"/>
      <c r="T21" s="6">
        <v>1019.22</v>
      </c>
      <c r="U21" s="2"/>
      <c r="V21" s="7">
        <f t="shared" si="13"/>
        <v>0</v>
      </c>
      <c r="W21" s="2"/>
      <c r="X21" s="6">
        <f t="shared" si="14"/>
        <v>65.539999999999964</v>
      </c>
      <c r="Y21" s="2"/>
      <c r="Z21" s="7">
        <f t="shared" si="15"/>
        <v>6.4304075665705104E-2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6">
        <v>17.11</v>
      </c>
      <c r="E22" s="2"/>
      <c r="F22" s="7">
        <f t="shared" si="8"/>
        <v>0</v>
      </c>
      <c r="G22" s="2"/>
      <c r="H22" s="6"/>
      <c r="I22" s="2"/>
      <c r="J22" s="7">
        <f t="shared" si="9"/>
        <v>0</v>
      </c>
      <c r="K22" s="2"/>
      <c r="L22" s="6">
        <f t="shared" si="10"/>
        <v>17.11</v>
      </c>
      <c r="M22" s="2"/>
      <c r="N22" s="7">
        <f t="shared" si="11"/>
        <v>0</v>
      </c>
      <c r="O22" s="11"/>
      <c r="P22" s="6">
        <v>372.05</v>
      </c>
      <c r="Q22" s="2"/>
      <c r="R22" s="7">
        <f t="shared" si="12"/>
        <v>0</v>
      </c>
      <c r="S22" s="2"/>
      <c r="T22" s="6">
        <v>386.31</v>
      </c>
      <c r="U22" s="2"/>
      <c r="V22" s="7">
        <f t="shared" si="13"/>
        <v>0</v>
      </c>
      <c r="W22" s="2"/>
      <c r="X22" s="6">
        <f t="shared" si="14"/>
        <v>-14.259999999999991</v>
      </c>
      <c r="Y22" s="2"/>
      <c r="Z22" s="7">
        <f t="shared" si="15"/>
        <v>-3.691335973699876E-2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6">
        <v>1011.43</v>
      </c>
      <c r="E23" s="2"/>
      <c r="F23" s="7">
        <f t="shared" si="8"/>
        <v>0</v>
      </c>
      <c r="G23" s="2"/>
      <c r="H23" s="6">
        <v>1024.08</v>
      </c>
      <c r="I23" s="2"/>
      <c r="J23" s="7">
        <f t="shared" si="9"/>
        <v>0</v>
      </c>
      <c r="K23" s="2"/>
      <c r="L23" s="6">
        <f t="shared" si="10"/>
        <v>-12.649999999999977</v>
      </c>
      <c r="M23" s="2"/>
      <c r="N23" s="7">
        <f t="shared" si="11"/>
        <v>-1.235255058198576E-2</v>
      </c>
      <c r="O23" s="11"/>
      <c r="P23" s="6">
        <v>3034.29</v>
      </c>
      <c r="Q23" s="2"/>
      <c r="R23" s="7">
        <f t="shared" si="12"/>
        <v>0</v>
      </c>
      <c r="S23" s="2"/>
      <c r="T23" s="6">
        <v>2465.0700000000002</v>
      </c>
      <c r="U23" s="2"/>
      <c r="V23" s="7">
        <f t="shared" si="13"/>
        <v>0</v>
      </c>
      <c r="W23" s="2"/>
      <c r="X23" s="6">
        <f t="shared" si="14"/>
        <v>569.2199999999998</v>
      </c>
      <c r="Y23" s="2"/>
      <c r="Z23" s="7">
        <f t="shared" si="15"/>
        <v>0.23091433508987566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13.08</v>
      </c>
      <c r="E24" s="2"/>
      <c r="F24" s="7">
        <f t="shared" si="8"/>
        <v>0</v>
      </c>
      <c r="G24" s="2"/>
      <c r="H24" s="6">
        <v>11.55</v>
      </c>
      <c r="I24" s="2"/>
      <c r="J24" s="7">
        <f t="shared" si="9"/>
        <v>0</v>
      </c>
      <c r="K24" s="2"/>
      <c r="L24" s="6">
        <f t="shared" si="10"/>
        <v>1.5299999999999994</v>
      </c>
      <c r="M24" s="2"/>
      <c r="N24" s="7">
        <f t="shared" si="11"/>
        <v>0.1324675324675324</v>
      </c>
      <c r="O24" s="11"/>
      <c r="P24" s="6">
        <v>36.86</v>
      </c>
      <c r="Q24" s="2"/>
      <c r="R24" s="7">
        <f t="shared" si="12"/>
        <v>0</v>
      </c>
      <c r="S24" s="2"/>
      <c r="T24" s="6">
        <v>40.25</v>
      </c>
      <c r="U24" s="2"/>
      <c r="V24" s="7">
        <f t="shared" si="13"/>
        <v>0</v>
      </c>
      <c r="W24" s="2"/>
      <c r="X24" s="6">
        <f t="shared" si="14"/>
        <v>-3.3900000000000006</v>
      </c>
      <c r="Y24" s="2"/>
      <c r="Z24" s="7">
        <f t="shared" si="15"/>
        <v>-8.4223602484472068E-2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6">
        <v>514.27</v>
      </c>
      <c r="E25" s="2"/>
      <c r="F25" s="7">
        <f t="shared" si="8"/>
        <v>0</v>
      </c>
      <c r="G25" s="2"/>
      <c r="H25" s="6">
        <v>417.84</v>
      </c>
      <c r="I25" s="2"/>
      <c r="J25" s="7">
        <f t="shared" si="9"/>
        <v>0</v>
      </c>
      <c r="K25" s="2"/>
      <c r="L25" s="6">
        <f t="shared" si="10"/>
        <v>96.43</v>
      </c>
      <c r="M25" s="2"/>
      <c r="N25" s="7">
        <f t="shared" si="11"/>
        <v>0.23078211755695963</v>
      </c>
      <c r="O25" s="11"/>
      <c r="P25" s="6">
        <v>1449.31</v>
      </c>
      <c r="Q25" s="2"/>
      <c r="R25" s="7">
        <f t="shared" si="12"/>
        <v>0</v>
      </c>
      <c r="S25" s="2"/>
      <c r="T25" s="6">
        <v>1456.36</v>
      </c>
      <c r="U25" s="2"/>
      <c r="V25" s="7">
        <f t="shared" si="13"/>
        <v>0</v>
      </c>
      <c r="W25" s="2"/>
      <c r="X25" s="6">
        <f t="shared" si="14"/>
        <v>-7.0499999999999545</v>
      </c>
      <c r="Y25" s="2"/>
      <c r="Z25" s="7">
        <f t="shared" si="15"/>
        <v>-4.8408360570188378E-3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>
        <v>1578.83</v>
      </c>
      <c r="E26" s="2"/>
      <c r="F26" s="7">
        <f t="shared" si="8"/>
        <v>0</v>
      </c>
      <c r="G26" s="2"/>
      <c r="H26" s="6">
        <v>410.22</v>
      </c>
      <c r="I26" s="2"/>
      <c r="J26" s="7">
        <f t="shared" si="9"/>
        <v>0</v>
      </c>
      <c r="K26" s="2"/>
      <c r="L26" s="6">
        <f t="shared" si="10"/>
        <v>1168.6099999999999</v>
      </c>
      <c r="M26" s="2"/>
      <c r="N26" s="7">
        <f t="shared" si="11"/>
        <v>2.8487397006484323</v>
      </c>
      <c r="O26" s="11"/>
      <c r="P26" s="6">
        <v>2757.08</v>
      </c>
      <c r="Q26" s="2"/>
      <c r="R26" s="7">
        <f t="shared" si="12"/>
        <v>0</v>
      </c>
      <c r="S26" s="2"/>
      <c r="T26" s="6">
        <v>1586.37</v>
      </c>
      <c r="U26" s="2"/>
      <c r="V26" s="7">
        <f t="shared" si="13"/>
        <v>0</v>
      </c>
      <c r="W26" s="2"/>
      <c r="X26" s="6">
        <f t="shared" si="14"/>
        <v>1170.71</v>
      </c>
      <c r="Y26" s="2"/>
      <c r="Z26" s="7">
        <f t="shared" si="15"/>
        <v>0.73798042070891412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>
        <v>5394.36</v>
      </c>
      <c r="E27" s="2"/>
      <c r="F27" s="7">
        <f t="shared" si="8"/>
        <v>0</v>
      </c>
      <c r="G27" s="2"/>
      <c r="H27" s="6">
        <v>204.83</v>
      </c>
      <c r="I27" s="2"/>
      <c r="J27" s="7">
        <f t="shared" si="9"/>
        <v>0</v>
      </c>
      <c r="K27" s="2"/>
      <c r="L27" s="6">
        <f t="shared" si="10"/>
        <v>5189.53</v>
      </c>
      <c r="M27" s="2"/>
      <c r="N27" s="7">
        <f t="shared" si="11"/>
        <v>25.335790655665672</v>
      </c>
      <c r="O27" s="11"/>
      <c r="P27" s="6">
        <v>7307.68</v>
      </c>
      <c r="Q27" s="2"/>
      <c r="R27" s="7">
        <f t="shared" si="12"/>
        <v>0</v>
      </c>
      <c r="S27" s="2"/>
      <c r="T27" s="6">
        <v>1984.85</v>
      </c>
      <c r="U27" s="2"/>
      <c r="V27" s="7">
        <f t="shared" si="13"/>
        <v>0</v>
      </c>
      <c r="W27" s="2"/>
      <c r="X27" s="6">
        <f t="shared" si="14"/>
        <v>5322.83</v>
      </c>
      <c r="Y27" s="2"/>
      <c r="Z27" s="7">
        <f t="shared" si="15"/>
        <v>2.6817290979167194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>
        <v>145.09</v>
      </c>
      <c r="E28" s="2"/>
      <c r="F28" s="7">
        <f t="shared" si="8"/>
        <v>0</v>
      </c>
      <c r="G28" s="2"/>
      <c r="H28" s="6">
        <v>150</v>
      </c>
      <c r="I28" s="2"/>
      <c r="J28" s="7">
        <f t="shared" si="9"/>
        <v>0</v>
      </c>
      <c r="K28" s="2"/>
      <c r="L28" s="6">
        <f t="shared" si="10"/>
        <v>-4.9099999999999966</v>
      </c>
      <c r="M28" s="2"/>
      <c r="N28" s="7">
        <f t="shared" si="11"/>
        <v>-3.2733333333333309E-2</v>
      </c>
      <c r="O28" s="11"/>
      <c r="P28" s="6">
        <v>431.11</v>
      </c>
      <c r="Q28" s="2"/>
      <c r="R28" s="7">
        <f t="shared" si="12"/>
        <v>0</v>
      </c>
      <c r="S28" s="2"/>
      <c r="T28" s="6">
        <v>434.02</v>
      </c>
      <c r="U28" s="2"/>
      <c r="V28" s="7">
        <f t="shared" si="13"/>
        <v>0</v>
      </c>
      <c r="W28" s="2"/>
      <c r="X28" s="6">
        <f t="shared" si="14"/>
        <v>-2.9099999999999682</v>
      </c>
      <c r="Y28" s="2"/>
      <c r="Z28" s="7">
        <f t="shared" si="15"/>
        <v>-6.7047601493018024E-3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4140.2</v>
      </c>
      <c r="E29" s="1"/>
      <c r="F29" s="5">
        <f t="shared" ref="F29:F38" si="16">IF(D$12=0,0,D29/D$12)</f>
        <v>0</v>
      </c>
      <c r="G29" s="1"/>
      <c r="H29" s="1">
        <f>SUM(OSRRefH22_1x_0)</f>
        <v>4218.8100000000004</v>
      </c>
      <c r="I29" s="1"/>
      <c r="J29" s="5">
        <f t="shared" ref="J29:J38" si="17">IF(H$12=0,0,H29/H$12)</f>
        <v>0</v>
      </c>
      <c r="K29" s="1"/>
      <c r="L29" s="1">
        <f t="shared" ref="L29:L38" si="18">+D29-H29</f>
        <v>-78.610000000000582</v>
      </c>
      <c r="M29" s="1"/>
      <c r="N29" s="5">
        <f t="shared" ref="N29:N38" si="19">IF(H29=0,0,L29/H29)</f>
        <v>-1.8633216475736184E-2</v>
      </c>
      <c r="O29" s="14"/>
      <c r="P29" s="1">
        <f>SUM(OSRRefP22_1x_0)</f>
        <v>13287.88</v>
      </c>
      <c r="Q29" s="1"/>
      <c r="R29" s="5">
        <f t="shared" ref="R29:R38" si="20">IF(P$12=0,0,P29/P$12)</f>
        <v>0</v>
      </c>
      <c r="S29" s="1"/>
      <c r="T29" s="1">
        <f>SUM(OSRRefT22_1x_0)</f>
        <v>12212.15</v>
      </c>
      <c r="U29" s="1"/>
      <c r="V29" s="5">
        <f t="shared" ref="V29:V38" si="21">IF(T$12=0,0,T29/T$12)</f>
        <v>0</v>
      </c>
      <c r="W29" s="1"/>
      <c r="X29" s="1">
        <f t="shared" ref="X29:X38" si="22">+P29-T29</f>
        <v>1075.7299999999996</v>
      </c>
      <c r="Y29" s="1"/>
      <c r="Z29" s="5">
        <f t="shared" ref="Z29:Z38" si="23">IF(T29=0,0,X29/T29)</f>
        <v>8.8086864311362006E-2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6">
        <v>4140.2</v>
      </c>
      <c r="E30" s="2"/>
      <c r="F30" s="7">
        <f t="shared" si="16"/>
        <v>0</v>
      </c>
      <c r="G30" s="2"/>
      <c r="H30" s="6">
        <v>4218.8100000000004</v>
      </c>
      <c r="I30" s="2"/>
      <c r="J30" s="7">
        <f t="shared" si="17"/>
        <v>0</v>
      </c>
      <c r="K30" s="2"/>
      <c r="L30" s="6">
        <f t="shared" si="18"/>
        <v>-78.610000000000582</v>
      </c>
      <c r="M30" s="2"/>
      <c r="N30" s="7">
        <f t="shared" si="19"/>
        <v>-1.8633216475736184E-2</v>
      </c>
      <c r="O30" s="11"/>
      <c r="P30" s="6">
        <v>13287.88</v>
      </c>
      <c r="Q30" s="2"/>
      <c r="R30" s="7">
        <f t="shared" si="20"/>
        <v>0</v>
      </c>
      <c r="S30" s="2"/>
      <c r="T30" s="6">
        <v>12212.15</v>
      </c>
      <c r="U30" s="2"/>
      <c r="V30" s="7">
        <f t="shared" si="21"/>
        <v>0</v>
      </c>
      <c r="W30" s="2"/>
      <c r="X30" s="6">
        <f t="shared" si="22"/>
        <v>1075.7299999999996</v>
      </c>
      <c r="Y30" s="2"/>
      <c r="Z30" s="7">
        <f t="shared" si="23"/>
        <v>8.8086864311362006E-2</v>
      </c>
    </row>
    <row r="31" spans="1:26" s="29" customFormat="1" outlineLevel="1" collapsed="1" x14ac:dyDescent="0.25">
      <c r="A31" s="27"/>
      <c r="B31" s="14" t="str">
        <f>CONCATENATE("     ","General                                           ")</f>
        <v xml:space="preserve">     General                                           </v>
      </c>
      <c r="C31" s="14"/>
      <c r="D31" s="1">
        <f>SUM(OSRRefD22_2x_0)</f>
        <v>0</v>
      </c>
      <c r="E31" s="1"/>
      <c r="F31" s="5">
        <f t="shared" si="16"/>
        <v>0</v>
      </c>
      <c r="G31" s="1"/>
      <c r="H31" s="1">
        <f>SUM(OSRRefH22_2x_0)</f>
        <v>0</v>
      </c>
      <c r="I31" s="1"/>
      <c r="J31" s="5">
        <f t="shared" si="17"/>
        <v>0</v>
      </c>
      <c r="K31" s="1"/>
      <c r="L31" s="1">
        <f t="shared" si="18"/>
        <v>0</v>
      </c>
      <c r="M31" s="1"/>
      <c r="N31" s="5">
        <f t="shared" si="19"/>
        <v>0</v>
      </c>
      <c r="O31" s="14"/>
      <c r="P31" s="1">
        <f>SUM(OSRRefP22_2x_0)</f>
        <v>2443.65</v>
      </c>
      <c r="Q31" s="1"/>
      <c r="R31" s="5">
        <f t="shared" si="20"/>
        <v>0</v>
      </c>
      <c r="S31" s="1"/>
      <c r="T31" s="1">
        <f>SUM(OSRRefT22_2x_0)</f>
        <v>2357.6</v>
      </c>
      <c r="U31" s="1"/>
      <c r="V31" s="5">
        <f t="shared" si="21"/>
        <v>0</v>
      </c>
      <c r="W31" s="1"/>
      <c r="X31" s="1">
        <f t="shared" si="22"/>
        <v>86.050000000000182</v>
      </c>
      <c r="Y31" s="1"/>
      <c r="Z31" s="5">
        <f t="shared" si="23"/>
        <v>3.6498982015609173E-2</v>
      </c>
    </row>
    <row r="32" spans="1:26" s="24" customFormat="1" hidden="1" outlineLevel="2" x14ac:dyDescent="0.25">
      <c r="A32" s="28"/>
      <c r="B32" s="11" t="str">
        <f>CONCATENATE("          ", "6279", " - ", "GENERAL EXPENSE")</f>
        <v xml:space="preserve">          6279 - GENERAL EXPENSE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>
        <v>2443.65</v>
      </c>
      <c r="Q32" s="2"/>
      <c r="R32" s="7">
        <f t="shared" si="20"/>
        <v>0</v>
      </c>
      <c r="S32" s="2"/>
      <c r="T32" s="6">
        <v>2357.6</v>
      </c>
      <c r="U32" s="2"/>
      <c r="V32" s="7">
        <f t="shared" si="21"/>
        <v>0</v>
      </c>
      <c r="W32" s="2"/>
      <c r="X32" s="6">
        <f t="shared" si="22"/>
        <v>86.050000000000182</v>
      </c>
      <c r="Y32" s="2"/>
      <c r="Z32" s="7">
        <f t="shared" si="23"/>
        <v>3.6498982015609173E-2</v>
      </c>
    </row>
    <row r="33" spans="1:26" s="29" customFormat="1" outlineLevel="1" collapsed="1" x14ac:dyDescent="0.25">
      <c r="A33" s="27"/>
      <c r="B33" s="14" t="str">
        <f>CONCATENATE("     ","Royalty &amp; Commissions                             ")</f>
        <v xml:space="preserve">     Royalty &amp; Commissions                             </v>
      </c>
      <c r="C33" s="14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0</v>
      </c>
      <c r="I33" s="1"/>
      <c r="J33" s="5">
        <f t="shared" si="17"/>
        <v>0</v>
      </c>
      <c r="K33" s="1"/>
      <c r="L33" s="1">
        <f t="shared" si="18"/>
        <v>0</v>
      </c>
      <c r="M33" s="1"/>
      <c r="N33" s="5">
        <f t="shared" si="19"/>
        <v>0</v>
      </c>
      <c r="O33" s="14"/>
      <c r="P33" s="1">
        <f>SUM(OSRRefP22_3x_0)</f>
        <v>7344.9</v>
      </c>
      <c r="Q33" s="1"/>
      <c r="R33" s="5">
        <f t="shared" si="20"/>
        <v>0</v>
      </c>
      <c r="S33" s="1"/>
      <c r="T33" s="1">
        <f>SUM(OSRRefT22_3x_0)</f>
        <v>4642.46</v>
      </c>
      <c r="U33" s="1"/>
      <c r="V33" s="5">
        <f t="shared" si="21"/>
        <v>0</v>
      </c>
      <c r="W33" s="1"/>
      <c r="X33" s="1">
        <f t="shared" si="22"/>
        <v>2702.4399999999996</v>
      </c>
      <c r="Y33" s="1"/>
      <c r="Z33" s="5">
        <f t="shared" si="23"/>
        <v>0.58211379311830358</v>
      </c>
    </row>
    <row r="34" spans="1:26" s="24" customFormat="1" hidden="1" outlineLevel="2" x14ac:dyDescent="0.25">
      <c r="A34" s="28"/>
      <c r="B34" s="11" t="str">
        <f>CONCATENATE("          ", "6254", " - ", "ROYALTY &amp; COMMISSIONS")</f>
        <v xml:space="preserve">          6254 - ROYALTY &amp; COMMISSIONS</v>
      </c>
      <c r="C34" s="11"/>
      <c r="D34" s="6"/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>
        <v>7344.9</v>
      </c>
      <c r="Q34" s="2"/>
      <c r="R34" s="7">
        <f t="shared" si="20"/>
        <v>0</v>
      </c>
      <c r="S34" s="2"/>
      <c r="T34" s="6">
        <v>4642.46</v>
      </c>
      <c r="U34" s="2"/>
      <c r="V34" s="7">
        <f t="shared" si="21"/>
        <v>0</v>
      </c>
      <c r="W34" s="2"/>
      <c r="X34" s="6">
        <f t="shared" si="22"/>
        <v>2702.4399999999996</v>
      </c>
      <c r="Y34" s="2"/>
      <c r="Z34" s="7">
        <f t="shared" si="23"/>
        <v>0.58211379311830358</v>
      </c>
    </row>
    <row r="35" spans="1:26" s="29" customFormat="1" outlineLevel="1" collapsed="1" x14ac:dyDescent="0.25">
      <c r="A35" s="27"/>
      <c r="B35" s="14" t="str">
        <f>CONCATENATE("     ","Supplies                                          ")</f>
        <v xml:space="preserve">     Supplies                                          </v>
      </c>
      <c r="C35" s="14"/>
      <c r="D35" s="1">
        <f>SUM(OSRRefD22_4x_0)</f>
        <v>8.81</v>
      </c>
      <c r="E35" s="1"/>
      <c r="F35" s="5">
        <f t="shared" si="16"/>
        <v>0</v>
      </c>
      <c r="G35" s="1"/>
      <c r="H35" s="1">
        <f>SUM(OSRRefH22_4x_0)</f>
        <v>-782.69</v>
      </c>
      <c r="I35" s="1"/>
      <c r="J35" s="5">
        <f t="shared" si="17"/>
        <v>0</v>
      </c>
      <c r="K35" s="1"/>
      <c r="L35" s="1">
        <f t="shared" si="18"/>
        <v>791.5</v>
      </c>
      <c r="M35" s="1"/>
      <c r="N35" s="5">
        <f t="shared" si="19"/>
        <v>-1.0112560528433989</v>
      </c>
      <c r="O35" s="14"/>
      <c r="P35" s="1">
        <f>SUM(OSRRefP22_4x_0)</f>
        <v>31.75</v>
      </c>
      <c r="Q35" s="1"/>
      <c r="R35" s="5">
        <f t="shared" si="20"/>
        <v>0</v>
      </c>
      <c r="S35" s="1"/>
      <c r="T35" s="1">
        <f>SUM(OSRRefT22_4x_0)</f>
        <v>-782.69</v>
      </c>
      <c r="U35" s="1"/>
      <c r="V35" s="5">
        <f t="shared" si="21"/>
        <v>0</v>
      </c>
      <c r="W35" s="1"/>
      <c r="X35" s="1">
        <f t="shared" si="22"/>
        <v>814.44</v>
      </c>
      <c r="Y35" s="1"/>
      <c r="Z35" s="5">
        <f t="shared" si="23"/>
        <v>-1.0405652301677548</v>
      </c>
    </row>
    <row r="36" spans="1:26" s="24" customFormat="1" hidden="1" outlineLevel="2" x14ac:dyDescent="0.25">
      <c r="A36" s="28"/>
      <c r="B36" s="11" t="str">
        <f>CONCATENATE("          ", "6241", " - ", "OFFICE EXPENSE")</f>
        <v xml:space="preserve">          6241 - OFFICE EXPENSE</v>
      </c>
      <c r="C36" s="11"/>
      <c r="D36" s="6">
        <v>8.81</v>
      </c>
      <c r="E36" s="2"/>
      <c r="F36" s="7">
        <f t="shared" si="16"/>
        <v>0</v>
      </c>
      <c r="G36" s="2"/>
      <c r="H36" s="6">
        <v>-782.69</v>
      </c>
      <c r="I36" s="2"/>
      <c r="J36" s="7">
        <f t="shared" si="17"/>
        <v>0</v>
      </c>
      <c r="K36" s="2"/>
      <c r="L36" s="6">
        <f t="shared" si="18"/>
        <v>791.5</v>
      </c>
      <c r="M36" s="2"/>
      <c r="N36" s="7">
        <f t="shared" si="19"/>
        <v>-1.0112560528433989</v>
      </c>
      <c r="O36" s="11"/>
      <c r="P36" s="6">
        <v>31.75</v>
      </c>
      <c r="Q36" s="2"/>
      <c r="R36" s="7">
        <f t="shared" si="20"/>
        <v>0</v>
      </c>
      <c r="S36" s="2"/>
      <c r="T36" s="6">
        <v>-782.69</v>
      </c>
      <c r="U36" s="2"/>
      <c r="V36" s="7">
        <f t="shared" si="21"/>
        <v>0</v>
      </c>
      <c r="W36" s="2"/>
      <c r="X36" s="6">
        <f t="shared" si="22"/>
        <v>814.44</v>
      </c>
      <c r="Y36" s="2"/>
      <c r="Z36" s="7">
        <f t="shared" si="23"/>
        <v>-1.0405652301677548</v>
      </c>
    </row>
    <row r="37" spans="1:26" s="29" customFormat="1" outlineLevel="1" collapsed="1" x14ac:dyDescent="0.25">
      <c r="A37" s="27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SUM(OSRRefD22_5x_0)</f>
        <v>125</v>
      </c>
      <c r="E37" s="1"/>
      <c r="F37" s="5">
        <f t="shared" si="16"/>
        <v>0</v>
      </c>
      <c r="G37" s="1"/>
      <c r="H37" s="1">
        <f>SUM(OSRRefH22_5x_0)</f>
        <v>50</v>
      </c>
      <c r="I37" s="1"/>
      <c r="J37" s="5">
        <f t="shared" si="17"/>
        <v>0</v>
      </c>
      <c r="K37" s="1"/>
      <c r="L37" s="1">
        <f t="shared" si="18"/>
        <v>75</v>
      </c>
      <c r="M37" s="1"/>
      <c r="N37" s="5">
        <f t="shared" si="19"/>
        <v>1.5</v>
      </c>
      <c r="O37" s="14"/>
      <c r="P37" s="1">
        <f>SUM(OSRRefP22_5x_0)</f>
        <v>341.3</v>
      </c>
      <c r="Q37" s="1"/>
      <c r="R37" s="5">
        <f t="shared" si="20"/>
        <v>0</v>
      </c>
      <c r="S37" s="1"/>
      <c r="T37" s="1">
        <f>SUM(OSRRefT22_5x_0)</f>
        <v>195.25</v>
      </c>
      <c r="U37" s="1"/>
      <c r="V37" s="5">
        <f t="shared" si="21"/>
        <v>0</v>
      </c>
      <c r="W37" s="1"/>
      <c r="X37" s="1">
        <f t="shared" si="22"/>
        <v>146.05000000000001</v>
      </c>
      <c r="Y37" s="1"/>
      <c r="Z37" s="5">
        <f t="shared" si="23"/>
        <v>0.74801536491677345</v>
      </c>
    </row>
    <row r="38" spans="1:26" s="24" customFormat="1" hidden="1" outlineLevel="2" x14ac:dyDescent="0.25">
      <c r="A38" s="28"/>
      <c r="B38" s="11" t="str">
        <f>CONCATENATE("          ", "6309", " - ", "TELEPHONE")</f>
        <v xml:space="preserve">          6309 - TELEPHONE</v>
      </c>
      <c r="C38" s="11"/>
      <c r="D38" s="6">
        <v>125</v>
      </c>
      <c r="E38" s="2"/>
      <c r="F38" s="7">
        <f t="shared" si="16"/>
        <v>0</v>
      </c>
      <c r="G38" s="2"/>
      <c r="H38" s="6">
        <v>50</v>
      </c>
      <c r="I38" s="2"/>
      <c r="J38" s="7">
        <f t="shared" si="17"/>
        <v>0</v>
      </c>
      <c r="K38" s="2"/>
      <c r="L38" s="6">
        <f t="shared" si="18"/>
        <v>75</v>
      </c>
      <c r="M38" s="2"/>
      <c r="N38" s="7">
        <f t="shared" si="19"/>
        <v>1.5</v>
      </c>
      <c r="O38" s="11"/>
      <c r="P38" s="6">
        <v>341.3</v>
      </c>
      <c r="Q38" s="2"/>
      <c r="R38" s="7">
        <f t="shared" si="20"/>
        <v>0</v>
      </c>
      <c r="S38" s="2"/>
      <c r="T38" s="6">
        <v>195.25</v>
      </c>
      <c r="U38" s="2"/>
      <c r="V38" s="7">
        <f t="shared" si="21"/>
        <v>0</v>
      </c>
      <c r="W38" s="2"/>
      <c r="X38" s="6">
        <f t="shared" si="22"/>
        <v>146.05000000000001</v>
      </c>
      <c r="Y38" s="2"/>
      <c r="Z38" s="7">
        <f t="shared" si="23"/>
        <v>0.74801536491677345</v>
      </c>
    </row>
    <row r="39" spans="1:26" s="53" customFormat="1" x14ac:dyDescent="0.25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5" t="s">
        <v>0</v>
      </c>
      <c r="C40" s="10"/>
      <c r="D40" s="4">
        <f>SUM(OSRRefD25x_0)</f>
        <v>8086.11</v>
      </c>
      <c r="E40" s="4"/>
      <c r="F40" s="12">
        <f t="shared" ref="F40:F41" si="24">IF(D$12=0,0,D40/D$12)</f>
        <v>0</v>
      </c>
      <c r="G40" s="4"/>
      <c r="H40" s="4">
        <f>SUM(OSRRefH25x_0)</f>
        <v>8877.2900000000009</v>
      </c>
      <c r="I40" s="4"/>
      <c r="J40" s="12">
        <f t="shared" ref="J40:J41" si="25">IF(H$12=0,0,H40/H$12)</f>
        <v>0</v>
      </c>
      <c r="K40" s="4"/>
      <c r="L40" s="4">
        <f t="shared" ref="L40:L41" si="26">+D40-H40</f>
        <v>-791.1800000000012</v>
      </c>
      <c r="M40" s="4"/>
      <c r="N40" s="12">
        <f t="shared" ref="N40:N41" si="27">IF(H40=0,0,L40/H40)</f>
        <v>-8.9124045739184046E-2</v>
      </c>
      <c r="O40" s="10"/>
      <c r="P40" s="4">
        <f>SUM(OSRRefP25x_0)</f>
        <v>24210.17</v>
      </c>
      <c r="Q40" s="4"/>
      <c r="R40" s="12">
        <f t="shared" ref="R40:R41" si="28">IF(P$12=0,0,P40/P$12)</f>
        <v>0</v>
      </c>
      <c r="S40" s="4"/>
      <c r="T40" s="4">
        <f>SUM(OSRRefT25x_0)</f>
        <v>21421.66</v>
      </c>
      <c r="U40" s="4"/>
      <c r="V40" s="12">
        <f t="shared" ref="V40:V41" si="29">IF(T$12=0,0,T40/T$12)</f>
        <v>0</v>
      </c>
      <c r="W40" s="4"/>
      <c r="X40" s="4">
        <f t="shared" ref="X40:X41" si="30">+P40-T40</f>
        <v>2788.5099999999984</v>
      </c>
      <c r="Y40" s="4"/>
      <c r="Z40" s="12">
        <f t="shared" ref="Z40:Z41" si="31">IF(T40=0,0,X40/T40)</f>
        <v>0.13017245162139621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>--8086.11</f>
        <v>8086.11</v>
      </c>
      <c r="E41" s="2"/>
      <c r="F41" s="19">
        <f t="shared" si="24"/>
        <v>0</v>
      </c>
      <c r="G41" s="2"/>
      <c r="H41" s="2">
        <f>--8877.29</f>
        <v>8877.2900000000009</v>
      </c>
      <c r="I41" s="2"/>
      <c r="J41" s="19">
        <f t="shared" si="25"/>
        <v>0</v>
      </c>
      <c r="K41" s="2"/>
      <c r="L41" s="2">
        <f t="shared" si="26"/>
        <v>-791.1800000000012</v>
      </c>
      <c r="M41" s="2"/>
      <c r="N41" s="19">
        <f t="shared" si="27"/>
        <v>-8.9124045739184046E-2</v>
      </c>
      <c r="O41" s="11"/>
      <c r="P41" s="2">
        <f>--24210.17</f>
        <v>24210.17</v>
      </c>
      <c r="Q41" s="2"/>
      <c r="R41" s="19">
        <f t="shared" si="28"/>
        <v>0</v>
      </c>
      <c r="S41" s="2"/>
      <c r="T41" s="2">
        <f>--21421.66</f>
        <v>21421.66</v>
      </c>
      <c r="U41" s="2"/>
      <c r="V41" s="19">
        <f t="shared" si="29"/>
        <v>0</v>
      </c>
      <c r="W41" s="2"/>
      <c r="X41" s="2">
        <f t="shared" si="30"/>
        <v>2788.5099999999984</v>
      </c>
      <c r="Y41" s="2"/>
      <c r="Z41" s="19">
        <f t="shared" si="31"/>
        <v>0.13017245162139621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6" t="s">
        <v>3</v>
      </c>
      <c r="C43" s="26"/>
      <c r="D43" s="21">
        <f>+D17-D19+D40</f>
        <v>-5246.9900000000007</v>
      </c>
      <c r="E43" s="13"/>
      <c r="F43" s="20">
        <f>IF(D$12=0,0,D43/D$12)</f>
        <v>0</v>
      </c>
      <c r="G43" s="13"/>
      <c r="H43" s="21">
        <f>+H17-H19+H40</f>
        <v>2832.9100000000017</v>
      </c>
      <c r="I43" s="13"/>
      <c r="J43" s="20">
        <f>IF(H$12=0,0,H43/H$12)</f>
        <v>0</v>
      </c>
      <c r="K43" s="15"/>
      <c r="L43" s="21">
        <f>+D43-H43</f>
        <v>-8079.9000000000024</v>
      </c>
      <c r="M43" s="15"/>
      <c r="N43" s="20">
        <f>IF(H43=0,0,L43/H43)</f>
        <v>-2.8521555573597457</v>
      </c>
      <c r="O43" s="25"/>
      <c r="P43" s="21">
        <f>+P17-P19+P40</f>
        <v>-14906.970000000001</v>
      </c>
      <c r="Q43" s="13"/>
      <c r="R43" s="20">
        <f>IF(P$12=0,0,P43/P$12)</f>
        <v>0</v>
      </c>
      <c r="S43" s="13"/>
      <c r="T43" s="21">
        <f>+T17-T19+T40</f>
        <v>-6575.5599999999977</v>
      </c>
      <c r="U43" s="13"/>
      <c r="V43" s="20">
        <f>IF(T$12=0,0,T43/T$12)</f>
        <v>0</v>
      </c>
      <c r="W43" s="15"/>
      <c r="X43" s="21">
        <f>+P43-T43</f>
        <v>-8331.4100000000035</v>
      </c>
      <c r="Y43" s="15"/>
      <c r="Z43" s="20">
        <f>IF(T43=0,0,X43/T43)</f>
        <v>1.2670266867004494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13</v>
      </c>
      <c r="C45" s="10"/>
      <c r="D45" s="4"/>
      <c r="E45" s="4"/>
      <c r="F45" s="12">
        <f>IF(D$12=0,0,D45/D$12)</f>
        <v>0</v>
      </c>
      <c r="G45" s="4"/>
      <c r="H45" s="4"/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/>
      <c r="Q45" s="4"/>
      <c r="R45" s="12">
        <f>IF(P$12=0,0,P45/P$12)</f>
        <v>0</v>
      </c>
      <c r="S45" s="4"/>
      <c r="T45" s="4"/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6" t="s">
        <v>4</v>
      </c>
      <c r="C47" s="26"/>
      <c r="D47" s="35">
        <f>+D43-D45</f>
        <v>-5246.9900000000007</v>
      </c>
      <c r="E47" s="13"/>
      <c r="F47" s="30">
        <f>IF(D$12=0,0,D47/D$12)</f>
        <v>0</v>
      </c>
      <c r="G47" s="13"/>
      <c r="H47" s="35">
        <f>+H43-H45</f>
        <v>2832.9100000000017</v>
      </c>
      <c r="I47" s="13"/>
      <c r="J47" s="30">
        <f>IF(H$12=0,0,H47/H$12)</f>
        <v>0</v>
      </c>
      <c r="K47" s="15"/>
      <c r="L47" s="35">
        <f>D47-H47</f>
        <v>-8079.9000000000024</v>
      </c>
      <c r="M47" s="15"/>
      <c r="N47" s="30">
        <f>IF(H47=0,0,L47/H47)</f>
        <v>-2.8521555573597457</v>
      </c>
      <c r="O47" s="25"/>
      <c r="P47" s="35">
        <f>+P43-P45</f>
        <v>-14906.970000000001</v>
      </c>
      <c r="Q47" s="13"/>
      <c r="R47" s="30">
        <f>IF(P$12=0,0,P47/P$12)</f>
        <v>0</v>
      </c>
      <c r="S47" s="13"/>
      <c r="T47" s="35">
        <f>+T43-T45</f>
        <v>-6575.5599999999977</v>
      </c>
      <c r="U47" s="13"/>
      <c r="V47" s="30">
        <f>IF(T$12=0,0,T47/T$12)</f>
        <v>0</v>
      </c>
      <c r="W47" s="15"/>
      <c r="X47" s="35">
        <f>P47-T47</f>
        <v>-8331.4100000000035</v>
      </c>
      <c r="Y47" s="15"/>
      <c r="Z47" s="30">
        <f>IF(T47=0,0,X47/T47)</f>
        <v>1.2670266867004494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6" t="s">
        <v>5</v>
      </c>
      <c r="C50" s="26"/>
      <c r="D50" s="36">
        <f>SUM(D47:D49)</f>
        <v>-5246.9900000000007</v>
      </c>
      <c r="E50" s="13"/>
      <c r="F50" s="31">
        <f>IF(D$12=0,0,D50/D$12)</f>
        <v>0</v>
      </c>
      <c r="G50" s="13"/>
      <c r="H50" s="36">
        <f>SUM(H47:H49)</f>
        <v>2832.9100000000017</v>
      </c>
      <c r="I50" s="13"/>
      <c r="J50" s="31">
        <f>IF(H$12=0,0,H50/H$12)</f>
        <v>0</v>
      </c>
      <c r="K50" s="15"/>
      <c r="L50" s="36">
        <f>+D50-H50</f>
        <v>-8079.9000000000024</v>
      </c>
      <c r="M50" s="15"/>
      <c r="N50" s="31">
        <f>IF(H50=0,0,L50/H50)</f>
        <v>-2.8521555573597457</v>
      </c>
      <c r="O50" s="25"/>
      <c r="P50" s="36">
        <f>SUM(P47:P49)</f>
        <v>-14906.970000000001</v>
      </c>
      <c r="Q50" s="13"/>
      <c r="R50" s="31">
        <f>IF(P$12=0,0,P50/P$12)</f>
        <v>0</v>
      </c>
      <c r="S50" s="13"/>
      <c r="T50" s="36">
        <f>SUM(T47:T49)</f>
        <v>-6575.5599999999977</v>
      </c>
      <c r="U50" s="13"/>
      <c r="V50" s="31">
        <f>IF(T$12=0,0,T50/T$12)</f>
        <v>0</v>
      </c>
      <c r="W50" s="15"/>
      <c r="X50" s="36">
        <f>+P50-T50</f>
        <v>-8331.4100000000035</v>
      </c>
      <c r="Y50" s="15"/>
      <c r="Z50" s="31">
        <f>IF(T50=0,0,X50/T50)</f>
        <v>1.2670266867004494</v>
      </c>
    </row>
    <row r="51" spans="1:26" ht="15.75" thickTop="1" x14ac:dyDescent="0.25">
      <c r="A51" s="9"/>
      <c r="C51" s="9"/>
      <c r="D51" s="18"/>
      <c r="E51" s="18"/>
      <c r="G51" s="18"/>
      <c r="H51" s="18"/>
      <c r="I51" s="18"/>
      <c r="J51" s="42"/>
      <c r="K51" s="18"/>
      <c r="L51" s="18"/>
      <c r="M51" s="18"/>
      <c r="P51" s="18"/>
      <c r="Q51" s="18"/>
      <c r="R51" s="42"/>
      <c r="S51" s="18"/>
      <c r="T51" s="18"/>
      <c r="U51" s="18"/>
      <c r="V51" s="42"/>
      <c r="W51" s="18"/>
      <c r="X51" s="18"/>
    </row>
    <row r="52" spans="1:26" x14ac:dyDescent="0.25">
      <c r="A52" s="9"/>
      <c r="B52" s="55">
        <v>43756.463449918978</v>
      </c>
      <c r="D52" s="18"/>
      <c r="E52" s="18"/>
      <c r="G52" s="18"/>
      <c r="H52" s="18"/>
      <c r="I52" s="18"/>
      <c r="J52" s="42"/>
      <c r="K52" s="18"/>
      <c r="L52" s="18"/>
      <c r="M52" s="18"/>
      <c r="P52" s="18"/>
      <c r="Q52" s="18"/>
      <c r="R52" s="42"/>
      <c r="S52" s="18"/>
      <c r="T52" s="18"/>
      <c r="U52" s="18"/>
      <c r="V52" s="42"/>
      <c r="W52" s="18"/>
      <c r="X52" s="18"/>
    </row>
    <row r="53" spans="1:26" x14ac:dyDescent="0.25">
      <c r="A53" s="9"/>
      <c r="B53" s="56" t="s">
        <v>313</v>
      </c>
      <c r="D53" s="18"/>
      <c r="E53" s="18"/>
      <c r="G53" s="18"/>
      <c r="H53" s="18"/>
      <c r="I53" s="18"/>
      <c r="J53" s="42"/>
      <c r="K53" s="18"/>
      <c r="L53" s="18"/>
      <c r="M53" s="18"/>
      <c r="P53" s="18"/>
      <c r="Q53" s="18"/>
      <c r="R53" s="42"/>
      <c r="S53" s="18"/>
      <c r="T53" s="18"/>
      <c r="U53" s="18"/>
      <c r="V53" s="42"/>
      <c r="W53" s="18"/>
      <c r="X53" s="18"/>
    </row>
    <row r="54" spans="1:26" x14ac:dyDescent="0.25">
      <c r="A54" s="9"/>
      <c r="B54" s="57"/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","424", " - ", "Blair Field")</f>
        <v>Department 424 - Blair Field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19851.87</v>
      </c>
      <c r="Q12" s="4"/>
      <c r="R12" s="12"/>
      <c r="S12" s="4"/>
      <c r="T12" s="4">
        <f>SUM(OSRRefT13x_0)</f>
        <v>29308.32</v>
      </c>
      <c r="U12" s="4"/>
      <c r="V12" s="12"/>
      <c r="W12" s="4"/>
      <c r="X12" s="4">
        <f t="shared" ref="X12:X14" si="2">+P12-T12</f>
        <v>-9456.4500000000007</v>
      </c>
      <c r="Y12" s="4"/>
      <c r="Z12" s="12">
        <f t="shared" ref="Z12:Z14" si="3">IF(T12=0,0,X12/T12)</f>
        <v>-0.32265411323474019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--19851.87</f>
        <v>19851.87</v>
      </c>
      <c r="Q13" s="2"/>
      <c r="R13" s="19"/>
      <c r="S13" s="2"/>
      <c r="T13" s="2">
        <f>--17802.24</f>
        <v>17802.240000000002</v>
      </c>
      <c r="U13" s="2"/>
      <c r="V13" s="19"/>
      <c r="W13" s="2"/>
      <c r="X13" s="2">
        <f t="shared" si="2"/>
        <v>2049.6299999999974</v>
      </c>
      <c r="Y13" s="2"/>
      <c r="Z13" s="19">
        <f t="shared" si="3"/>
        <v>0.11513326412855894</v>
      </c>
    </row>
    <row r="14" spans="1:26" s="24" customFormat="1" hidden="1" outlineLevel="1" x14ac:dyDescent="0.25">
      <c r="A14" s="44"/>
      <c r="B14" s="11" t="str">
        <f>CONCATENATE("          ", "4057", " - ", "TAXABLE SALES-FOOD")</f>
        <v xml:space="preserve">          4057 - TAXABLE SALES-FOOD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--11506.08</f>
        <v>11506.08</v>
      </c>
      <c r="U14" s="2"/>
      <c r="V14" s="19"/>
      <c r="W14" s="2"/>
      <c r="X14" s="2">
        <f t="shared" si="2"/>
        <v>-11506.08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-0.35000000000002274</v>
      </c>
      <c r="I16" s="4"/>
      <c r="J16" s="12">
        <f t="shared" ref="J16:J18" si="7">IF(H$12=0,0,H16/H$12)</f>
        <v>0</v>
      </c>
      <c r="K16" s="4"/>
      <c r="L16" s="4">
        <f t="shared" ref="L16:L18" si="8">+D16-H16</f>
        <v>0.35000000000002274</v>
      </c>
      <c r="M16" s="4"/>
      <c r="N16" s="12">
        <f t="shared" ref="N16:N18" si="9">IF(H16=0,0,L16/H16)</f>
        <v>-1</v>
      </c>
      <c r="O16" s="10"/>
      <c r="P16" s="4">
        <f>SUM(OSRRefP16x_0)</f>
        <v>4810.79</v>
      </c>
      <c r="Q16" s="4"/>
      <c r="R16" s="12">
        <f t="shared" ref="R16:R18" si="10">IF(P$12=0,0,P16/P$12)</f>
        <v>0.24233434935852391</v>
      </c>
      <c r="S16" s="4"/>
      <c r="T16" s="4">
        <f>SUM(OSRRefT16x_0)</f>
        <v>7325.93</v>
      </c>
      <c r="U16" s="4"/>
      <c r="V16" s="12">
        <f t="shared" ref="V16:V18" si="11">IF(T$12=0,0,T16/T$12)</f>
        <v>0.24996076199522868</v>
      </c>
      <c r="W16" s="4"/>
      <c r="X16" s="4">
        <f t="shared" ref="X16:X18" si="12">+P16-T16</f>
        <v>-2515.1400000000003</v>
      </c>
      <c r="Y16" s="4"/>
      <c r="Z16" s="12">
        <f t="shared" ref="Z16:Z18" si="13">IF(T16=0,0,X16/T16)</f>
        <v>-0.3433202337450672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264.64999999999998</v>
      </c>
      <c r="I17" s="2"/>
      <c r="J17" s="19">
        <f t="shared" si="7"/>
        <v>0</v>
      </c>
      <c r="K17" s="2"/>
      <c r="L17" s="2">
        <f t="shared" si="8"/>
        <v>-264.64999999999998</v>
      </c>
      <c r="M17" s="2"/>
      <c r="N17" s="19">
        <f t="shared" si="9"/>
        <v>-1</v>
      </c>
      <c r="O17" s="11"/>
      <c r="P17" s="2">
        <v>6367.79</v>
      </c>
      <c r="Q17" s="2"/>
      <c r="R17" s="19">
        <f t="shared" si="10"/>
        <v>0.32076524780788912</v>
      </c>
      <c r="S17" s="2"/>
      <c r="T17" s="2">
        <v>3459.93</v>
      </c>
      <c r="U17" s="2"/>
      <c r="V17" s="19">
        <f t="shared" si="11"/>
        <v>0.11805282595522364</v>
      </c>
      <c r="W17" s="2"/>
      <c r="X17" s="2">
        <f t="shared" si="12"/>
        <v>2907.86</v>
      </c>
      <c r="Y17" s="2"/>
      <c r="Z17" s="19">
        <f t="shared" si="13"/>
        <v>0.84043896841843624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-265</v>
      </c>
      <c r="I18" s="2"/>
      <c r="J18" s="19">
        <f t="shared" si="7"/>
        <v>0</v>
      </c>
      <c r="K18" s="2"/>
      <c r="L18" s="2">
        <f t="shared" si="8"/>
        <v>265</v>
      </c>
      <c r="M18" s="2"/>
      <c r="N18" s="19">
        <f t="shared" si="9"/>
        <v>-1</v>
      </c>
      <c r="O18" s="11"/>
      <c r="P18" s="2">
        <v>-1557</v>
      </c>
      <c r="Q18" s="2"/>
      <c r="R18" s="19">
        <f t="shared" si="10"/>
        <v>-7.8430898449365224E-2</v>
      </c>
      <c r="S18" s="2"/>
      <c r="T18" s="2">
        <v>3866</v>
      </c>
      <c r="U18" s="2"/>
      <c r="V18" s="19">
        <f t="shared" si="11"/>
        <v>0.13190793604000503</v>
      </c>
      <c r="W18" s="2"/>
      <c r="X18" s="2">
        <f t="shared" si="12"/>
        <v>-5423</v>
      </c>
      <c r="Y18" s="2"/>
      <c r="Z18" s="19">
        <f t="shared" si="13"/>
        <v>-1.4027418520434558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1">
        <f>D12-D16</f>
        <v>0</v>
      </c>
      <c r="E20" s="13"/>
      <c r="F20" s="20">
        <f>IF(D$12=0,0,D20/D$12)</f>
        <v>0</v>
      </c>
      <c r="G20" s="13"/>
      <c r="H20" s="21">
        <f>H12-H16</f>
        <v>0.35000000000002274</v>
      </c>
      <c r="I20" s="13"/>
      <c r="J20" s="20">
        <f>IF(H$12=0,0,H20/H$12)</f>
        <v>0</v>
      </c>
      <c r="K20" s="15"/>
      <c r="L20" s="21">
        <f>+D20-H20</f>
        <v>-0.35000000000002274</v>
      </c>
      <c r="M20" s="15"/>
      <c r="N20" s="20">
        <f>IF(H20=0,0,L20/H20)</f>
        <v>-1</v>
      </c>
      <c r="O20" s="25"/>
      <c r="P20" s="21">
        <f>P12-P16</f>
        <v>15041.079999999998</v>
      </c>
      <c r="Q20" s="13"/>
      <c r="R20" s="20">
        <f>IF(P$12=0,0,P20/P$12)</f>
        <v>0.75766565064147606</v>
      </c>
      <c r="S20" s="13"/>
      <c r="T20" s="21">
        <f>T12-T16</f>
        <v>21982.39</v>
      </c>
      <c r="U20" s="13"/>
      <c r="V20" s="20">
        <f>IF(T$12=0,0,T20/T$12)</f>
        <v>0.75003923800477135</v>
      </c>
      <c r="W20" s="15"/>
      <c r="X20" s="21">
        <f>+P20-T20</f>
        <v>-6941.3100000000013</v>
      </c>
      <c r="Y20" s="15"/>
      <c r="Z20" s="20">
        <f>IF(T20=0,0,X20/T20)</f>
        <v>-0.31576684791781062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3725.33</v>
      </c>
      <c r="E22" s="22"/>
      <c r="F22" s="34">
        <f t="shared" ref="F22:F26" si="14">IF(D$12=0,0,D22/D$12)</f>
        <v>0</v>
      </c>
      <c r="G22" s="22"/>
      <c r="H22" s="22">
        <f>SUM(OSRRefH22x_0)</f>
        <v>1337.65</v>
      </c>
      <c r="I22" s="22"/>
      <c r="J22" s="34">
        <f t="shared" ref="J22:J26" si="15">IF(H$12=0,0,H22/H$12)</f>
        <v>0</v>
      </c>
      <c r="K22" s="4"/>
      <c r="L22" s="22">
        <f t="shared" ref="L22:L26" si="16">+D22-H22</f>
        <v>2387.6799999999998</v>
      </c>
      <c r="M22" s="4"/>
      <c r="N22" s="34">
        <f t="shared" ref="N22:N26" si="17">IF(H22=0,0,L22/H22)</f>
        <v>1.784981123612305</v>
      </c>
      <c r="O22" s="10"/>
      <c r="P22" s="22">
        <f>SUM(OSRRefP22x_0)</f>
        <v>15642.890000000001</v>
      </c>
      <c r="Q22" s="22"/>
      <c r="R22" s="34">
        <f t="shared" ref="R22:R26" si="18">IF(P$12=0,0,P22/P$12)</f>
        <v>0.78798067889826007</v>
      </c>
      <c r="S22" s="22"/>
      <c r="T22" s="22">
        <f>SUM(OSRRefT22x_0)</f>
        <v>21184.61</v>
      </c>
      <c r="U22" s="22"/>
      <c r="V22" s="34">
        <f t="shared" ref="V22:V26" si="19">IF(T$12=0,0,T22/T$12)</f>
        <v>0.72281898109478815</v>
      </c>
      <c r="W22" s="4"/>
      <c r="X22" s="22">
        <f t="shared" ref="X22:X26" si="20">+P22-T22</f>
        <v>-5541.7199999999993</v>
      </c>
      <c r="Y22" s="4"/>
      <c r="Z22" s="34">
        <f t="shared" ref="Z22:Z26" si="21">IF(T22=0,0,X22/T22)</f>
        <v>-0.26159178762318491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1.5</v>
      </c>
      <c r="I23" s="1"/>
      <c r="J23" s="5">
        <f t="shared" si="15"/>
        <v>0</v>
      </c>
      <c r="K23" s="1"/>
      <c r="L23" s="1">
        <f t="shared" si="16"/>
        <v>-1.5</v>
      </c>
      <c r="M23" s="1"/>
      <c r="N23" s="5">
        <f t="shared" si="17"/>
        <v>-1</v>
      </c>
      <c r="O23" s="14"/>
      <c r="P23" s="1">
        <f>SUM(OSRRefP22_0x_0)</f>
        <v>323.69</v>
      </c>
      <c r="Q23" s="1"/>
      <c r="R23" s="5">
        <f t="shared" si="18"/>
        <v>1.6305264944813765E-2</v>
      </c>
      <c r="S23" s="1"/>
      <c r="T23" s="1">
        <f>SUM(OSRRefT22_0x_0)</f>
        <v>105.07</v>
      </c>
      <c r="U23" s="1"/>
      <c r="V23" s="5">
        <f t="shared" si="19"/>
        <v>3.5849888359346421E-3</v>
      </c>
      <c r="W23" s="1"/>
      <c r="X23" s="1">
        <f t="shared" si="20"/>
        <v>218.62</v>
      </c>
      <c r="Y23" s="1"/>
      <c r="Z23" s="5">
        <f t="shared" si="21"/>
        <v>2.0807080993623299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/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1"/>
      <c r="P24" s="6">
        <v>323.69</v>
      </c>
      <c r="Q24" s="2"/>
      <c r="R24" s="7">
        <f t="shared" si="18"/>
        <v>1.6305264944813765E-2</v>
      </c>
      <c r="S24" s="2"/>
      <c r="T24" s="6">
        <v>71.17</v>
      </c>
      <c r="U24" s="2"/>
      <c r="V24" s="7">
        <f t="shared" si="19"/>
        <v>2.4283206952837966E-3</v>
      </c>
      <c r="W24" s="2"/>
      <c r="X24" s="6">
        <f t="shared" si="20"/>
        <v>252.51999999999998</v>
      </c>
      <c r="Y24" s="2"/>
      <c r="Z24" s="7">
        <f t="shared" si="21"/>
        <v>3.5481242096388925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/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1"/>
      <c r="P25" s="6"/>
      <c r="Q25" s="2"/>
      <c r="R25" s="7">
        <f t="shared" si="18"/>
        <v>0</v>
      </c>
      <c r="S25" s="2"/>
      <c r="T25" s="6">
        <v>30.16</v>
      </c>
      <c r="U25" s="2"/>
      <c r="V25" s="7">
        <f t="shared" si="19"/>
        <v>1.029059325133614E-3</v>
      </c>
      <c r="W25" s="2"/>
      <c r="X25" s="6">
        <f t="shared" si="20"/>
        <v>-30.16</v>
      </c>
      <c r="Y25" s="2"/>
      <c r="Z25" s="7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1.5</v>
      </c>
      <c r="I26" s="2"/>
      <c r="J26" s="7">
        <f t="shared" si="15"/>
        <v>0</v>
      </c>
      <c r="K26" s="2"/>
      <c r="L26" s="6">
        <f t="shared" si="16"/>
        <v>-1.5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3.74</v>
      </c>
      <c r="U26" s="2"/>
      <c r="V26" s="7">
        <f t="shared" si="19"/>
        <v>1.2760881551723198E-4</v>
      </c>
      <c r="W26" s="2"/>
      <c r="X26" s="6">
        <f t="shared" si="20"/>
        <v>-3.74</v>
      </c>
      <c r="Y26" s="2"/>
      <c r="Z26" s="7">
        <f t="shared" si="21"/>
        <v>-1</v>
      </c>
    </row>
    <row r="27" spans="1:26" s="29" customFormat="1" outlineLevel="1" collapsed="1" x14ac:dyDescent="0.25">
      <c r="A27" s="27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0</v>
      </c>
      <c r="E27" s="1"/>
      <c r="F27" s="5">
        <f t="shared" ref="F27:F31" si="22">IF(D$12=0,0,D27/D$12)</f>
        <v>0</v>
      </c>
      <c r="G27" s="1"/>
      <c r="H27" s="1">
        <f>SUM(OSRRefH22_1x_0)</f>
        <v>544.01</v>
      </c>
      <c r="I27" s="1"/>
      <c r="J27" s="5">
        <f t="shared" ref="J27:J31" si="23">IF(H$12=0,0,H27/H$12)</f>
        <v>0</v>
      </c>
      <c r="K27" s="1"/>
      <c r="L27" s="1">
        <f t="shared" ref="L27:L31" si="24">+D27-H27</f>
        <v>-544.01</v>
      </c>
      <c r="M27" s="1"/>
      <c r="N27" s="5">
        <f t="shared" ref="N27:N31" si="25">IF(H27=0,0,L27/H27)</f>
        <v>-1</v>
      </c>
      <c r="O27" s="14"/>
      <c r="P27" s="1">
        <f>SUM(OSRRefP22_1x_0)</f>
        <v>4864.18</v>
      </c>
      <c r="Q27" s="1"/>
      <c r="R27" s="5">
        <f t="shared" ref="R27:R31" si="26">IF(P$12=0,0,P27/P$12)</f>
        <v>0.24502376854170416</v>
      </c>
      <c r="S27" s="1"/>
      <c r="T27" s="1">
        <f>SUM(OSRRefT22_1x_0)</f>
        <v>1567.26</v>
      </c>
      <c r="U27" s="1"/>
      <c r="V27" s="5">
        <f t="shared" ref="V27:V31" si="27">IF(T$12=0,0,T27/T$12)</f>
        <v>5.3474917702549994E-2</v>
      </c>
      <c r="W27" s="1"/>
      <c r="X27" s="1">
        <f t="shared" ref="X27:X31" si="28">+P27-T27</f>
        <v>3296.92</v>
      </c>
      <c r="Y27" s="1"/>
      <c r="Z27" s="5">
        <f t="shared" ref="Z27:Z31" si="29">IF(T27=0,0,X27/T27)</f>
        <v>2.1036203310235697</v>
      </c>
    </row>
    <row r="28" spans="1:26" s="24" customFormat="1" hidden="1" outlineLevel="2" x14ac:dyDescent="0.25">
      <c r="A28" s="28"/>
      <c r="B28" s="11" t="str">
        <f>CONCATENATE("          ", "6005", " - ", "TEMPORARY WAGES-HOURLY")</f>
        <v xml:space="preserve">          6005 - TEMPORARY WAGES-HOURLY</v>
      </c>
      <c r="C28" s="11"/>
      <c r="D28" s="6"/>
      <c r="E28" s="2"/>
      <c r="F28" s="7">
        <f t="shared" si="22"/>
        <v>0</v>
      </c>
      <c r="G28" s="2"/>
      <c r="H28" s="6"/>
      <c r="I28" s="2"/>
      <c r="J28" s="7">
        <f t="shared" si="23"/>
        <v>0</v>
      </c>
      <c r="K28" s="2"/>
      <c r="L28" s="6">
        <f t="shared" si="24"/>
        <v>0</v>
      </c>
      <c r="M28" s="2"/>
      <c r="N28" s="7">
        <f t="shared" si="25"/>
        <v>0</v>
      </c>
      <c r="O28" s="11"/>
      <c r="P28" s="6">
        <v>1896.99</v>
      </c>
      <c r="Q28" s="2"/>
      <c r="R28" s="7">
        <f t="shared" si="26"/>
        <v>9.5557244733115831E-2</v>
      </c>
      <c r="S28" s="2"/>
      <c r="T28" s="6"/>
      <c r="U28" s="2"/>
      <c r="V28" s="7">
        <f t="shared" si="27"/>
        <v>0</v>
      </c>
      <c r="W28" s="2"/>
      <c r="X28" s="6">
        <f t="shared" si="28"/>
        <v>1896.99</v>
      </c>
      <c r="Y28" s="2"/>
      <c r="Z28" s="7">
        <f t="shared" si="29"/>
        <v>0</v>
      </c>
    </row>
    <row r="29" spans="1:26" s="24" customFormat="1" hidden="1" outlineLevel="2" x14ac:dyDescent="0.25">
      <c r="A29" s="28"/>
      <c r="B29" s="11" t="str">
        <f>CONCATENATE("          ", "6006", " - ", "TEMPORARY PART TIME")</f>
        <v xml:space="preserve">          6006 - TEMPORARY PART TIME</v>
      </c>
      <c r="C29" s="11"/>
      <c r="D29" s="6"/>
      <c r="E29" s="2"/>
      <c r="F29" s="7">
        <f t="shared" si="22"/>
        <v>0</v>
      </c>
      <c r="G29" s="2"/>
      <c r="H29" s="6"/>
      <c r="I29" s="2"/>
      <c r="J29" s="7">
        <f t="shared" si="23"/>
        <v>0</v>
      </c>
      <c r="K29" s="2"/>
      <c r="L29" s="6">
        <f t="shared" si="24"/>
        <v>0</v>
      </c>
      <c r="M29" s="2"/>
      <c r="N29" s="7">
        <f t="shared" si="25"/>
        <v>0</v>
      </c>
      <c r="O29" s="11"/>
      <c r="P29" s="6">
        <v>247.5</v>
      </c>
      <c r="Q29" s="2"/>
      <c r="R29" s="7">
        <f t="shared" si="26"/>
        <v>1.2467339348887536E-2</v>
      </c>
      <c r="S29" s="2"/>
      <c r="T29" s="6"/>
      <c r="U29" s="2"/>
      <c r="V29" s="7">
        <f t="shared" si="27"/>
        <v>0</v>
      </c>
      <c r="W29" s="2"/>
      <c r="X29" s="6">
        <f t="shared" si="28"/>
        <v>247.5</v>
      </c>
      <c r="Y29" s="2"/>
      <c r="Z29" s="7">
        <f t="shared" si="29"/>
        <v>0</v>
      </c>
    </row>
    <row r="30" spans="1:26" s="24" customFormat="1" hidden="1" outlineLevel="2" x14ac:dyDescent="0.25">
      <c r="A30" s="28"/>
      <c r="B30" s="11" t="str">
        <f>CONCATENATE("          ", "6007", " - ", "STUDENT HOURLY")</f>
        <v xml:space="preserve">          6007 - STUDENT HOURLY</v>
      </c>
      <c r="C30" s="11"/>
      <c r="D30" s="6"/>
      <c r="E30" s="2"/>
      <c r="F30" s="7">
        <f t="shared" si="22"/>
        <v>0</v>
      </c>
      <c r="G30" s="2"/>
      <c r="H30" s="6">
        <v>544.01</v>
      </c>
      <c r="I30" s="2"/>
      <c r="J30" s="7">
        <f t="shared" si="23"/>
        <v>0</v>
      </c>
      <c r="K30" s="2"/>
      <c r="L30" s="6">
        <f t="shared" si="24"/>
        <v>-544.01</v>
      </c>
      <c r="M30" s="2"/>
      <c r="N30" s="7">
        <f t="shared" si="25"/>
        <v>-1</v>
      </c>
      <c r="O30" s="11"/>
      <c r="P30" s="6">
        <v>2086.69</v>
      </c>
      <c r="Q30" s="2"/>
      <c r="R30" s="7">
        <f t="shared" si="26"/>
        <v>0.10511301957951569</v>
      </c>
      <c r="S30" s="2"/>
      <c r="T30" s="6">
        <v>1567.26</v>
      </c>
      <c r="U30" s="2"/>
      <c r="V30" s="7">
        <f t="shared" si="27"/>
        <v>5.3474917702549994E-2</v>
      </c>
      <c r="W30" s="2"/>
      <c r="X30" s="6">
        <f t="shared" si="28"/>
        <v>519.43000000000006</v>
      </c>
      <c r="Y30" s="2"/>
      <c r="Z30" s="7">
        <f t="shared" si="29"/>
        <v>0.33142554521904477</v>
      </c>
    </row>
    <row r="31" spans="1:26" s="24" customFormat="1" hidden="1" outlineLevel="2" x14ac:dyDescent="0.25">
      <c r="A31" s="28"/>
      <c r="B31" s="11" t="str">
        <f>CONCATENATE("          ", "6008", " - ", "STUDENT HOURLY-FICA EXEMPT")</f>
        <v xml:space="preserve">          6008 - STUDENT HOURLY-FICA EXEMPT</v>
      </c>
      <c r="C31" s="11"/>
      <c r="D31" s="6"/>
      <c r="E31" s="2"/>
      <c r="F31" s="7">
        <f t="shared" si="22"/>
        <v>0</v>
      </c>
      <c r="G31" s="2"/>
      <c r="H31" s="6"/>
      <c r="I31" s="2"/>
      <c r="J31" s="7">
        <f t="shared" si="23"/>
        <v>0</v>
      </c>
      <c r="K31" s="2"/>
      <c r="L31" s="6">
        <f t="shared" si="24"/>
        <v>0</v>
      </c>
      <c r="M31" s="2"/>
      <c r="N31" s="7">
        <f t="shared" si="25"/>
        <v>0</v>
      </c>
      <c r="O31" s="11"/>
      <c r="P31" s="6">
        <v>633</v>
      </c>
      <c r="Q31" s="2"/>
      <c r="R31" s="7">
        <f t="shared" si="26"/>
        <v>3.1886164880185093E-2</v>
      </c>
      <c r="S31" s="2"/>
      <c r="T31" s="6"/>
      <c r="U31" s="2"/>
      <c r="V31" s="7">
        <f t="shared" si="27"/>
        <v>0</v>
      </c>
      <c r="W31" s="2"/>
      <c r="X31" s="6">
        <f t="shared" si="28"/>
        <v>633</v>
      </c>
      <c r="Y31" s="2"/>
      <c r="Z31" s="7">
        <f t="shared" si="29"/>
        <v>0</v>
      </c>
    </row>
    <row r="32" spans="1:26" s="29" customFormat="1" outlineLevel="1" collapsed="1" x14ac:dyDescent="0.25">
      <c r="A32" s="27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SUM(OSRRefD22_2x_0)</f>
        <v>0</v>
      </c>
      <c r="E32" s="1"/>
      <c r="F32" s="5">
        <f t="shared" ref="F32:F44" si="30">IF(D$12=0,0,D32/D$12)</f>
        <v>0</v>
      </c>
      <c r="G32" s="1"/>
      <c r="H32" s="1">
        <f>SUM(OSRRefH22_2x_0)</f>
        <v>0</v>
      </c>
      <c r="I32" s="1"/>
      <c r="J32" s="5">
        <f t="shared" ref="J32:J44" si="31">IF(H$12=0,0,H32/H$12)</f>
        <v>0</v>
      </c>
      <c r="K32" s="1"/>
      <c r="L32" s="1">
        <f t="shared" ref="L32:L44" si="32">+D32-H32</f>
        <v>0</v>
      </c>
      <c r="M32" s="1"/>
      <c r="N32" s="5">
        <f t="shared" ref="N32:N44" si="33">IF(H32=0,0,L32/H32)</f>
        <v>0</v>
      </c>
      <c r="O32" s="14"/>
      <c r="P32" s="1">
        <f>SUM(OSRRefP22_2x_0)</f>
        <v>103.95</v>
      </c>
      <c r="Q32" s="1"/>
      <c r="R32" s="5">
        <f t="shared" ref="R32:R44" si="34">IF(P$12=0,0,P32/P$12)</f>
        <v>5.2362825265327654E-3</v>
      </c>
      <c r="S32" s="1"/>
      <c r="T32" s="1">
        <f>SUM(OSRRefT22_2x_0)</f>
        <v>31.5</v>
      </c>
      <c r="U32" s="1"/>
      <c r="V32" s="5">
        <f t="shared" ref="V32:V44" si="35">IF(T$12=0,0,T32/T$12)</f>
        <v>1.0747801306932639E-3</v>
      </c>
      <c r="W32" s="1"/>
      <c r="X32" s="1">
        <f t="shared" ref="X32:X44" si="36">+P32-T32</f>
        <v>72.45</v>
      </c>
      <c r="Y32" s="1"/>
      <c r="Z32" s="5">
        <f t="shared" ref="Z32:Z44" si="37">IF(T32=0,0,X32/T32)</f>
        <v>2.3000000000000003</v>
      </c>
    </row>
    <row r="33" spans="1:26" s="24" customFormat="1" hidden="1" outlineLevel="2" x14ac:dyDescent="0.25">
      <c r="A33" s="28"/>
      <c r="B33" s="11" t="str">
        <f>CONCATENATE("          ", "6362", " - ", "ADVERTISING EXPENSE")</f>
        <v xml:space="preserve">          6362 - ADVERTISING EXPENSE</v>
      </c>
      <c r="C33" s="11"/>
      <c r="D33" s="6"/>
      <c r="E33" s="2"/>
      <c r="F33" s="7">
        <f t="shared" si="30"/>
        <v>0</v>
      </c>
      <c r="G33" s="2"/>
      <c r="H33" s="6"/>
      <c r="I33" s="2"/>
      <c r="J33" s="7">
        <f t="shared" si="31"/>
        <v>0</v>
      </c>
      <c r="K33" s="2"/>
      <c r="L33" s="6">
        <f t="shared" si="32"/>
        <v>0</v>
      </c>
      <c r="M33" s="2"/>
      <c r="N33" s="7">
        <f t="shared" si="33"/>
        <v>0</v>
      </c>
      <c r="O33" s="11"/>
      <c r="P33" s="6">
        <v>103.95</v>
      </c>
      <c r="Q33" s="2"/>
      <c r="R33" s="7">
        <f t="shared" si="34"/>
        <v>5.2362825265327654E-3</v>
      </c>
      <c r="S33" s="2"/>
      <c r="T33" s="6">
        <v>31.5</v>
      </c>
      <c r="U33" s="2"/>
      <c r="V33" s="7">
        <f t="shared" si="35"/>
        <v>1.0747801306932639E-3</v>
      </c>
      <c r="W33" s="2"/>
      <c r="X33" s="6">
        <f t="shared" si="36"/>
        <v>72.45</v>
      </c>
      <c r="Y33" s="2"/>
      <c r="Z33" s="7">
        <f t="shared" si="37"/>
        <v>2.3000000000000003</v>
      </c>
    </row>
    <row r="34" spans="1:26" s="29" customFormat="1" outlineLevel="1" collapsed="1" x14ac:dyDescent="0.25">
      <c r="A34" s="27"/>
      <c r="B34" s="14" t="str">
        <f>CONCATENATE("     ","Bad Debts/Over/Short                              ")</f>
        <v xml:space="preserve">     Bad Debts/Over/Short                              </v>
      </c>
      <c r="C34" s="14"/>
      <c r="D34" s="1">
        <f>SUM(OSRRefD22_3x_0)</f>
        <v>0</v>
      </c>
      <c r="E34" s="1"/>
      <c r="F34" s="5">
        <f t="shared" si="30"/>
        <v>0</v>
      </c>
      <c r="G34" s="1"/>
      <c r="H34" s="1">
        <f>SUM(OSRRefH22_3x_0)</f>
        <v>0</v>
      </c>
      <c r="I34" s="1"/>
      <c r="J34" s="5">
        <f t="shared" si="31"/>
        <v>0</v>
      </c>
      <c r="K34" s="1"/>
      <c r="L34" s="1">
        <f t="shared" si="32"/>
        <v>0</v>
      </c>
      <c r="M34" s="1"/>
      <c r="N34" s="5">
        <f t="shared" si="33"/>
        <v>0</v>
      </c>
      <c r="O34" s="14"/>
      <c r="P34" s="1">
        <f>SUM(OSRRefP22_3x_0)</f>
        <v>1.85</v>
      </c>
      <c r="Q34" s="1"/>
      <c r="R34" s="5">
        <f t="shared" si="34"/>
        <v>9.3190213314916939E-5</v>
      </c>
      <c r="S34" s="1"/>
      <c r="T34" s="1">
        <f>SUM(OSRRefT22_3x_0)</f>
        <v>-17.079999999999998</v>
      </c>
      <c r="U34" s="1"/>
      <c r="V34" s="5">
        <f t="shared" si="35"/>
        <v>-5.827696708647919E-4</v>
      </c>
      <c r="W34" s="1"/>
      <c r="X34" s="1">
        <f t="shared" si="36"/>
        <v>18.93</v>
      </c>
      <c r="Y34" s="1"/>
      <c r="Z34" s="5">
        <f t="shared" si="37"/>
        <v>-1.1083138173302109</v>
      </c>
    </row>
    <row r="35" spans="1:26" s="24" customFormat="1" hidden="1" outlineLevel="2" x14ac:dyDescent="0.25">
      <c r="A35" s="28"/>
      <c r="B35" s="11" t="str">
        <f>CONCATENATE("          ", "6272", " - ", "CASH (OVER/SHORT)")</f>
        <v xml:space="preserve">          6272 - CASH (OVER/SHORT)</v>
      </c>
      <c r="C35" s="11"/>
      <c r="D35" s="6"/>
      <c r="E35" s="2"/>
      <c r="F35" s="7">
        <f t="shared" si="30"/>
        <v>0</v>
      </c>
      <c r="G35" s="2"/>
      <c r="H35" s="6"/>
      <c r="I35" s="2"/>
      <c r="J35" s="7">
        <f t="shared" si="31"/>
        <v>0</v>
      </c>
      <c r="K35" s="2"/>
      <c r="L35" s="6">
        <f t="shared" si="32"/>
        <v>0</v>
      </c>
      <c r="M35" s="2"/>
      <c r="N35" s="7">
        <f t="shared" si="33"/>
        <v>0</v>
      </c>
      <c r="O35" s="11"/>
      <c r="P35" s="6">
        <v>1.85</v>
      </c>
      <c r="Q35" s="2"/>
      <c r="R35" s="7">
        <f t="shared" si="34"/>
        <v>9.3190213314916939E-5</v>
      </c>
      <c r="S35" s="2"/>
      <c r="T35" s="6">
        <v>-17.079999999999998</v>
      </c>
      <c r="U35" s="2"/>
      <c r="V35" s="7">
        <f t="shared" si="35"/>
        <v>-5.827696708647919E-4</v>
      </c>
      <c r="W35" s="2"/>
      <c r="X35" s="6">
        <f t="shared" si="36"/>
        <v>18.93</v>
      </c>
      <c r="Y35" s="2"/>
      <c r="Z35" s="7">
        <f t="shared" si="37"/>
        <v>-1.1083138173302109</v>
      </c>
    </row>
    <row r="36" spans="1:26" s="29" customFormat="1" outlineLevel="1" collapsed="1" x14ac:dyDescent="0.25">
      <c r="A36" s="27"/>
      <c r="B36" s="14" t="str">
        <f>CONCATENATE("     ","Bank/card Fees                                    ")</f>
        <v xml:space="preserve">     Bank/card Fees                                    </v>
      </c>
      <c r="C36" s="14"/>
      <c r="D36" s="1">
        <f>SUM(OSRRefD22_4x_0)</f>
        <v>0</v>
      </c>
      <c r="E36" s="1"/>
      <c r="F36" s="5">
        <f t="shared" si="30"/>
        <v>0</v>
      </c>
      <c r="G36" s="1"/>
      <c r="H36" s="1">
        <f>SUM(OSRRefH22_4x_0)</f>
        <v>0</v>
      </c>
      <c r="I36" s="1"/>
      <c r="J36" s="5">
        <f t="shared" si="31"/>
        <v>0</v>
      </c>
      <c r="K36" s="1"/>
      <c r="L36" s="1">
        <f t="shared" si="32"/>
        <v>0</v>
      </c>
      <c r="M36" s="1"/>
      <c r="N36" s="5">
        <f t="shared" si="33"/>
        <v>0</v>
      </c>
      <c r="O36" s="14"/>
      <c r="P36" s="1">
        <f>SUM(OSRRefP22_4x_0)</f>
        <v>333.47</v>
      </c>
      <c r="Q36" s="1"/>
      <c r="R36" s="5">
        <f t="shared" si="34"/>
        <v>1.6797913748175866E-2</v>
      </c>
      <c r="S36" s="1"/>
      <c r="T36" s="1">
        <f>SUM(OSRRefT22_4x_0)</f>
        <v>546</v>
      </c>
      <c r="U36" s="1"/>
      <c r="V36" s="5">
        <f t="shared" si="35"/>
        <v>1.8629522265349908E-2</v>
      </c>
      <c r="W36" s="1"/>
      <c r="X36" s="1">
        <f t="shared" si="36"/>
        <v>-212.52999999999997</v>
      </c>
      <c r="Y36" s="1"/>
      <c r="Z36" s="5">
        <f t="shared" si="37"/>
        <v>-0.38924908424908422</v>
      </c>
    </row>
    <row r="37" spans="1:26" s="24" customFormat="1" hidden="1" outlineLevel="2" x14ac:dyDescent="0.25">
      <c r="A37" s="28"/>
      <c r="B37" s="11" t="str">
        <f>CONCATENATE("          ", "6381", " - ", "BANK/CREDIT CARD FEES")</f>
        <v xml:space="preserve">          6381 - BANK/CREDIT CARD FEES</v>
      </c>
      <c r="C37" s="11"/>
      <c r="D37" s="6"/>
      <c r="E37" s="2"/>
      <c r="F37" s="7">
        <f t="shared" si="30"/>
        <v>0</v>
      </c>
      <c r="G37" s="2"/>
      <c r="H37" s="6"/>
      <c r="I37" s="2"/>
      <c r="J37" s="7">
        <f t="shared" si="31"/>
        <v>0</v>
      </c>
      <c r="K37" s="2"/>
      <c r="L37" s="6">
        <f t="shared" si="32"/>
        <v>0</v>
      </c>
      <c r="M37" s="2"/>
      <c r="N37" s="7">
        <f t="shared" si="33"/>
        <v>0</v>
      </c>
      <c r="O37" s="11"/>
      <c r="P37" s="6">
        <v>333.47</v>
      </c>
      <c r="Q37" s="2"/>
      <c r="R37" s="7">
        <f t="shared" si="34"/>
        <v>1.6797913748175866E-2</v>
      </c>
      <c r="S37" s="2"/>
      <c r="T37" s="6">
        <v>546</v>
      </c>
      <c r="U37" s="2"/>
      <c r="V37" s="7">
        <f t="shared" si="35"/>
        <v>1.8629522265349908E-2</v>
      </c>
      <c r="W37" s="2"/>
      <c r="X37" s="6">
        <f t="shared" si="36"/>
        <v>-212.52999999999997</v>
      </c>
      <c r="Y37" s="2"/>
      <c r="Z37" s="7">
        <f t="shared" si="37"/>
        <v>-0.38924908424908422</v>
      </c>
    </row>
    <row r="38" spans="1:26" s="29" customFormat="1" outlineLevel="1" collapsed="1" x14ac:dyDescent="0.25">
      <c r="A38" s="27"/>
      <c r="B38" s="14" t="str">
        <f>CONCATENATE("     ","Employees' Appreciation                           ")</f>
        <v xml:space="preserve">     Employees' Appreciation                           </v>
      </c>
      <c r="C38" s="14"/>
      <c r="D38" s="1">
        <f>SUM(OSRRefD22_5x_0)</f>
        <v>0</v>
      </c>
      <c r="E38" s="1"/>
      <c r="F38" s="5">
        <f t="shared" si="30"/>
        <v>0</v>
      </c>
      <c r="G38" s="1"/>
      <c r="H38" s="1">
        <f>SUM(OSRRefH22_5x_0)</f>
        <v>0</v>
      </c>
      <c r="I38" s="1"/>
      <c r="J38" s="5">
        <f t="shared" si="31"/>
        <v>0</v>
      </c>
      <c r="K38" s="1"/>
      <c r="L38" s="1">
        <f t="shared" si="32"/>
        <v>0</v>
      </c>
      <c r="M38" s="1"/>
      <c r="N38" s="5">
        <f t="shared" si="33"/>
        <v>0</v>
      </c>
      <c r="O38" s="14"/>
      <c r="P38" s="1">
        <f>SUM(OSRRefP22_5x_0)</f>
        <v>114.64</v>
      </c>
      <c r="Q38" s="1"/>
      <c r="R38" s="5">
        <f t="shared" si="34"/>
        <v>5.7747708402281503E-3</v>
      </c>
      <c r="S38" s="1"/>
      <c r="T38" s="1">
        <f>SUM(OSRRefT22_5x_0)</f>
        <v>0</v>
      </c>
      <c r="U38" s="1"/>
      <c r="V38" s="5">
        <f t="shared" si="35"/>
        <v>0</v>
      </c>
      <c r="W38" s="1"/>
      <c r="X38" s="1">
        <f t="shared" si="36"/>
        <v>114.64</v>
      </c>
      <c r="Y38" s="1"/>
      <c r="Z38" s="5">
        <f t="shared" si="37"/>
        <v>0</v>
      </c>
    </row>
    <row r="39" spans="1:26" s="24" customFormat="1" hidden="1" outlineLevel="2" x14ac:dyDescent="0.25">
      <c r="A39" s="28"/>
      <c r="B39" s="11" t="str">
        <f>CONCATENATE("          ", "6277", " - ", "EMPLOYEE APPRECIATION")</f>
        <v xml:space="preserve">          6277 - EMPLOYEE APPRECIATION</v>
      </c>
      <c r="C39" s="11"/>
      <c r="D39" s="6"/>
      <c r="E39" s="2"/>
      <c r="F39" s="7">
        <f t="shared" si="30"/>
        <v>0</v>
      </c>
      <c r="G39" s="2"/>
      <c r="H39" s="6"/>
      <c r="I39" s="2"/>
      <c r="J39" s="7">
        <f t="shared" si="31"/>
        <v>0</v>
      </c>
      <c r="K39" s="2"/>
      <c r="L39" s="6">
        <f t="shared" si="32"/>
        <v>0</v>
      </c>
      <c r="M39" s="2"/>
      <c r="N39" s="7">
        <f t="shared" si="33"/>
        <v>0</v>
      </c>
      <c r="O39" s="11"/>
      <c r="P39" s="6">
        <v>114.64</v>
      </c>
      <c r="Q39" s="2"/>
      <c r="R39" s="7">
        <f t="shared" si="34"/>
        <v>5.7747708402281503E-3</v>
      </c>
      <c r="S39" s="2"/>
      <c r="T39" s="6"/>
      <c r="U39" s="2"/>
      <c r="V39" s="7">
        <f t="shared" si="35"/>
        <v>0</v>
      </c>
      <c r="W39" s="2"/>
      <c r="X39" s="6">
        <f t="shared" si="36"/>
        <v>114.64</v>
      </c>
      <c r="Y39" s="2"/>
      <c r="Z39" s="7">
        <f t="shared" si="37"/>
        <v>0</v>
      </c>
    </row>
    <row r="40" spans="1:26" s="29" customFormat="1" outlineLevel="1" collapsed="1" x14ac:dyDescent="0.25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SUM(OSRRefD22_6x_0)</f>
        <v>1250</v>
      </c>
      <c r="E40" s="1"/>
      <c r="F40" s="5">
        <f t="shared" si="30"/>
        <v>0</v>
      </c>
      <c r="G40" s="1"/>
      <c r="H40" s="1">
        <f>SUM(OSRRefH22_6x_0)</f>
        <v>100</v>
      </c>
      <c r="I40" s="1"/>
      <c r="J40" s="5">
        <f t="shared" si="31"/>
        <v>0</v>
      </c>
      <c r="K40" s="1"/>
      <c r="L40" s="1">
        <f t="shared" si="32"/>
        <v>1150</v>
      </c>
      <c r="M40" s="1"/>
      <c r="N40" s="5">
        <f t="shared" si="33"/>
        <v>11.5</v>
      </c>
      <c r="O40" s="14"/>
      <c r="P40" s="1">
        <f>SUM(OSRRefP22_6x_0)</f>
        <v>2714.1</v>
      </c>
      <c r="Q40" s="1"/>
      <c r="R40" s="5">
        <f t="shared" si="34"/>
        <v>0.1367175988962249</v>
      </c>
      <c r="S40" s="1"/>
      <c r="T40" s="1">
        <f>SUM(OSRRefT22_6x_0)</f>
        <v>2500.4299999999998</v>
      </c>
      <c r="U40" s="1"/>
      <c r="V40" s="5">
        <f t="shared" si="35"/>
        <v>8.5314681974265325E-2</v>
      </c>
      <c r="W40" s="1"/>
      <c r="X40" s="1">
        <f t="shared" si="36"/>
        <v>213.67000000000007</v>
      </c>
      <c r="Y40" s="1"/>
      <c r="Z40" s="5">
        <f t="shared" si="37"/>
        <v>8.5453302032050524E-2</v>
      </c>
    </row>
    <row r="41" spans="1:26" s="24" customFormat="1" hidden="1" outlineLevel="2" x14ac:dyDescent="0.25">
      <c r="A41" s="28"/>
      <c r="B41" s="11" t="str">
        <f>CONCATENATE("          ", "6279", " - ", "GENERAL EXPENSE")</f>
        <v xml:space="preserve">          6279 - GENERAL EXPENSE</v>
      </c>
      <c r="C41" s="11"/>
      <c r="D41" s="6">
        <v>1250</v>
      </c>
      <c r="E41" s="2"/>
      <c r="F41" s="7">
        <f t="shared" si="30"/>
        <v>0</v>
      </c>
      <c r="G41" s="2"/>
      <c r="H41" s="6">
        <v>100</v>
      </c>
      <c r="I41" s="2"/>
      <c r="J41" s="7">
        <f t="shared" si="31"/>
        <v>0</v>
      </c>
      <c r="K41" s="2"/>
      <c r="L41" s="6">
        <f t="shared" si="32"/>
        <v>1150</v>
      </c>
      <c r="M41" s="2"/>
      <c r="N41" s="7">
        <f t="shared" si="33"/>
        <v>11.5</v>
      </c>
      <c r="O41" s="11"/>
      <c r="P41" s="6">
        <v>2714.1</v>
      </c>
      <c r="Q41" s="2"/>
      <c r="R41" s="7">
        <f t="shared" si="34"/>
        <v>0.1367175988962249</v>
      </c>
      <c r="S41" s="2"/>
      <c r="T41" s="6">
        <v>2500.4299999999998</v>
      </c>
      <c r="U41" s="2"/>
      <c r="V41" s="7">
        <f t="shared" si="35"/>
        <v>8.5314681974265325E-2</v>
      </c>
      <c r="W41" s="2"/>
      <c r="X41" s="6">
        <f t="shared" si="36"/>
        <v>213.67000000000007</v>
      </c>
      <c r="Y41" s="2"/>
      <c r="Z41" s="7">
        <f t="shared" si="37"/>
        <v>8.5453302032050524E-2</v>
      </c>
    </row>
    <row r="42" spans="1:26" s="29" customFormat="1" outlineLevel="1" collapsed="1" x14ac:dyDescent="0.25">
      <c r="A42" s="27"/>
      <c r="B42" s="14" t="str">
        <f>CONCATENATE("     ","Repair and Maintenance                            ")</f>
        <v xml:space="preserve">     Repair and Maintenance                            </v>
      </c>
      <c r="C42" s="14"/>
      <c r="D42" s="1">
        <f>SUM(OSRRefD22_7x_0)</f>
        <v>296.64</v>
      </c>
      <c r="E42" s="1"/>
      <c r="F42" s="5">
        <f t="shared" si="30"/>
        <v>0</v>
      </c>
      <c r="G42" s="1"/>
      <c r="H42" s="1">
        <f>SUM(OSRRefH22_7x_0)</f>
        <v>0</v>
      </c>
      <c r="I42" s="1"/>
      <c r="J42" s="5">
        <f t="shared" si="31"/>
        <v>0</v>
      </c>
      <c r="K42" s="1"/>
      <c r="L42" s="1">
        <f t="shared" si="32"/>
        <v>296.64</v>
      </c>
      <c r="M42" s="1"/>
      <c r="N42" s="5">
        <f t="shared" si="33"/>
        <v>0</v>
      </c>
      <c r="O42" s="14"/>
      <c r="P42" s="1">
        <f>SUM(OSRRefP22_7x_0)</f>
        <v>434.72</v>
      </c>
      <c r="Q42" s="1"/>
      <c r="R42" s="5">
        <f t="shared" si="34"/>
        <v>2.1898188936357133E-2</v>
      </c>
      <c r="S42" s="1"/>
      <c r="T42" s="1">
        <f>SUM(OSRRefT22_7x_0)</f>
        <v>1879.98</v>
      </c>
      <c r="U42" s="1"/>
      <c r="V42" s="5">
        <f t="shared" si="35"/>
        <v>6.4144925400022923E-2</v>
      </c>
      <c r="W42" s="1"/>
      <c r="X42" s="1">
        <f t="shared" si="36"/>
        <v>-1445.26</v>
      </c>
      <c r="Y42" s="1"/>
      <c r="Z42" s="5">
        <f t="shared" si="37"/>
        <v>-0.76876349748401573</v>
      </c>
    </row>
    <row r="43" spans="1:26" s="24" customFormat="1" hidden="1" outlineLevel="2" x14ac:dyDescent="0.25">
      <c r="A43" s="28"/>
      <c r="B43" s="11" t="str">
        <f>CONCATENATE("          ", "6373", " - ", "MAINTENANCE CONTRACTS")</f>
        <v xml:space="preserve">          6373 - MAINTENANCE CONTRACTS</v>
      </c>
      <c r="C43" s="11"/>
      <c r="D43" s="6">
        <v>296.64</v>
      </c>
      <c r="E43" s="2"/>
      <c r="F43" s="7">
        <f t="shared" si="30"/>
        <v>0</v>
      </c>
      <c r="G43" s="2"/>
      <c r="H43" s="6"/>
      <c r="I43" s="2"/>
      <c r="J43" s="7">
        <f t="shared" si="31"/>
        <v>0</v>
      </c>
      <c r="K43" s="2"/>
      <c r="L43" s="6">
        <f t="shared" si="32"/>
        <v>296.64</v>
      </c>
      <c r="M43" s="2"/>
      <c r="N43" s="7">
        <f t="shared" si="33"/>
        <v>0</v>
      </c>
      <c r="O43" s="11"/>
      <c r="P43" s="6">
        <v>296.64</v>
      </c>
      <c r="Q43" s="2"/>
      <c r="R43" s="7">
        <f t="shared" si="34"/>
        <v>1.4942672906884842E-2</v>
      </c>
      <c r="S43" s="2"/>
      <c r="T43" s="6">
        <v>283.5</v>
      </c>
      <c r="U43" s="2"/>
      <c r="V43" s="7">
        <f t="shared" si="35"/>
        <v>9.6730211762393759E-3</v>
      </c>
      <c r="W43" s="2"/>
      <c r="X43" s="6">
        <f t="shared" si="36"/>
        <v>13.139999999999986</v>
      </c>
      <c r="Y43" s="2"/>
      <c r="Z43" s="7">
        <f t="shared" si="37"/>
        <v>4.63492063492063E-2</v>
      </c>
    </row>
    <row r="44" spans="1:26" s="24" customFormat="1" hidden="1" outlineLevel="2" x14ac:dyDescent="0.25">
      <c r="A44" s="28"/>
      <c r="B44" s="11" t="str">
        <f>CONCATENATE("          ", "6375", " - ", "OUTSIDE REPAIRS &amp; MAINTENANCE")</f>
        <v xml:space="preserve">          6375 - OUTSIDE REPAIRS &amp; MAINTENANCE</v>
      </c>
      <c r="C44" s="11"/>
      <c r="D44" s="6"/>
      <c r="E44" s="2"/>
      <c r="F44" s="7">
        <f t="shared" si="30"/>
        <v>0</v>
      </c>
      <c r="G44" s="2"/>
      <c r="H44" s="6"/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138.08000000000001</v>
      </c>
      <c r="Q44" s="2"/>
      <c r="R44" s="7">
        <f t="shared" si="34"/>
        <v>6.9555160294722876E-3</v>
      </c>
      <c r="S44" s="2"/>
      <c r="T44" s="6">
        <v>1596.48</v>
      </c>
      <c r="U44" s="2"/>
      <c r="V44" s="7">
        <f t="shared" si="35"/>
        <v>5.4471904223783556E-2</v>
      </c>
      <c r="W44" s="2"/>
      <c r="X44" s="6">
        <f t="shared" si="36"/>
        <v>-1458.4</v>
      </c>
      <c r="Y44" s="2"/>
      <c r="Z44" s="7">
        <f t="shared" si="37"/>
        <v>-0.91350972138705155</v>
      </c>
    </row>
    <row r="45" spans="1:26" s="29" customFormat="1" outlineLevel="1" collapsed="1" x14ac:dyDescent="0.25">
      <c r="A45" s="27"/>
      <c r="B45" s="14" t="str">
        <f>CONCATENATE("     ","Royalty &amp; Commissions                             ")</f>
        <v xml:space="preserve">     Royalty &amp; Commissions                             </v>
      </c>
      <c r="C45" s="14"/>
      <c r="D45" s="1">
        <f>SUM(OSRRefD22_8x_0)</f>
        <v>1454.85</v>
      </c>
      <c r="E45" s="1"/>
      <c r="F45" s="5">
        <f t="shared" ref="F45:F52" si="38">IF(D$12=0,0,D45/D$12)</f>
        <v>0</v>
      </c>
      <c r="G45" s="1"/>
      <c r="H45" s="1">
        <f>SUM(OSRRefH22_8x_0)</f>
        <v>0</v>
      </c>
      <c r="I45" s="1"/>
      <c r="J45" s="5">
        <f t="shared" ref="J45:J52" si="39">IF(H$12=0,0,H45/H$12)</f>
        <v>0</v>
      </c>
      <c r="K45" s="1"/>
      <c r="L45" s="1">
        <f t="shared" ref="L45:L52" si="40">+D45-H45</f>
        <v>1454.85</v>
      </c>
      <c r="M45" s="1"/>
      <c r="N45" s="5">
        <f t="shared" ref="N45:N52" si="41">IF(H45=0,0,L45/H45)</f>
        <v>0</v>
      </c>
      <c r="O45" s="14"/>
      <c r="P45" s="1">
        <f>SUM(OSRRefP22_8x_0)</f>
        <v>5576.51</v>
      </c>
      <c r="Q45" s="1"/>
      <c r="R45" s="5">
        <f t="shared" ref="R45:R52" si="42">IF(P$12=0,0,P45/P$12)</f>
        <v>0.28090603051500945</v>
      </c>
      <c r="S45" s="1"/>
      <c r="T45" s="1">
        <f>SUM(OSRRefT22_8x_0)</f>
        <v>12443.41</v>
      </c>
      <c r="U45" s="1"/>
      <c r="V45" s="5">
        <f t="shared" ref="V45:V52" si="43">IF(T$12=0,0,T45/T$12)</f>
        <v>0.42456920082761485</v>
      </c>
      <c r="W45" s="1"/>
      <c r="X45" s="1">
        <f t="shared" ref="X45:X52" si="44">+P45-T45</f>
        <v>-6866.9</v>
      </c>
      <c r="Y45" s="1"/>
      <c r="Z45" s="5">
        <f t="shared" ref="Z45:Z52" si="45">IF(T45=0,0,X45/T45)</f>
        <v>-0.55185033684496454</v>
      </c>
    </row>
    <row r="46" spans="1:26" s="24" customFormat="1" hidden="1" outlineLevel="2" x14ac:dyDescent="0.25">
      <c r="A46" s="28"/>
      <c r="B46" s="11" t="str">
        <f>CONCATENATE("          ", "6254", " - ", "ROYALTY &amp; COMMISSIONS")</f>
        <v xml:space="preserve">          6254 - ROYALTY &amp; COMMISSIONS</v>
      </c>
      <c r="C46" s="11"/>
      <c r="D46" s="6">
        <v>1454.85</v>
      </c>
      <c r="E46" s="2"/>
      <c r="F46" s="7">
        <f t="shared" si="38"/>
        <v>0</v>
      </c>
      <c r="G46" s="2"/>
      <c r="H46" s="6"/>
      <c r="I46" s="2"/>
      <c r="J46" s="7">
        <f t="shared" si="39"/>
        <v>0</v>
      </c>
      <c r="K46" s="2"/>
      <c r="L46" s="6">
        <f t="shared" si="40"/>
        <v>1454.85</v>
      </c>
      <c r="M46" s="2"/>
      <c r="N46" s="7">
        <f t="shared" si="41"/>
        <v>0</v>
      </c>
      <c r="O46" s="11"/>
      <c r="P46" s="6">
        <v>5576.51</v>
      </c>
      <c r="Q46" s="2"/>
      <c r="R46" s="7">
        <f t="shared" si="42"/>
        <v>0.28090603051500945</v>
      </c>
      <c r="S46" s="2"/>
      <c r="T46" s="6">
        <v>12443.41</v>
      </c>
      <c r="U46" s="2"/>
      <c r="V46" s="7">
        <f t="shared" si="43"/>
        <v>0.42456920082761485</v>
      </c>
      <c r="W46" s="2"/>
      <c r="X46" s="6">
        <f t="shared" si="44"/>
        <v>-6866.9</v>
      </c>
      <c r="Y46" s="2"/>
      <c r="Z46" s="7">
        <f t="shared" si="45"/>
        <v>-0.55185033684496454</v>
      </c>
    </row>
    <row r="47" spans="1:26" s="29" customFormat="1" outlineLevel="1" collapsed="1" x14ac:dyDescent="0.25">
      <c r="A47" s="27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SUM(OSRRefD22_9x_0)</f>
        <v>211.82999999999998</v>
      </c>
      <c r="E47" s="1"/>
      <c r="F47" s="5">
        <f t="shared" si="38"/>
        <v>0</v>
      </c>
      <c r="G47" s="1"/>
      <c r="H47" s="1">
        <f>SUM(OSRRefH22_9x_0)</f>
        <v>181.13</v>
      </c>
      <c r="I47" s="1"/>
      <c r="J47" s="5">
        <f t="shared" si="39"/>
        <v>0</v>
      </c>
      <c r="K47" s="1"/>
      <c r="L47" s="1">
        <f t="shared" si="40"/>
        <v>30.699999999999989</v>
      </c>
      <c r="M47" s="1"/>
      <c r="N47" s="5">
        <f t="shared" si="41"/>
        <v>0.16949152542372875</v>
      </c>
      <c r="O47" s="14"/>
      <c r="P47" s="1">
        <f>SUM(OSRRefP22_9x_0)</f>
        <v>533.75</v>
      </c>
      <c r="Q47" s="1"/>
      <c r="R47" s="5">
        <f t="shared" si="42"/>
        <v>2.6886635868560493E-2</v>
      </c>
      <c r="S47" s="1"/>
      <c r="T47" s="1">
        <f>SUM(OSRRefT22_9x_0)</f>
        <v>1192.0100000000002</v>
      </c>
      <c r="U47" s="1"/>
      <c r="V47" s="5">
        <f t="shared" si="43"/>
        <v>4.0671386145640566E-2</v>
      </c>
      <c r="W47" s="1"/>
      <c r="X47" s="1">
        <f t="shared" si="44"/>
        <v>-658.26000000000022</v>
      </c>
      <c r="Y47" s="1"/>
      <c r="Z47" s="5">
        <f t="shared" si="45"/>
        <v>-0.55222691084806341</v>
      </c>
    </row>
    <row r="48" spans="1:26" s="24" customFormat="1" hidden="1" outlineLevel="2" x14ac:dyDescent="0.25">
      <c r="A48" s="28"/>
      <c r="B48" s="11" t="str">
        <f>CONCATENATE("          ", "6234", " - ", "EXPENDABLE SUPPLIES &amp; EQUIPMEN")</f>
        <v xml:space="preserve">          6234 - EXPENDABLE SUPPLIES &amp; EQUIPMEN</v>
      </c>
      <c r="C48" s="11"/>
      <c r="D48" s="6"/>
      <c r="E48" s="2"/>
      <c r="F48" s="7">
        <f t="shared" si="38"/>
        <v>0</v>
      </c>
      <c r="G48" s="2"/>
      <c r="H48" s="6"/>
      <c r="I48" s="2"/>
      <c r="J48" s="7">
        <f t="shared" si="39"/>
        <v>0</v>
      </c>
      <c r="K48" s="2"/>
      <c r="L48" s="6">
        <f t="shared" si="40"/>
        <v>0</v>
      </c>
      <c r="M48" s="2"/>
      <c r="N48" s="7">
        <f t="shared" si="41"/>
        <v>0</v>
      </c>
      <c r="O48" s="11"/>
      <c r="P48" s="6"/>
      <c r="Q48" s="2"/>
      <c r="R48" s="7">
        <f t="shared" si="42"/>
        <v>0</v>
      </c>
      <c r="S48" s="2"/>
      <c r="T48" s="6">
        <v>106.94</v>
      </c>
      <c r="U48" s="2"/>
      <c r="V48" s="7">
        <f t="shared" si="43"/>
        <v>3.6487932436932583E-3</v>
      </c>
      <c r="W48" s="2"/>
      <c r="X48" s="6">
        <f t="shared" si="44"/>
        <v>-106.94</v>
      </c>
      <c r="Y48" s="2"/>
      <c r="Z48" s="7">
        <f t="shared" si="45"/>
        <v>-1</v>
      </c>
    </row>
    <row r="49" spans="1:26" s="24" customFormat="1" hidden="1" outlineLevel="2" x14ac:dyDescent="0.25">
      <c r="A49" s="28"/>
      <c r="B49" s="11" t="str">
        <f>CONCATENATE("          ", "6237", " - ", "JANITORIAL SUPPLIES")</f>
        <v xml:space="preserve">          6237 - JANITORIAL SUPPLIES</v>
      </c>
      <c r="C49" s="11"/>
      <c r="D49" s="6"/>
      <c r="E49" s="2"/>
      <c r="F49" s="7">
        <f t="shared" si="38"/>
        <v>0</v>
      </c>
      <c r="G49" s="2"/>
      <c r="H49" s="6"/>
      <c r="I49" s="2"/>
      <c r="J49" s="7">
        <f t="shared" si="39"/>
        <v>0</v>
      </c>
      <c r="K49" s="2"/>
      <c r="L49" s="6">
        <f t="shared" si="40"/>
        <v>0</v>
      </c>
      <c r="M49" s="2"/>
      <c r="N49" s="7">
        <f t="shared" si="41"/>
        <v>0</v>
      </c>
      <c r="O49" s="11"/>
      <c r="P49" s="6"/>
      <c r="Q49" s="2"/>
      <c r="R49" s="7">
        <f t="shared" si="42"/>
        <v>0</v>
      </c>
      <c r="S49" s="2"/>
      <c r="T49" s="6">
        <v>126.74</v>
      </c>
      <c r="U49" s="2"/>
      <c r="V49" s="7">
        <f t="shared" si="43"/>
        <v>4.3243693258433096E-3</v>
      </c>
      <c r="W49" s="2"/>
      <c r="X49" s="6">
        <f t="shared" si="44"/>
        <v>-126.74</v>
      </c>
      <c r="Y49" s="2"/>
      <c r="Z49" s="7">
        <f t="shared" si="45"/>
        <v>-1</v>
      </c>
    </row>
    <row r="50" spans="1:26" s="24" customFormat="1" hidden="1" outlineLevel="2" x14ac:dyDescent="0.25">
      <c r="A50" s="28"/>
      <c r="B50" s="11" t="str">
        <f>CONCATENATE("          ", "6239", " - ", "KITCHEN SUPPLIES")</f>
        <v xml:space="preserve">          6239 - KITCHEN SUPPLIES</v>
      </c>
      <c r="C50" s="11"/>
      <c r="D50" s="6">
        <v>106.94</v>
      </c>
      <c r="E50" s="2"/>
      <c r="F50" s="7">
        <f t="shared" si="38"/>
        <v>0</v>
      </c>
      <c r="G50" s="2"/>
      <c r="H50" s="6">
        <v>115</v>
      </c>
      <c r="I50" s="2"/>
      <c r="J50" s="7">
        <f t="shared" si="39"/>
        <v>0</v>
      </c>
      <c r="K50" s="2"/>
      <c r="L50" s="6">
        <f t="shared" si="40"/>
        <v>-8.0600000000000023</v>
      </c>
      <c r="M50" s="2"/>
      <c r="N50" s="7">
        <f t="shared" si="41"/>
        <v>-7.0086956521739144E-2</v>
      </c>
      <c r="O50" s="11"/>
      <c r="P50" s="6">
        <v>428.86</v>
      </c>
      <c r="Q50" s="2"/>
      <c r="R50" s="7">
        <f t="shared" si="42"/>
        <v>2.1603002639046097E-2</v>
      </c>
      <c r="S50" s="2"/>
      <c r="T50" s="6">
        <v>892.2</v>
      </c>
      <c r="U50" s="2"/>
      <c r="V50" s="7">
        <f t="shared" si="43"/>
        <v>3.0441867701731115E-2</v>
      </c>
      <c r="W50" s="2"/>
      <c r="X50" s="6">
        <f t="shared" si="44"/>
        <v>-463.34000000000003</v>
      </c>
      <c r="Y50" s="2"/>
      <c r="Z50" s="7">
        <f t="shared" si="45"/>
        <v>-0.51932302174400358</v>
      </c>
    </row>
    <row r="51" spans="1:26" s="24" customFormat="1" hidden="1" outlineLevel="2" x14ac:dyDescent="0.25">
      <c r="A51" s="28"/>
      <c r="B51" s="11" t="str">
        <f>CONCATENATE("          ", "6241", " - ", "OFFICE EXPENSE")</f>
        <v xml:space="preserve">          6241 - OFFICE EXPENSE</v>
      </c>
      <c r="C51" s="11"/>
      <c r="D51" s="6"/>
      <c r="E51" s="2"/>
      <c r="F51" s="7">
        <f t="shared" si="38"/>
        <v>0</v>
      </c>
      <c r="G51" s="2"/>
      <c r="H51" s="6">
        <v>66.13</v>
      </c>
      <c r="I51" s="2"/>
      <c r="J51" s="7">
        <f t="shared" si="39"/>
        <v>0</v>
      </c>
      <c r="K51" s="2"/>
      <c r="L51" s="6">
        <f t="shared" si="40"/>
        <v>-66.13</v>
      </c>
      <c r="M51" s="2"/>
      <c r="N51" s="7">
        <f t="shared" si="41"/>
        <v>-1</v>
      </c>
      <c r="O51" s="11"/>
      <c r="P51" s="6"/>
      <c r="Q51" s="2"/>
      <c r="R51" s="7">
        <f t="shared" si="42"/>
        <v>0</v>
      </c>
      <c r="S51" s="2"/>
      <c r="T51" s="6">
        <v>66.13</v>
      </c>
      <c r="U51" s="2"/>
      <c r="V51" s="7">
        <f t="shared" si="43"/>
        <v>2.2563558743728743E-3</v>
      </c>
      <c r="W51" s="2"/>
      <c r="X51" s="6">
        <f t="shared" si="44"/>
        <v>-66.13</v>
      </c>
      <c r="Y51" s="2"/>
      <c r="Z51" s="7">
        <f t="shared" si="45"/>
        <v>-1</v>
      </c>
    </row>
    <row r="52" spans="1:26" s="24" customFormat="1" hidden="1" outlineLevel="2" x14ac:dyDescent="0.25">
      <c r="A52" s="28"/>
      <c r="B52" s="11" t="str">
        <f>CONCATENATE("          ", "6247", " - ", "STORE SUPPLIES")</f>
        <v xml:space="preserve">          6247 - STORE SUPPLIES</v>
      </c>
      <c r="C52" s="11"/>
      <c r="D52" s="6">
        <v>104.89</v>
      </c>
      <c r="E52" s="2"/>
      <c r="F52" s="7">
        <f t="shared" si="38"/>
        <v>0</v>
      </c>
      <c r="G52" s="2"/>
      <c r="H52" s="6"/>
      <c r="I52" s="2"/>
      <c r="J52" s="7">
        <f t="shared" si="39"/>
        <v>0</v>
      </c>
      <c r="K52" s="2"/>
      <c r="L52" s="6">
        <f t="shared" si="40"/>
        <v>104.89</v>
      </c>
      <c r="M52" s="2"/>
      <c r="N52" s="7">
        <f t="shared" si="41"/>
        <v>0</v>
      </c>
      <c r="O52" s="11"/>
      <c r="P52" s="6">
        <v>104.89</v>
      </c>
      <c r="Q52" s="2"/>
      <c r="R52" s="7">
        <f t="shared" si="42"/>
        <v>5.2836332295143991E-3</v>
      </c>
      <c r="S52" s="2"/>
      <c r="T52" s="6"/>
      <c r="U52" s="2"/>
      <c r="V52" s="7">
        <f t="shared" si="43"/>
        <v>0</v>
      </c>
      <c r="W52" s="2"/>
      <c r="X52" s="6">
        <f t="shared" si="44"/>
        <v>104.89</v>
      </c>
      <c r="Y52" s="2"/>
      <c r="Z52" s="7">
        <f t="shared" si="45"/>
        <v>0</v>
      </c>
    </row>
    <row r="53" spans="1:26" s="29" customFormat="1" outlineLevel="1" collapsed="1" x14ac:dyDescent="0.25">
      <c r="A53" s="27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SUM(OSRRefD22_10x_0)</f>
        <v>512.01</v>
      </c>
      <c r="E53" s="1"/>
      <c r="F53" s="5">
        <f t="shared" ref="F53:F54" si="46">IF(D$12=0,0,D53/D$12)</f>
        <v>0</v>
      </c>
      <c r="G53" s="1"/>
      <c r="H53" s="1">
        <f>SUM(OSRRefH22_10x_0)</f>
        <v>511.01</v>
      </c>
      <c r="I53" s="1"/>
      <c r="J53" s="5">
        <f t="shared" ref="J53:J54" si="47">IF(H$12=0,0,H53/H$12)</f>
        <v>0</v>
      </c>
      <c r="K53" s="1"/>
      <c r="L53" s="1">
        <f t="shared" ref="L53:L54" si="48">+D53-H53</f>
        <v>1</v>
      </c>
      <c r="M53" s="1"/>
      <c r="N53" s="5">
        <f t="shared" ref="N53:N54" si="49">IF(H53=0,0,L53/H53)</f>
        <v>1.9569088667540755E-3</v>
      </c>
      <c r="O53" s="14"/>
      <c r="P53" s="1">
        <f>SUM(OSRRefP22_10x_0)</f>
        <v>642.03</v>
      </c>
      <c r="Q53" s="1"/>
      <c r="R53" s="5">
        <f t="shared" ref="R53:R54" si="50">IF(P$12=0,0,P53/P$12)</f>
        <v>3.2341033867338442E-2</v>
      </c>
      <c r="S53" s="1"/>
      <c r="T53" s="1">
        <f>SUM(OSRRefT22_10x_0)</f>
        <v>936.03</v>
      </c>
      <c r="U53" s="1"/>
      <c r="V53" s="5">
        <f t="shared" ref="V53:V54" si="51">IF(T$12=0,0,T53/T$12)</f>
        <v>3.1937347483581451E-2</v>
      </c>
      <c r="W53" s="1"/>
      <c r="X53" s="1">
        <f t="shared" ref="X53:X54" si="52">+P53-T53</f>
        <v>-294</v>
      </c>
      <c r="Y53" s="1"/>
      <c r="Z53" s="5">
        <f t="shared" ref="Z53:Z54" si="53">IF(T53=0,0,X53/T53)</f>
        <v>-0.31409249703535141</v>
      </c>
    </row>
    <row r="54" spans="1:26" s="24" customFormat="1" hidden="1" outlineLevel="2" x14ac:dyDescent="0.25">
      <c r="A54" s="28"/>
      <c r="B54" s="11" t="str">
        <f>CONCATENATE("          ", "6309", " - ", "TELEPHONE")</f>
        <v xml:space="preserve">          6309 - TELEPHONE</v>
      </c>
      <c r="C54" s="11"/>
      <c r="D54" s="6">
        <v>512.01</v>
      </c>
      <c r="E54" s="2"/>
      <c r="F54" s="7">
        <f t="shared" si="46"/>
        <v>0</v>
      </c>
      <c r="G54" s="2"/>
      <c r="H54" s="6">
        <v>511.01</v>
      </c>
      <c r="I54" s="2"/>
      <c r="J54" s="7">
        <f t="shared" si="47"/>
        <v>0</v>
      </c>
      <c r="K54" s="2"/>
      <c r="L54" s="6">
        <f t="shared" si="48"/>
        <v>1</v>
      </c>
      <c r="M54" s="2"/>
      <c r="N54" s="7">
        <f t="shared" si="49"/>
        <v>1.9569088667540755E-3</v>
      </c>
      <c r="O54" s="11"/>
      <c r="P54" s="6">
        <v>642.03</v>
      </c>
      <c r="Q54" s="2"/>
      <c r="R54" s="7">
        <f t="shared" si="50"/>
        <v>3.2341033867338442E-2</v>
      </c>
      <c r="S54" s="2"/>
      <c r="T54" s="6">
        <v>936.03</v>
      </c>
      <c r="U54" s="2"/>
      <c r="V54" s="7">
        <f t="shared" si="51"/>
        <v>3.1937347483581451E-2</v>
      </c>
      <c r="W54" s="2"/>
      <c r="X54" s="6">
        <f t="shared" si="52"/>
        <v>-294</v>
      </c>
      <c r="Y54" s="2"/>
      <c r="Z54" s="7">
        <f t="shared" si="53"/>
        <v>-0.31409249703535141</v>
      </c>
    </row>
    <row r="55" spans="1:26" s="53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collapsed="1" x14ac:dyDescent="0.25">
      <c r="A56" s="10"/>
      <c r="B56" s="25" t="s">
        <v>0</v>
      </c>
      <c r="C56" s="10"/>
      <c r="D56" s="4">
        <f>SUM(OSRRefD25x_0)</f>
        <v>2909.7</v>
      </c>
      <c r="E56" s="4"/>
      <c r="F56" s="12">
        <f t="shared" ref="F56:F57" si="54">IF(D$12=0,0,D56/D$12)</f>
        <v>0</v>
      </c>
      <c r="G56" s="4"/>
      <c r="H56" s="4">
        <f>SUM(OSRRefH25x_0)</f>
        <v>0</v>
      </c>
      <c r="I56" s="4"/>
      <c r="J56" s="12">
        <f t="shared" ref="J56:J57" si="55">IF(H$12=0,0,H56/H$12)</f>
        <v>0</v>
      </c>
      <c r="K56" s="4"/>
      <c r="L56" s="4">
        <f t="shared" ref="L56:L57" si="56">+D56-H56</f>
        <v>2909.7</v>
      </c>
      <c r="M56" s="4"/>
      <c r="N56" s="12">
        <f t="shared" ref="N56:N57" si="57">IF(H56=0,0,L56/H56)</f>
        <v>0</v>
      </c>
      <c r="O56" s="10"/>
      <c r="P56" s="4">
        <f>SUM(OSRRefP25x_0)</f>
        <v>3455.9</v>
      </c>
      <c r="Q56" s="4"/>
      <c r="R56" s="12">
        <f t="shared" ref="R56:R57" si="58">IF(P$12=0,0,P56/P$12)</f>
        <v>0.17408435578109269</v>
      </c>
      <c r="S56" s="4"/>
      <c r="T56" s="4">
        <f>SUM(OSRRefT25x_0)</f>
        <v>0</v>
      </c>
      <c r="U56" s="4"/>
      <c r="V56" s="12">
        <f t="shared" ref="V56:V57" si="59">IF(T$12=0,0,T56/T$12)</f>
        <v>0</v>
      </c>
      <c r="W56" s="4"/>
      <c r="X56" s="4">
        <f t="shared" ref="X56:X57" si="60">+P56-T56</f>
        <v>3455.9</v>
      </c>
      <c r="Y56" s="4"/>
      <c r="Z56" s="12">
        <f t="shared" ref="Z56:Z57" si="61">IF(T56=0,0,X56/T56)</f>
        <v>0</v>
      </c>
    </row>
    <row r="57" spans="1:26" s="24" customFormat="1" hidden="1" outlineLevel="1" x14ac:dyDescent="0.25">
      <c r="A57" s="44"/>
      <c r="B57" s="11" t="str">
        <f>CONCATENATE("          ", "9150", " - ", "MISC. INCOME")</f>
        <v xml:space="preserve">          9150 - MISC. INCOME</v>
      </c>
      <c r="C57" s="11"/>
      <c r="D57" s="2">
        <f>--2909.7</f>
        <v>2909.7</v>
      </c>
      <c r="E57" s="2"/>
      <c r="F57" s="19">
        <f t="shared" si="54"/>
        <v>0</v>
      </c>
      <c r="G57" s="2"/>
      <c r="H57" s="2">
        <f>0</f>
        <v>0</v>
      </c>
      <c r="I57" s="2"/>
      <c r="J57" s="19">
        <f t="shared" si="55"/>
        <v>0</v>
      </c>
      <c r="K57" s="2"/>
      <c r="L57" s="2">
        <f t="shared" si="56"/>
        <v>2909.7</v>
      </c>
      <c r="M57" s="2"/>
      <c r="N57" s="19">
        <f t="shared" si="57"/>
        <v>0</v>
      </c>
      <c r="O57" s="11"/>
      <c r="P57" s="2">
        <f>--3455.9</f>
        <v>3455.9</v>
      </c>
      <c r="Q57" s="2"/>
      <c r="R57" s="19">
        <f t="shared" si="58"/>
        <v>0.17408435578109269</v>
      </c>
      <c r="S57" s="2"/>
      <c r="T57" s="2">
        <f>0</f>
        <v>0</v>
      </c>
      <c r="U57" s="2"/>
      <c r="V57" s="19">
        <f t="shared" si="59"/>
        <v>0</v>
      </c>
      <c r="W57" s="2"/>
      <c r="X57" s="2">
        <f t="shared" si="60"/>
        <v>3455.9</v>
      </c>
      <c r="Y57" s="2"/>
      <c r="Z57" s="19">
        <f t="shared" si="61"/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6" t="s">
        <v>3</v>
      </c>
      <c r="C59" s="26"/>
      <c r="D59" s="21">
        <f>+D20-D22+D56</f>
        <v>-815.63000000000011</v>
      </c>
      <c r="E59" s="13"/>
      <c r="F59" s="20">
        <f>IF(D$12=0,0,D59/D$12)</f>
        <v>0</v>
      </c>
      <c r="G59" s="13"/>
      <c r="H59" s="21">
        <f>+H20-H22+H56</f>
        <v>-1337.3000000000002</v>
      </c>
      <c r="I59" s="13"/>
      <c r="J59" s="20">
        <f>IF(H$12=0,0,H59/H$12)</f>
        <v>0</v>
      </c>
      <c r="K59" s="15"/>
      <c r="L59" s="21">
        <f>+D59-H59</f>
        <v>521.67000000000007</v>
      </c>
      <c r="M59" s="15"/>
      <c r="N59" s="20">
        <f>IF(H59=0,0,L59/H59)</f>
        <v>-0.39009197637029835</v>
      </c>
      <c r="O59" s="25"/>
      <c r="P59" s="21">
        <f>+P20-P22+P56</f>
        <v>2854.089999999997</v>
      </c>
      <c r="Q59" s="13"/>
      <c r="R59" s="20">
        <f>IF(P$12=0,0,P59/P$12)</f>
        <v>0.14376932752430865</v>
      </c>
      <c r="S59" s="13"/>
      <c r="T59" s="21">
        <f>+T20-T22+T56</f>
        <v>797.77999999999884</v>
      </c>
      <c r="U59" s="13"/>
      <c r="V59" s="20">
        <f>IF(T$12=0,0,T59/T$12)</f>
        <v>2.7220256909983202E-2</v>
      </c>
      <c r="W59" s="15"/>
      <c r="X59" s="21">
        <f>+P59-T59</f>
        <v>2056.3099999999981</v>
      </c>
      <c r="Y59" s="15"/>
      <c r="Z59" s="20">
        <f>IF(T59=0,0,X59/T59)</f>
        <v>2.5775401739828037</v>
      </c>
    </row>
    <row r="60" spans="1:26" x14ac:dyDescent="0.25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51"/>
      <c r="B61" s="10" t="s">
        <v>13</v>
      </c>
      <c r="C61" s="10"/>
      <c r="D61" s="4">
        <v>-342.82</v>
      </c>
      <c r="E61" s="4"/>
      <c r="F61" s="12">
        <f>IF(D$12=0,0,D61/D$12)</f>
        <v>0</v>
      </c>
      <c r="G61" s="4"/>
      <c r="H61" s="4">
        <v>-388.28</v>
      </c>
      <c r="I61" s="4"/>
      <c r="J61" s="12">
        <f>IF(H$12=0,0,H61/H$12)</f>
        <v>0</v>
      </c>
      <c r="K61" s="4"/>
      <c r="L61" s="4">
        <f>+D61-H61</f>
        <v>45.45999999999998</v>
      </c>
      <c r="M61" s="4"/>
      <c r="N61" s="12">
        <f>IF(H61=0,0,L61/H61)</f>
        <v>-0.11708045740187489</v>
      </c>
      <c r="O61" s="10"/>
      <c r="P61" s="4">
        <v>2132.35</v>
      </c>
      <c r="Q61" s="4"/>
      <c r="R61" s="12">
        <f>IF(P$12=0,0,P61/P$12)</f>
        <v>0.10741305479030439</v>
      </c>
      <c r="S61" s="4"/>
      <c r="T61" s="4">
        <v>2603.96</v>
      </c>
      <c r="U61" s="4"/>
      <c r="V61" s="12">
        <f>IF(T$12=0,0,T61/T$12)</f>
        <v>8.884712600381052E-2</v>
      </c>
      <c r="W61" s="4"/>
      <c r="X61" s="4">
        <f>+P61-T61</f>
        <v>-471.61000000000013</v>
      </c>
      <c r="Y61" s="4"/>
      <c r="Z61" s="12">
        <f>IF(T61=0,0,X61/T61)</f>
        <v>-0.18111261309697543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6" t="s">
        <v>4</v>
      </c>
      <c r="C63" s="26"/>
      <c r="D63" s="35">
        <f>+D59-D61</f>
        <v>-472.81000000000012</v>
      </c>
      <c r="E63" s="13"/>
      <c r="F63" s="30">
        <f>IF(D$12=0,0,D63/D$12)</f>
        <v>0</v>
      </c>
      <c r="G63" s="13"/>
      <c r="H63" s="35">
        <f>+H59-H61</f>
        <v>-949.02000000000021</v>
      </c>
      <c r="I63" s="13"/>
      <c r="J63" s="30">
        <f>IF(H$12=0,0,H63/H$12)</f>
        <v>0</v>
      </c>
      <c r="K63" s="15"/>
      <c r="L63" s="35">
        <f>D63-H63</f>
        <v>476.21000000000009</v>
      </c>
      <c r="M63" s="15"/>
      <c r="N63" s="30">
        <f>IF(H63=0,0,L63/H63)</f>
        <v>-0.50179132157383399</v>
      </c>
      <c r="O63" s="25"/>
      <c r="P63" s="35">
        <f>+P59-P61</f>
        <v>721.73999999999705</v>
      </c>
      <c r="Q63" s="13"/>
      <c r="R63" s="30">
        <f>IF(P$12=0,0,P63/P$12)</f>
        <v>3.6356272734004255E-2</v>
      </c>
      <c r="S63" s="13"/>
      <c r="T63" s="35">
        <f>+T59-T61</f>
        <v>-1806.1800000000012</v>
      </c>
      <c r="U63" s="13"/>
      <c r="V63" s="30">
        <f>IF(T$12=0,0,T63/T$12)</f>
        <v>-6.1626869093827322E-2</v>
      </c>
      <c r="W63" s="15"/>
      <c r="X63" s="35">
        <f>P63-T63</f>
        <v>2527.9199999999983</v>
      </c>
      <c r="Y63" s="15"/>
      <c r="Z63" s="30">
        <f>IF(T63=0,0,X63/T63)</f>
        <v>-1.3995947247782594</v>
      </c>
    </row>
    <row r="64" spans="1:26" ht="15.75" thickTop="1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6" t="s">
        <v>5</v>
      </c>
      <c r="C66" s="26"/>
      <c r="D66" s="36">
        <f>SUM(D63:D65)</f>
        <v>-472.81000000000012</v>
      </c>
      <c r="E66" s="13"/>
      <c r="F66" s="31">
        <f>IF(D$12=0,0,D66/D$12)</f>
        <v>0</v>
      </c>
      <c r="G66" s="13"/>
      <c r="H66" s="36">
        <f>SUM(H63:H65)</f>
        <v>-949.02000000000021</v>
      </c>
      <c r="I66" s="13"/>
      <c r="J66" s="31">
        <f>IF(H$12=0,0,H66/H$12)</f>
        <v>0</v>
      </c>
      <c r="K66" s="15"/>
      <c r="L66" s="36">
        <f>+D66-H66</f>
        <v>476.21000000000009</v>
      </c>
      <c r="M66" s="15"/>
      <c r="N66" s="31">
        <f>IF(H66=0,0,L66/H66)</f>
        <v>-0.50179132157383399</v>
      </c>
      <c r="O66" s="25"/>
      <c r="P66" s="36">
        <f>SUM(P63:P65)</f>
        <v>721.73999999999705</v>
      </c>
      <c r="Q66" s="13"/>
      <c r="R66" s="31">
        <f>IF(P$12=0,0,P66/P$12)</f>
        <v>3.6356272734004255E-2</v>
      </c>
      <c r="S66" s="13"/>
      <c r="T66" s="36">
        <f>SUM(T63:T65)</f>
        <v>-1806.1800000000012</v>
      </c>
      <c r="U66" s="13"/>
      <c r="V66" s="31">
        <f>IF(T$12=0,0,T66/T$12)</f>
        <v>-6.1626869093827322E-2</v>
      </c>
      <c r="W66" s="15"/>
      <c r="X66" s="36">
        <f>+P66-T66</f>
        <v>2527.9199999999983</v>
      </c>
      <c r="Y66" s="15"/>
      <c r="Z66" s="31">
        <f>IF(T66=0,0,X66/T66)</f>
        <v>-1.3995947247782594</v>
      </c>
    </row>
    <row r="67" spans="1:26" ht="15.75" thickTop="1" x14ac:dyDescent="0.25">
      <c r="A67" s="9"/>
      <c r="C67" s="9"/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55">
        <v>43756.46346554398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6" t="s">
        <v>313</v>
      </c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57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","425", " - ", "Events Center")</f>
        <v>Department 425 - Events Center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41299.660000000003</v>
      </c>
      <c r="E12" s="4"/>
      <c r="F12" s="12"/>
      <c r="G12" s="4"/>
      <c r="H12" s="4">
        <f>SUM(OSRRefH13x_0)</f>
        <v>67015.45</v>
      </c>
      <c r="I12" s="4"/>
      <c r="J12" s="12"/>
      <c r="K12" s="4"/>
      <c r="L12" s="4">
        <f t="shared" ref="L12:L16" si="0">+D12-H12</f>
        <v>-25715.789999999994</v>
      </c>
      <c r="M12" s="4"/>
      <c r="N12" s="12">
        <f t="shared" ref="N12:N16" si="1">IF(H12=0,0,L12/H12)</f>
        <v>-0.38372927436882082</v>
      </c>
      <c r="O12" s="10"/>
      <c r="P12" s="4">
        <f>SUM(OSRRefP13x_0)</f>
        <v>100801.36</v>
      </c>
      <c r="Q12" s="4"/>
      <c r="R12" s="12"/>
      <c r="S12" s="4"/>
      <c r="T12" s="4">
        <f>SUM(OSRRefT13x_0)</f>
        <v>99073.299999999988</v>
      </c>
      <c r="U12" s="4"/>
      <c r="V12" s="12"/>
      <c r="W12" s="4"/>
      <c r="X12" s="4">
        <f t="shared" ref="X12:X16" si="2">+P12-T12</f>
        <v>1728.0600000000122</v>
      </c>
      <c r="Y12" s="4"/>
      <c r="Z12" s="12">
        <f t="shared" ref="Z12:Z16" si="3">IF(T12=0,0,X12/T12)</f>
        <v>1.7442237212246008E-2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0</f>
        <v>0</v>
      </c>
      <c r="E13" s="2"/>
      <c r="F13" s="19"/>
      <c r="G13" s="2"/>
      <c r="H13" s="2">
        <f>--520.35</f>
        <v>520.35</v>
      </c>
      <c r="I13" s="2"/>
      <c r="J13" s="19"/>
      <c r="K13" s="2"/>
      <c r="L13" s="2">
        <f t="shared" si="0"/>
        <v>-520.35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--704.37</f>
        <v>704.37</v>
      </c>
      <c r="U13" s="2"/>
      <c r="V13" s="19"/>
      <c r="W13" s="2"/>
      <c r="X13" s="2">
        <f t="shared" si="2"/>
        <v>-704.37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--39315.98</f>
        <v>39315.980000000003</v>
      </c>
      <c r="E14" s="2"/>
      <c r="F14" s="19"/>
      <c r="G14" s="2"/>
      <c r="H14" s="2">
        <f>--62797.17</f>
        <v>62797.17</v>
      </c>
      <c r="I14" s="2"/>
      <c r="J14" s="19"/>
      <c r="K14" s="2"/>
      <c r="L14" s="2">
        <f t="shared" si="0"/>
        <v>-23481.189999999995</v>
      </c>
      <c r="M14" s="2"/>
      <c r="N14" s="19">
        <f t="shared" si="1"/>
        <v>-0.37392114963142442</v>
      </c>
      <c r="O14" s="11"/>
      <c r="P14" s="2">
        <f>--73820.81</f>
        <v>73820.81</v>
      </c>
      <c r="Q14" s="2"/>
      <c r="R14" s="19"/>
      <c r="S14" s="2"/>
      <c r="T14" s="2">
        <f>--79901.84</f>
        <v>79901.84</v>
      </c>
      <c r="U14" s="2"/>
      <c r="V14" s="19"/>
      <c r="W14" s="2"/>
      <c r="X14" s="2">
        <f t="shared" si="2"/>
        <v>-6081.0299999999988</v>
      </c>
      <c r="Y14" s="2"/>
      <c r="Z14" s="19">
        <f t="shared" si="3"/>
        <v>-7.610625737780255E-2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--1983.68</f>
        <v>1983.68</v>
      </c>
      <c r="E15" s="2"/>
      <c r="F15" s="19"/>
      <c r="G15" s="2"/>
      <c r="H15" s="2">
        <f>--3646.26</f>
        <v>3646.26</v>
      </c>
      <c r="I15" s="2"/>
      <c r="J15" s="19"/>
      <c r="K15" s="2"/>
      <c r="L15" s="2">
        <f t="shared" si="0"/>
        <v>-1662.5800000000002</v>
      </c>
      <c r="M15" s="2"/>
      <c r="N15" s="19">
        <f t="shared" si="1"/>
        <v>-0.45596858150543296</v>
      </c>
      <c r="O15" s="11"/>
      <c r="P15" s="2">
        <f>--26980.55</f>
        <v>26980.55</v>
      </c>
      <c r="Q15" s="2"/>
      <c r="R15" s="19"/>
      <c r="S15" s="2"/>
      <c r="T15" s="2">
        <f>--18415.42</f>
        <v>18415.419999999998</v>
      </c>
      <c r="U15" s="2"/>
      <c r="V15" s="19"/>
      <c r="W15" s="2"/>
      <c r="X15" s="2">
        <f t="shared" si="2"/>
        <v>8565.130000000001</v>
      </c>
      <c r="Y15" s="2"/>
      <c r="Z15" s="19">
        <f t="shared" si="3"/>
        <v>0.4651064162533356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0</f>
        <v>0</v>
      </c>
      <c r="E16" s="2"/>
      <c r="F16" s="19"/>
      <c r="G16" s="2"/>
      <c r="H16" s="2">
        <f>--51.67</f>
        <v>51.67</v>
      </c>
      <c r="I16" s="2"/>
      <c r="J16" s="19"/>
      <c r="K16" s="2"/>
      <c r="L16" s="2">
        <f t="shared" si="0"/>
        <v>-51.67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--51.67</f>
        <v>51.67</v>
      </c>
      <c r="U16" s="2"/>
      <c r="V16" s="19"/>
      <c r="W16" s="2"/>
      <c r="X16" s="2">
        <f t="shared" si="2"/>
        <v>-51.67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9452.8799999999992</v>
      </c>
      <c r="E18" s="4"/>
      <c r="F18" s="12">
        <f t="shared" ref="F18:F20" si="4">IF(D$12=0,0,D18/D$12)</f>
        <v>0.22888517726296048</v>
      </c>
      <c r="G18" s="4"/>
      <c r="H18" s="4">
        <f>SUM(OSRRefH16x_0)</f>
        <v>7841.27</v>
      </c>
      <c r="I18" s="4"/>
      <c r="J18" s="12">
        <f t="shared" ref="J18:J20" si="5">IF(H$12=0,0,H18/H$12)</f>
        <v>0.11700689915534404</v>
      </c>
      <c r="K18" s="4"/>
      <c r="L18" s="4">
        <f t="shared" ref="L18:L20" si="6">+D18-H18</f>
        <v>1611.6099999999988</v>
      </c>
      <c r="M18" s="4"/>
      <c r="N18" s="12">
        <f t="shared" ref="N18:N20" si="7">IF(H18=0,0,L18/H18)</f>
        <v>0.20552920636580538</v>
      </c>
      <c r="O18" s="10"/>
      <c r="P18" s="4">
        <f>SUM(OSRRefP16x_0)</f>
        <v>24083.47</v>
      </c>
      <c r="Q18" s="4"/>
      <c r="R18" s="12">
        <f t="shared" ref="R18:R20" si="8">IF(P$12=0,0,P18/P$12)</f>
        <v>0.23892008996704014</v>
      </c>
      <c r="S18" s="4"/>
      <c r="T18" s="4">
        <f>SUM(OSRRefT16x_0)</f>
        <v>14995.460000000001</v>
      </c>
      <c r="U18" s="4"/>
      <c r="V18" s="12">
        <f t="shared" ref="V18:V20" si="9">IF(T$12=0,0,T18/T$12)</f>
        <v>0.15135722742656196</v>
      </c>
      <c r="W18" s="4"/>
      <c r="X18" s="4">
        <f t="shared" ref="X18:X20" si="10">+P18-T18</f>
        <v>9088.01</v>
      </c>
      <c r="Y18" s="4"/>
      <c r="Z18" s="12">
        <f t="shared" ref="Z18:Z20" si="11">IF(T18=0,0,X18/T18)</f>
        <v>0.60605076469811525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13446.88</v>
      </c>
      <c r="E19" s="2"/>
      <c r="F19" s="19">
        <f t="shared" si="4"/>
        <v>0.32559299519657059</v>
      </c>
      <c r="G19" s="2"/>
      <c r="H19" s="2">
        <v>10894.77</v>
      </c>
      <c r="I19" s="2"/>
      <c r="J19" s="19">
        <f t="shared" si="5"/>
        <v>0.16257101907097543</v>
      </c>
      <c r="K19" s="2"/>
      <c r="L19" s="2">
        <f t="shared" si="6"/>
        <v>2552.1099999999988</v>
      </c>
      <c r="M19" s="2"/>
      <c r="N19" s="19">
        <f t="shared" si="7"/>
        <v>0.23425092957446542</v>
      </c>
      <c r="O19" s="11"/>
      <c r="P19" s="2">
        <v>31885.47</v>
      </c>
      <c r="Q19" s="2"/>
      <c r="R19" s="19">
        <f t="shared" si="8"/>
        <v>0.31631983933550106</v>
      </c>
      <c r="S19" s="2"/>
      <c r="T19" s="2">
        <v>19395.36</v>
      </c>
      <c r="U19" s="2"/>
      <c r="V19" s="19">
        <f t="shared" si="9"/>
        <v>0.19576778001742148</v>
      </c>
      <c r="W19" s="2"/>
      <c r="X19" s="2">
        <f t="shared" si="10"/>
        <v>12490.11</v>
      </c>
      <c r="Y19" s="2"/>
      <c r="Z19" s="19">
        <f t="shared" si="11"/>
        <v>0.64397412577028734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-3994</v>
      </c>
      <c r="E20" s="2"/>
      <c r="F20" s="19">
        <f t="shared" si="4"/>
        <v>-9.6707817933610093E-2</v>
      </c>
      <c r="G20" s="2"/>
      <c r="H20" s="2">
        <v>-3053.5</v>
      </c>
      <c r="I20" s="2"/>
      <c r="J20" s="19">
        <f t="shared" si="5"/>
        <v>-4.5564119915631397E-2</v>
      </c>
      <c r="K20" s="2"/>
      <c r="L20" s="2">
        <f t="shared" si="6"/>
        <v>-940.5</v>
      </c>
      <c r="M20" s="2"/>
      <c r="N20" s="19">
        <f t="shared" si="7"/>
        <v>0.30800720484689698</v>
      </c>
      <c r="O20" s="11"/>
      <c r="P20" s="2">
        <v>-7802</v>
      </c>
      <c r="Q20" s="2"/>
      <c r="R20" s="19">
        <f t="shared" si="8"/>
        <v>-7.7399749368460904E-2</v>
      </c>
      <c r="S20" s="2"/>
      <c r="T20" s="2">
        <v>-4399.8999999999996</v>
      </c>
      <c r="U20" s="2"/>
      <c r="V20" s="19">
        <f t="shared" si="9"/>
        <v>-4.4410552590859499E-2</v>
      </c>
      <c r="W20" s="2"/>
      <c r="X20" s="2">
        <f t="shared" si="10"/>
        <v>-3402.1000000000004</v>
      </c>
      <c r="Y20" s="2"/>
      <c r="Z20" s="19">
        <f t="shared" si="11"/>
        <v>0.77322211868451574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6</v>
      </c>
      <c r="C22" s="26"/>
      <c r="D22" s="21">
        <f>D12-D18</f>
        <v>31846.780000000006</v>
      </c>
      <c r="E22" s="13"/>
      <c r="F22" s="20">
        <f>IF(D$12=0,0,D22/D$12)</f>
        <v>0.77111482273703957</v>
      </c>
      <c r="G22" s="13"/>
      <c r="H22" s="21">
        <f>H12-H18</f>
        <v>59174.179999999993</v>
      </c>
      <c r="I22" s="13"/>
      <c r="J22" s="20">
        <f>IF(H$12=0,0,H22/H$12)</f>
        <v>0.88299310084465588</v>
      </c>
      <c r="K22" s="15"/>
      <c r="L22" s="21">
        <f>+D22-H22</f>
        <v>-27327.399999999987</v>
      </c>
      <c r="M22" s="15"/>
      <c r="N22" s="20">
        <f>IF(H22=0,0,L22/H22)</f>
        <v>-0.46181290556117532</v>
      </c>
      <c r="O22" s="25"/>
      <c r="P22" s="21">
        <f>P12-P18</f>
        <v>76717.89</v>
      </c>
      <c r="Q22" s="13"/>
      <c r="R22" s="20">
        <f>IF(P$12=0,0,P22/P$12)</f>
        <v>0.76107991003295983</v>
      </c>
      <c r="S22" s="13"/>
      <c r="T22" s="21">
        <f>T12-T18</f>
        <v>84077.839999999982</v>
      </c>
      <c r="U22" s="13"/>
      <c r="V22" s="20">
        <f>IF(T$12=0,0,T22/T$12)</f>
        <v>0.84864277257343801</v>
      </c>
      <c r="W22" s="15"/>
      <c r="X22" s="21">
        <f>+P22-T22</f>
        <v>-7359.9499999999825</v>
      </c>
      <c r="Y22" s="15"/>
      <c r="Z22" s="20">
        <f>IF(T22=0,0,X22/T22)</f>
        <v>-8.7537334451027571E-2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9</v>
      </c>
      <c r="C24" s="10"/>
      <c r="D24" s="22">
        <f>SUM(OSRRefD22x_0)</f>
        <v>32579.97</v>
      </c>
      <c r="E24" s="22"/>
      <c r="F24" s="34">
        <f t="shared" ref="F24:F33" si="12">IF(D$12=0,0,D24/D$12)</f>
        <v>0.78886775339070581</v>
      </c>
      <c r="G24" s="22"/>
      <c r="H24" s="22">
        <f>SUM(OSRRefH22x_0)</f>
        <v>28850.570000000003</v>
      </c>
      <c r="I24" s="22"/>
      <c r="J24" s="34">
        <f t="shared" ref="J24:J33" si="13">IF(H$12=0,0,H24/H$12)</f>
        <v>0.43050624893214928</v>
      </c>
      <c r="K24" s="4"/>
      <c r="L24" s="22">
        <f t="shared" ref="L24:L33" si="14">+D24-H24</f>
        <v>3729.3999999999978</v>
      </c>
      <c r="M24" s="4"/>
      <c r="N24" s="34">
        <f t="shared" ref="N24:N33" si="15">IF(H24=0,0,L24/H24)</f>
        <v>0.12926607689206826</v>
      </c>
      <c r="O24" s="10"/>
      <c r="P24" s="22">
        <f>SUM(OSRRefP22x_0)</f>
        <v>83866.359999999986</v>
      </c>
      <c r="Q24" s="22"/>
      <c r="R24" s="34">
        <f t="shared" ref="R24:R33" si="16">IF(P$12=0,0,P24/P$12)</f>
        <v>0.83199631433544141</v>
      </c>
      <c r="S24" s="22"/>
      <c r="T24" s="22">
        <f>SUM(OSRRefT22x_0)</f>
        <v>67934.099999999991</v>
      </c>
      <c r="U24" s="22"/>
      <c r="V24" s="34">
        <f t="shared" ref="V24:V33" si="17">IF(T$12=0,0,T24/T$12)</f>
        <v>0.68569533870376775</v>
      </c>
      <c r="W24" s="4"/>
      <c r="X24" s="22">
        <f t="shared" ref="X24:X33" si="18">+P24-T24</f>
        <v>15932.259999999995</v>
      </c>
      <c r="Y24" s="4"/>
      <c r="Z24" s="34">
        <f t="shared" ref="Z24:Z33" si="19">IF(T24=0,0,X24/T24)</f>
        <v>0.23452522370944778</v>
      </c>
    </row>
    <row r="25" spans="1:26" s="29" customFormat="1" outlineLevel="1" collapsed="1" x14ac:dyDescent="0.25">
      <c r="A25" s="27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2780.4000000000005</v>
      </c>
      <c r="E25" s="1"/>
      <c r="F25" s="5">
        <f t="shared" si="12"/>
        <v>6.7322588127844155E-2</v>
      </c>
      <c r="G25" s="1"/>
      <c r="H25" s="1">
        <f>SUM(OSRRefH22_0x_0)</f>
        <v>2855.9100000000003</v>
      </c>
      <c r="I25" s="1"/>
      <c r="J25" s="5">
        <f t="shared" si="13"/>
        <v>4.2615695335926275E-2</v>
      </c>
      <c r="K25" s="1"/>
      <c r="L25" s="1">
        <f t="shared" si="14"/>
        <v>-75.509999999999764</v>
      </c>
      <c r="M25" s="1"/>
      <c r="N25" s="5">
        <f t="shared" si="15"/>
        <v>-2.6439908820656027E-2</v>
      </c>
      <c r="O25" s="14"/>
      <c r="P25" s="1">
        <f>SUM(OSRRefP22_0x_0)</f>
        <v>8511.07</v>
      </c>
      <c r="Q25" s="1"/>
      <c r="R25" s="5">
        <f t="shared" si="16"/>
        <v>8.4434079064012624E-2</v>
      </c>
      <c r="S25" s="1"/>
      <c r="T25" s="1">
        <f>SUM(OSRRefT22_0x_0)</f>
        <v>8878.67</v>
      </c>
      <c r="U25" s="1"/>
      <c r="V25" s="5">
        <f t="shared" si="17"/>
        <v>8.9617182429574879E-2</v>
      </c>
      <c r="W25" s="1"/>
      <c r="X25" s="1">
        <f t="shared" si="18"/>
        <v>-367.60000000000036</v>
      </c>
      <c r="Y25" s="1"/>
      <c r="Z25" s="5">
        <f t="shared" si="19"/>
        <v>-4.1402597461106264E-2</v>
      </c>
    </row>
    <row r="26" spans="1:26" s="24" customFormat="1" hidden="1" outlineLevel="2" x14ac:dyDescent="0.25">
      <c r="A26" s="28"/>
      <c r="B26" s="11" t="str">
        <f>CONCATENATE("          ", "6111", " - ", "F.I.C.A.")</f>
        <v xml:space="preserve">          6111 - F.I.C.A.</v>
      </c>
      <c r="C26" s="11"/>
      <c r="D26" s="6">
        <v>572.86</v>
      </c>
      <c r="E26" s="2"/>
      <c r="F26" s="7">
        <f t="shared" si="12"/>
        <v>1.3870816369916847E-2</v>
      </c>
      <c r="G26" s="2"/>
      <c r="H26" s="6">
        <v>533.69000000000005</v>
      </c>
      <c r="I26" s="2"/>
      <c r="J26" s="7">
        <f t="shared" si="13"/>
        <v>7.9636859858435646E-3</v>
      </c>
      <c r="K26" s="2"/>
      <c r="L26" s="6">
        <f t="shared" si="14"/>
        <v>39.169999999999959</v>
      </c>
      <c r="M26" s="2"/>
      <c r="N26" s="7">
        <f t="shared" si="15"/>
        <v>7.339466731623219E-2</v>
      </c>
      <c r="O26" s="11"/>
      <c r="P26" s="6">
        <v>1909.53</v>
      </c>
      <c r="Q26" s="2"/>
      <c r="R26" s="7">
        <f t="shared" si="16"/>
        <v>1.8943494413170614E-2</v>
      </c>
      <c r="S26" s="2"/>
      <c r="T26" s="6">
        <v>1748.98</v>
      </c>
      <c r="U26" s="2"/>
      <c r="V26" s="7">
        <f t="shared" si="17"/>
        <v>1.7653394002218561E-2</v>
      </c>
      <c r="W26" s="2"/>
      <c r="X26" s="6">
        <f t="shared" si="18"/>
        <v>160.54999999999995</v>
      </c>
      <c r="Y26" s="2"/>
      <c r="Z26" s="7">
        <f t="shared" si="19"/>
        <v>9.1796361307733623E-2</v>
      </c>
    </row>
    <row r="27" spans="1:26" s="24" customFormat="1" hidden="1" outlineLevel="2" x14ac:dyDescent="0.25">
      <c r="A27" s="28"/>
      <c r="B27" s="11" t="str">
        <f>CONCATENATE("          ", "6112", " - ", "COMPENSATION INSURANCE")</f>
        <v xml:space="preserve">          6112 - COMPENSATION INSURANCE</v>
      </c>
      <c r="C27" s="11"/>
      <c r="D27" s="6">
        <v>585.66999999999996</v>
      </c>
      <c r="E27" s="2"/>
      <c r="F27" s="7">
        <f t="shared" si="12"/>
        <v>1.4180988414916731E-2</v>
      </c>
      <c r="G27" s="2"/>
      <c r="H27" s="6"/>
      <c r="I27" s="2"/>
      <c r="J27" s="7">
        <f t="shared" si="13"/>
        <v>0</v>
      </c>
      <c r="K27" s="2"/>
      <c r="L27" s="6">
        <f t="shared" si="14"/>
        <v>585.66999999999996</v>
      </c>
      <c r="M27" s="2"/>
      <c r="N27" s="7">
        <f t="shared" si="15"/>
        <v>0</v>
      </c>
      <c r="O27" s="11"/>
      <c r="P27" s="6">
        <v>1675.77</v>
      </c>
      <c r="Q27" s="2"/>
      <c r="R27" s="7">
        <f t="shared" si="16"/>
        <v>1.6624478082438571E-2</v>
      </c>
      <c r="S27" s="2"/>
      <c r="T27" s="6">
        <v>672.94</v>
      </c>
      <c r="U27" s="2"/>
      <c r="V27" s="7">
        <f t="shared" si="17"/>
        <v>6.7923446579451789E-3</v>
      </c>
      <c r="W27" s="2"/>
      <c r="X27" s="6">
        <f t="shared" si="18"/>
        <v>1002.8299999999999</v>
      </c>
      <c r="Y27" s="2"/>
      <c r="Z27" s="7">
        <f t="shared" si="19"/>
        <v>1.4902220108776412</v>
      </c>
    </row>
    <row r="28" spans="1:26" s="24" customFormat="1" hidden="1" outlineLevel="2" x14ac:dyDescent="0.25">
      <c r="A28" s="28"/>
      <c r="B28" s="11" t="str">
        <f>CONCATENATE("          ", "6113", " - ", "GROUP INSURANCE")</f>
        <v xml:space="preserve">          6113 - GROUP INSURANCE</v>
      </c>
      <c r="C28" s="11"/>
      <c r="D28" s="6">
        <v>698.2</v>
      </c>
      <c r="E28" s="2"/>
      <c r="F28" s="7">
        <f t="shared" si="12"/>
        <v>1.6905708182585522E-2</v>
      </c>
      <c r="G28" s="2"/>
      <c r="H28" s="6">
        <v>1415.65</v>
      </c>
      <c r="I28" s="2"/>
      <c r="J28" s="7">
        <f t="shared" si="13"/>
        <v>2.1124233292472112E-2</v>
      </c>
      <c r="K28" s="2"/>
      <c r="L28" s="6">
        <f t="shared" si="14"/>
        <v>-717.45</v>
      </c>
      <c r="M28" s="2"/>
      <c r="N28" s="7">
        <f t="shared" si="15"/>
        <v>-0.50679899692720654</v>
      </c>
      <c r="O28" s="11"/>
      <c r="P28" s="6">
        <v>2094.6</v>
      </c>
      <c r="Q28" s="2"/>
      <c r="R28" s="7">
        <f t="shared" si="16"/>
        <v>2.0779481546677542E-2</v>
      </c>
      <c r="S28" s="2"/>
      <c r="T28" s="6">
        <v>3358.95</v>
      </c>
      <c r="U28" s="2"/>
      <c r="V28" s="7">
        <f t="shared" si="17"/>
        <v>3.3903685453093822E-2</v>
      </c>
      <c r="W28" s="2"/>
      <c r="X28" s="6">
        <f t="shared" si="18"/>
        <v>-1264.3499999999999</v>
      </c>
      <c r="Y28" s="2"/>
      <c r="Z28" s="7">
        <f t="shared" si="19"/>
        <v>-0.37641227169204661</v>
      </c>
    </row>
    <row r="29" spans="1:26" s="24" customFormat="1" hidden="1" outlineLevel="2" x14ac:dyDescent="0.25">
      <c r="A29" s="28"/>
      <c r="B29" s="11" t="str">
        <f>CONCATENATE("          ", "6114", " - ", "STATE UNEMPLOYMENT INSURANCE")</f>
        <v xml:space="preserve">          6114 - STATE UNEMPLOYMENT INSURANCE</v>
      </c>
      <c r="C29" s="11"/>
      <c r="D29" s="6">
        <v>39.25</v>
      </c>
      <c r="E29" s="2"/>
      <c r="F29" s="7">
        <f t="shared" si="12"/>
        <v>9.5037102000355446E-4</v>
      </c>
      <c r="G29" s="2"/>
      <c r="H29" s="6">
        <v>28.03</v>
      </c>
      <c r="I29" s="2"/>
      <c r="J29" s="7">
        <f t="shared" si="13"/>
        <v>4.1826175904213135E-4</v>
      </c>
      <c r="K29" s="2"/>
      <c r="L29" s="6">
        <f t="shared" si="14"/>
        <v>11.219999999999999</v>
      </c>
      <c r="M29" s="2"/>
      <c r="N29" s="7">
        <f t="shared" si="15"/>
        <v>0.40028540849090255</v>
      </c>
      <c r="O29" s="11"/>
      <c r="P29" s="6">
        <v>112.3</v>
      </c>
      <c r="Q29" s="2"/>
      <c r="R29" s="7">
        <f t="shared" si="16"/>
        <v>1.1140722704534938E-3</v>
      </c>
      <c r="S29" s="2"/>
      <c r="T29" s="6">
        <v>78.02</v>
      </c>
      <c r="U29" s="2"/>
      <c r="V29" s="7">
        <f t="shared" si="17"/>
        <v>7.8749774157113985E-4</v>
      </c>
      <c r="W29" s="2"/>
      <c r="X29" s="6">
        <f t="shared" si="18"/>
        <v>34.28</v>
      </c>
      <c r="Y29" s="2"/>
      <c r="Z29" s="7">
        <f t="shared" si="19"/>
        <v>0.43937451935401184</v>
      </c>
    </row>
    <row r="30" spans="1:26" s="24" customFormat="1" hidden="1" outlineLevel="2" x14ac:dyDescent="0.25">
      <c r="A30" s="28"/>
      <c r="B30" s="11" t="str">
        <f>CONCATENATE("          ", "6115", " - ", "P.E.R.S.")</f>
        <v xml:space="preserve">          6115 - P.E.R.S.</v>
      </c>
      <c r="C30" s="11"/>
      <c r="D30" s="6">
        <v>320.99</v>
      </c>
      <c r="E30" s="2"/>
      <c r="F30" s="7">
        <f t="shared" si="12"/>
        <v>7.7722189480494506E-3</v>
      </c>
      <c r="G30" s="2"/>
      <c r="H30" s="6">
        <v>302.27</v>
      </c>
      <c r="I30" s="2"/>
      <c r="J30" s="7">
        <f t="shared" si="13"/>
        <v>4.5104524404447031E-3</v>
      </c>
      <c r="K30" s="2"/>
      <c r="L30" s="6">
        <f t="shared" si="14"/>
        <v>18.720000000000027</v>
      </c>
      <c r="M30" s="2"/>
      <c r="N30" s="7">
        <f t="shared" si="15"/>
        <v>6.1931385847090445E-2</v>
      </c>
      <c r="O30" s="11"/>
      <c r="P30" s="6">
        <v>962.97</v>
      </c>
      <c r="Q30" s="2"/>
      <c r="R30" s="7">
        <f t="shared" si="16"/>
        <v>9.5531449178860289E-3</v>
      </c>
      <c r="S30" s="2"/>
      <c r="T30" s="6">
        <v>1030.6500000000001</v>
      </c>
      <c r="U30" s="2"/>
      <c r="V30" s="7">
        <f t="shared" si="17"/>
        <v>1.040290370866823E-2</v>
      </c>
      <c r="W30" s="2"/>
      <c r="X30" s="6">
        <f t="shared" si="18"/>
        <v>-67.680000000000064</v>
      </c>
      <c r="Y30" s="2"/>
      <c r="Z30" s="7">
        <f t="shared" si="19"/>
        <v>-6.5667297336632277E-2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6">
        <v>176.92</v>
      </c>
      <c r="E31" s="2"/>
      <c r="F31" s="7">
        <f t="shared" si="12"/>
        <v>4.2838125059625181E-3</v>
      </c>
      <c r="G31" s="2"/>
      <c r="H31" s="6">
        <v>254.58</v>
      </c>
      <c r="I31" s="2"/>
      <c r="J31" s="7">
        <f t="shared" si="13"/>
        <v>3.7988254947180092E-3</v>
      </c>
      <c r="K31" s="2"/>
      <c r="L31" s="6">
        <f t="shared" si="14"/>
        <v>-77.660000000000025</v>
      </c>
      <c r="M31" s="2"/>
      <c r="N31" s="7">
        <f t="shared" si="15"/>
        <v>-0.30505145730222333</v>
      </c>
      <c r="O31" s="11"/>
      <c r="P31" s="6">
        <v>557.05999999999995</v>
      </c>
      <c r="Q31" s="2"/>
      <c r="R31" s="7">
        <f t="shared" si="16"/>
        <v>5.5263143275051047E-3</v>
      </c>
      <c r="S31" s="2"/>
      <c r="T31" s="6">
        <v>787.03</v>
      </c>
      <c r="U31" s="2"/>
      <c r="V31" s="7">
        <f t="shared" si="17"/>
        <v>7.9439162720934906E-3</v>
      </c>
      <c r="W31" s="2"/>
      <c r="X31" s="6">
        <f t="shared" si="18"/>
        <v>-229.97000000000003</v>
      </c>
      <c r="Y31" s="2"/>
      <c r="Z31" s="7">
        <f t="shared" si="19"/>
        <v>-0.29219978908046712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6">
        <v>211.96</v>
      </c>
      <c r="E32" s="2"/>
      <c r="F32" s="7">
        <f t="shared" si="12"/>
        <v>5.1322456407631436E-3</v>
      </c>
      <c r="G32" s="2"/>
      <c r="H32" s="6">
        <v>203.77</v>
      </c>
      <c r="I32" s="2"/>
      <c r="J32" s="7">
        <f t="shared" si="13"/>
        <v>3.0406421205856266E-3</v>
      </c>
      <c r="K32" s="2"/>
      <c r="L32" s="6">
        <f t="shared" si="14"/>
        <v>8.1899999999999977</v>
      </c>
      <c r="M32" s="2"/>
      <c r="N32" s="7">
        <f t="shared" si="15"/>
        <v>4.0192373754723447E-2</v>
      </c>
      <c r="O32" s="11"/>
      <c r="P32" s="6">
        <v>729.72</v>
      </c>
      <c r="Q32" s="2"/>
      <c r="R32" s="7">
        <f t="shared" si="16"/>
        <v>7.2391880427010117E-3</v>
      </c>
      <c r="S32" s="2"/>
      <c r="T32" s="6">
        <v>788.94</v>
      </c>
      <c r="U32" s="2"/>
      <c r="V32" s="7">
        <f t="shared" si="17"/>
        <v>7.9631949273921438E-3</v>
      </c>
      <c r="W32" s="2"/>
      <c r="X32" s="6">
        <f t="shared" si="18"/>
        <v>-59.220000000000027</v>
      </c>
      <c r="Y32" s="2"/>
      <c r="Z32" s="7">
        <f t="shared" si="19"/>
        <v>-7.5062742413871814E-2</v>
      </c>
    </row>
    <row r="33" spans="1:26" s="24" customFormat="1" hidden="1" outlineLevel="2" x14ac:dyDescent="0.25">
      <c r="A33" s="28"/>
      <c r="B33" s="11" t="str">
        <f>CONCATENATE("          ", "6156", " - ", "EMPLOYEE MEALS")</f>
        <v xml:space="preserve">          6156 - EMPLOYEE MEALS</v>
      </c>
      <c r="C33" s="11"/>
      <c r="D33" s="6">
        <v>174.55</v>
      </c>
      <c r="E33" s="2"/>
      <c r="F33" s="7">
        <f t="shared" si="12"/>
        <v>4.2264270456463804E-3</v>
      </c>
      <c r="G33" s="2"/>
      <c r="H33" s="6">
        <v>117.92</v>
      </c>
      <c r="I33" s="2"/>
      <c r="J33" s="7">
        <f t="shared" si="13"/>
        <v>1.7595942428201259E-3</v>
      </c>
      <c r="K33" s="2"/>
      <c r="L33" s="6">
        <f t="shared" si="14"/>
        <v>56.63000000000001</v>
      </c>
      <c r="M33" s="2"/>
      <c r="N33" s="7">
        <f t="shared" si="15"/>
        <v>0.48024084124830402</v>
      </c>
      <c r="O33" s="11"/>
      <c r="P33" s="6">
        <v>469.12</v>
      </c>
      <c r="Q33" s="2"/>
      <c r="R33" s="7">
        <f t="shared" si="16"/>
        <v>4.6539054631802588E-3</v>
      </c>
      <c r="S33" s="2"/>
      <c r="T33" s="6">
        <v>413.16</v>
      </c>
      <c r="U33" s="2"/>
      <c r="V33" s="7">
        <f t="shared" si="17"/>
        <v>4.1702456665923121E-3</v>
      </c>
      <c r="W33" s="2"/>
      <c r="X33" s="6">
        <f t="shared" si="18"/>
        <v>55.95999999999998</v>
      </c>
      <c r="Y33" s="2"/>
      <c r="Z33" s="7">
        <f t="shared" si="19"/>
        <v>0.13544389582728236</v>
      </c>
    </row>
    <row r="34" spans="1:26" s="29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12545.15</v>
      </c>
      <c r="E34" s="1"/>
      <c r="F34" s="5">
        <f t="shared" ref="F34:F39" si="20">IF(D$12=0,0,D34/D$12)</f>
        <v>0.30375915927637176</v>
      </c>
      <c r="G34" s="1"/>
      <c r="H34" s="1">
        <f>SUM(OSRRefH22_1x_0)</f>
        <v>11122.52</v>
      </c>
      <c r="I34" s="1"/>
      <c r="J34" s="5">
        <f t="shared" ref="J34:J39" si="21">IF(H$12=0,0,H34/H$12)</f>
        <v>0.16596948912526888</v>
      </c>
      <c r="K34" s="1"/>
      <c r="L34" s="1">
        <f t="shared" ref="L34:L39" si="22">+D34-H34</f>
        <v>1422.6299999999992</v>
      </c>
      <c r="M34" s="1"/>
      <c r="N34" s="5">
        <f t="shared" ref="N34:N39" si="23">IF(H34=0,0,L34/H34)</f>
        <v>0.12790536676940109</v>
      </c>
      <c r="O34" s="14"/>
      <c r="P34" s="1">
        <f>SUM(OSRRefP22_1x_0)</f>
        <v>32557.699999999997</v>
      </c>
      <c r="Q34" s="1"/>
      <c r="R34" s="5">
        <f t="shared" ref="R34:R39" si="24">IF(P$12=0,0,P34/P$12)</f>
        <v>0.32298869777153799</v>
      </c>
      <c r="S34" s="1"/>
      <c r="T34" s="1">
        <f>SUM(OSRRefT22_1x_0)</f>
        <v>28600.16</v>
      </c>
      <c r="U34" s="1"/>
      <c r="V34" s="5">
        <f t="shared" ref="V34:V39" si="25">IF(T$12=0,0,T34/T$12)</f>
        <v>0.28867676760539929</v>
      </c>
      <c r="W34" s="1"/>
      <c r="X34" s="1">
        <f t="shared" ref="X34:X39" si="26">+P34-T34</f>
        <v>3957.5399999999972</v>
      </c>
      <c r="Y34" s="1"/>
      <c r="Z34" s="5">
        <f t="shared" ref="Z34:Z39" si="27">IF(T34=0,0,X34/T34)</f>
        <v>0.1383747503510469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6">
        <v>3906.07</v>
      </c>
      <c r="E35" s="2"/>
      <c r="F35" s="7">
        <f t="shared" si="20"/>
        <v>9.4578744716058191E-2</v>
      </c>
      <c r="G35" s="2"/>
      <c r="H35" s="6">
        <v>4754.1000000000004</v>
      </c>
      <c r="I35" s="2"/>
      <c r="J35" s="7">
        <f t="shared" si="21"/>
        <v>7.0940357783167915E-2</v>
      </c>
      <c r="K35" s="2"/>
      <c r="L35" s="6">
        <f t="shared" si="22"/>
        <v>-848.0300000000002</v>
      </c>
      <c r="M35" s="2"/>
      <c r="N35" s="7">
        <f t="shared" si="23"/>
        <v>-0.17837866262804739</v>
      </c>
      <c r="O35" s="11"/>
      <c r="P35" s="6">
        <v>14245.83</v>
      </c>
      <c r="Q35" s="2"/>
      <c r="R35" s="7">
        <f t="shared" si="24"/>
        <v>0.14132577179514244</v>
      </c>
      <c r="S35" s="2"/>
      <c r="T35" s="6">
        <v>14177.42</v>
      </c>
      <c r="U35" s="2"/>
      <c r="V35" s="7">
        <f t="shared" si="25"/>
        <v>0.14310031057812753</v>
      </c>
      <c r="W35" s="2"/>
      <c r="X35" s="6">
        <f t="shared" si="26"/>
        <v>68.409999999999854</v>
      </c>
      <c r="Y35" s="2"/>
      <c r="Z35" s="7">
        <f t="shared" si="27"/>
        <v>4.8252785062444263E-3</v>
      </c>
    </row>
    <row r="36" spans="1:26" s="24" customFormat="1" hidden="1" outlineLevel="2" x14ac:dyDescent="0.25">
      <c r="A36" s="28"/>
      <c r="B36" s="11" t="str">
        <f>CONCATENATE("          ", "6005", " - ", "TEMPORARY WAGES-HOURLY")</f>
        <v xml:space="preserve">          6005 - TEMPORARY WAGES-HOURLY</v>
      </c>
      <c r="C36" s="11"/>
      <c r="D36" s="6">
        <v>2945.76</v>
      </c>
      <c r="E36" s="2"/>
      <c r="F36" s="7">
        <f t="shared" si="20"/>
        <v>7.1326495181800523E-2</v>
      </c>
      <c r="G36" s="2"/>
      <c r="H36" s="6">
        <v>2336.17</v>
      </c>
      <c r="I36" s="2"/>
      <c r="J36" s="7">
        <f t="shared" si="21"/>
        <v>3.4860170304011985E-2</v>
      </c>
      <c r="K36" s="2"/>
      <c r="L36" s="6">
        <f t="shared" si="22"/>
        <v>609.59000000000015</v>
      </c>
      <c r="M36" s="2"/>
      <c r="N36" s="7">
        <f t="shared" si="23"/>
        <v>0.26093563396499403</v>
      </c>
      <c r="O36" s="11"/>
      <c r="P36" s="6">
        <v>7097.23</v>
      </c>
      <c r="Q36" s="2"/>
      <c r="R36" s="7">
        <f t="shared" si="24"/>
        <v>7.040807782752137E-2</v>
      </c>
      <c r="S36" s="2"/>
      <c r="T36" s="6">
        <v>6795.99</v>
      </c>
      <c r="U36" s="2"/>
      <c r="V36" s="7">
        <f t="shared" si="25"/>
        <v>6.8595575195335171E-2</v>
      </c>
      <c r="W36" s="2"/>
      <c r="X36" s="6">
        <f t="shared" si="26"/>
        <v>301.23999999999978</v>
      </c>
      <c r="Y36" s="2"/>
      <c r="Z36" s="7">
        <f t="shared" si="27"/>
        <v>4.4326139385137381E-2</v>
      </c>
    </row>
    <row r="37" spans="1:26" s="24" customFormat="1" hidden="1" outlineLevel="2" x14ac:dyDescent="0.25">
      <c r="A37" s="28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>
        <v>303.38</v>
      </c>
      <c r="Q37" s="2"/>
      <c r="R37" s="7">
        <f t="shared" si="24"/>
        <v>3.009681615406776E-3</v>
      </c>
      <c r="S37" s="2"/>
      <c r="T37" s="6"/>
      <c r="U37" s="2"/>
      <c r="V37" s="7">
        <f t="shared" si="25"/>
        <v>0</v>
      </c>
      <c r="W37" s="2"/>
      <c r="X37" s="6">
        <f t="shared" si="26"/>
        <v>303.38</v>
      </c>
      <c r="Y37" s="2"/>
      <c r="Z37" s="7">
        <f t="shared" si="27"/>
        <v>0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6">
        <v>5147.32</v>
      </c>
      <c r="E38" s="2"/>
      <c r="F38" s="7">
        <f t="shared" si="20"/>
        <v>0.12463347155884574</v>
      </c>
      <c r="G38" s="2"/>
      <c r="H38" s="6">
        <v>4032.25</v>
      </c>
      <c r="I38" s="2"/>
      <c r="J38" s="7">
        <f t="shared" si="21"/>
        <v>6.0168961038088983E-2</v>
      </c>
      <c r="K38" s="2"/>
      <c r="L38" s="6">
        <f t="shared" si="22"/>
        <v>1115.0699999999997</v>
      </c>
      <c r="M38" s="2"/>
      <c r="N38" s="7">
        <f t="shared" si="23"/>
        <v>0.27653791307582609</v>
      </c>
      <c r="O38" s="11"/>
      <c r="P38" s="6">
        <v>9570.26</v>
      </c>
      <c r="Q38" s="2"/>
      <c r="R38" s="7">
        <f t="shared" si="24"/>
        <v>9.4941774595104667E-2</v>
      </c>
      <c r="S38" s="2"/>
      <c r="T38" s="6">
        <v>7626.75</v>
      </c>
      <c r="U38" s="2"/>
      <c r="V38" s="7">
        <f t="shared" si="25"/>
        <v>7.6980881831936562E-2</v>
      </c>
      <c r="W38" s="2"/>
      <c r="X38" s="6">
        <f t="shared" si="26"/>
        <v>1943.5100000000002</v>
      </c>
      <c r="Y38" s="2"/>
      <c r="Z38" s="7">
        <f t="shared" si="27"/>
        <v>0.25482807224571413</v>
      </c>
    </row>
    <row r="39" spans="1:26" s="24" customFormat="1" hidden="1" outlineLevel="2" x14ac:dyDescent="0.25">
      <c r="A39" s="28"/>
      <c r="B39" s="11" t="str">
        <f>CONCATENATE("          ", "6008", " - ", "STUDENT HOURLY-FICA EXEMPT")</f>
        <v xml:space="preserve">          6008 - STUDENT HOURLY-FICA EXEMPT</v>
      </c>
      <c r="C39" s="11"/>
      <c r="D39" s="6">
        <v>546</v>
      </c>
      <c r="E39" s="2"/>
      <c r="F39" s="7">
        <f t="shared" si="20"/>
        <v>1.322044781966728E-2</v>
      </c>
      <c r="G39" s="2"/>
      <c r="H39" s="6"/>
      <c r="I39" s="2"/>
      <c r="J39" s="7">
        <f t="shared" si="21"/>
        <v>0</v>
      </c>
      <c r="K39" s="2"/>
      <c r="L39" s="6">
        <f t="shared" si="22"/>
        <v>546</v>
      </c>
      <c r="M39" s="2"/>
      <c r="N39" s="7">
        <f t="shared" si="23"/>
        <v>0</v>
      </c>
      <c r="O39" s="11"/>
      <c r="P39" s="6">
        <v>1341</v>
      </c>
      <c r="Q39" s="2"/>
      <c r="R39" s="7">
        <f t="shared" si="24"/>
        <v>1.3303391938362736E-2</v>
      </c>
      <c r="S39" s="2"/>
      <c r="T39" s="6"/>
      <c r="U39" s="2"/>
      <c r="V39" s="7">
        <f t="shared" si="25"/>
        <v>0</v>
      </c>
      <c r="W39" s="2"/>
      <c r="X39" s="6">
        <f t="shared" si="26"/>
        <v>1341</v>
      </c>
      <c r="Y39" s="2"/>
      <c r="Z39" s="7">
        <f t="shared" si="27"/>
        <v>0</v>
      </c>
    </row>
    <row r="40" spans="1:26" s="29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87.76</v>
      </c>
      <c r="E40" s="1"/>
      <c r="F40" s="5">
        <f t="shared" ref="F40:F56" si="28">IF(D$12=0,0,D40/D$12)</f>
        <v>2.1249569609047628E-3</v>
      </c>
      <c r="G40" s="1"/>
      <c r="H40" s="1">
        <f>SUM(OSRRefH22_2x_0)</f>
        <v>293.12</v>
      </c>
      <c r="I40" s="1"/>
      <c r="J40" s="5">
        <f t="shared" ref="J40:J56" si="29">IF(H$12=0,0,H40/H$12)</f>
        <v>4.3739167609857131E-3</v>
      </c>
      <c r="K40" s="1"/>
      <c r="L40" s="1">
        <f t="shared" ref="L40:L56" si="30">+D40-H40</f>
        <v>-205.36</v>
      </c>
      <c r="M40" s="1"/>
      <c r="N40" s="5">
        <f t="shared" ref="N40:N56" si="31">IF(H40=0,0,L40/H40)</f>
        <v>-0.70060043668122274</v>
      </c>
      <c r="O40" s="14"/>
      <c r="P40" s="1">
        <f>SUM(OSRRefP22_2x_0)</f>
        <v>137.33000000000001</v>
      </c>
      <c r="Q40" s="1"/>
      <c r="R40" s="5">
        <f t="shared" ref="R40:R56" si="32">IF(P$12=0,0,P40/P$12)</f>
        <v>1.3623824123007865E-3</v>
      </c>
      <c r="S40" s="1"/>
      <c r="T40" s="1">
        <f>SUM(OSRRefT22_2x_0)</f>
        <v>597.64</v>
      </c>
      <c r="U40" s="1"/>
      <c r="V40" s="5">
        <f t="shared" ref="V40:V56" si="33">IF(T$12=0,0,T40/T$12)</f>
        <v>6.0323013364852089E-3</v>
      </c>
      <c r="W40" s="1"/>
      <c r="X40" s="1">
        <f t="shared" ref="X40:X56" si="34">+P40-T40</f>
        <v>-460.30999999999995</v>
      </c>
      <c r="Y40" s="1"/>
      <c r="Z40" s="5">
        <f t="shared" ref="Z40:Z56" si="35">IF(T40=0,0,X40/T40)</f>
        <v>-0.77021283715949396</v>
      </c>
    </row>
    <row r="41" spans="1:26" s="24" customFormat="1" hidden="1" outlineLevel="2" x14ac:dyDescent="0.25">
      <c r="A41" s="28"/>
      <c r="B41" s="11" t="str">
        <f>CONCATENATE("          ", "6362", " - ", "ADVERTISING EXPENSE")</f>
        <v xml:space="preserve">          6362 - ADVERTISING EXPENSE</v>
      </c>
      <c r="C41" s="11"/>
      <c r="D41" s="6">
        <v>87.76</v>
      </c>
      <c r="E41" s="2"/>
      <c r="F41" s="7">
        <f t="shared" si="28"/>
        <v>2.1249569609047628E-3</v>
      </c>
      <c r="G41" s="2"/>
      <c r="H41" s="6">
        <v>293.12</v>
      </c>
      <c r="I41" s="2"/>
      <c r="J41" s="7">
        <f t="shared" si="29"/>
        <v>4.3739167609857131E-3</v>
      </c>
      <c r="K41" s="2"/>
      <c r="L41" s="6">
        <f t="shared" si="30"/>
        <v>-205.36</v>
      </c>
      <c r="M41" s="2"/>
      <c r="N41" s="7">
        <f t="shared" si="31"/>
        <v>-0.70060043668122274</v>
      </c>
      <c r="O41" s="11"/>
      <c r="P41" s="6">
        <v>137.33000000000001</v>
      </c>
      <c r="Q41" s="2"/>
      <c r="R41" s="7">
        <f t="shared" si="32"/>
        <v>1.3623824123007865E-3</v>
      </c>
      <c r="S41" s="2"/>
      <c r="T41" s="6">
        <v>597.64</v>
      </c>
      <c r="U41" s="2"/>
      <c r="V41" s="7">
        <f t="shared" si="33"/>
        <v>6.0323013364852089E-3</v>
      </c>
      <c r="W41" s="2"/>
      <c r="X41" s="6">
        <f t="shared" si="34"/>
        <v>-460.30999999999995</v>
      </c>
      <c r="Y41" s="2"/>
      <c r="Z41" s="7">
        <f t="shared" si="35"/>
        <v>-0.77021283715949396</v>
      </c>
    </row>
    <row r="42" spans="1:26" s="29" customFormat="1" outlineLevel="1" collapsed="1" x14ac:dyDescent="0.25">
      <c r="A42" s="27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-12.17</v>
      </c>
      <c r="E42" s="1"/>
      <c r="F42" s="5">
        <f t="shared" si="28"/>
        <v>-2.9467554938708936E-4</v>
      </c>
      <c r="G42" s="1"/>
      <c r="H42" s="1">
        <f>SUM(OSRRefH22_3x_0)</f>
        <v>183.97</v>
      </c>
      <c r="I42" s="1"/>
      <c r="J42" s="5">
        <f t="shared" si="29"/>
        <v>2.7451878633956797E-3</v>
      </c>
      <c r="K42" s="1"/>
      <c r="L42" s="1">
        <f t="shared" si="30"/>
        <v>-196.14</v>
      </c>
      <c r="M42" s="1"/>
      <c r="N42" s="5">
        <f t="shared" si="31"/>
        <v>-1.0661520900146761</v>
      </c>
      <c r="O42" s="14"/>
      <c r="P42" s="1">
        <f>SUM(OSRRefP22_3x_0)</f>
        <v>-7.86</v>
      </c>
      <c r="Q42" s="1"/>
      <c r="R42" s="5">
        <f t="shared" si="32"/>
        <v>-7.7975138430671966E-5</v>
      </c>
      <c r="S42" s="1"/>
      <c r="T42" s="1">
        <f>SUM(OSRRefT22_3x_0)</f>
        <v>424.63</v>
      </c>
      <c r="U42" s="1"/>
      <c r="V42" s="5">
        <f t="shared" si="33"/>
        <v>4.2860185337522828E-3</v>
      </c>
      <c r="W42" s="1"/>
      <c r="X42" s="1">
        <f t="shared" si="34"/>
        <v>-432.49</v>
      </c>
      <c r="Y42" s="1"/>
      <c r="Z42" s="5">
        <f t="shared" si="35"/>
        <v>-1.0185102324376516</v>
      </c>
    </row>
    <row r="43" spans="1:26" s="24" customFormat="1" hidden="1" outlineLevel="2" x14ac:dyDescent="0.25">
      <c r="A43" s="28"/>
      <c r="B43" s="11" t="str">
        <f>CONCATENATE("          ", "6272", " - ", "CASH (OVER/SHORT)")</f>
        <v xml:space="preserve">          6272 - CASH (OVER/SHORT)</v>
      </c>
      <c r="C43" s="11"/>
      <c r="D43" s="6">
        <v>-12.17</v>
      </c>
      <c r="E43" s="2"/>
      <c r="F43" s="7">
        <f t="shared" si="28"/>
        <v>-2.9467554938708936E-4</v>
      </c>
      <c r="G43" s="2"/>
      <c r="H43" s="6">
        <v>183.97</v>
      </c>
      <c r="I43" s="2"/>
      <c r="J43" s="7">
        <f t="shared" si="29"/>
        <v>2.7451878633956797E-3</v>
      </c>
      <c r="K43" s="2"/>
      <c r="L43" s="6">
        <f t="shared" si="30"/>
        <v>-196.14</v>
      </c>
      <c r="M43" s="2"/>
      <c r="N43" s="7">
        <f t="shared" si="31"/>
        <v>-1.0661520900146761</v>
      </c>
      <c r="O43" s="11"/>
      <c r="P43" s="6">
        <v>-7.86</v>
      </c>
      <c r="Q43" s="2"/>
      <c r="R43" s="7">
        <f t="shared" si="32"/>
        <v>-7.7975138430671966E-5</v>
      </c>
      <c r="S43" s="2"/>
      <c r="T43" s="6">
        <v>424.63</v>
      </c>
      <c r="U43" s="2"/>
      <c r="V43" s="7">
        <f t="shared" si="33"/>
        <v>4.2860185337522828E-3</v>
      </c>
      <c r="W43" s="2"/>
      <c r="X43" s="6">
        <f t="shared" si="34"/>
        <v>-432.49</v>
      </c>
      <c r="Y43" s="2"/>
      <c r="Z43" s="7">
        <f t="shared" si="35"/>
        <v>-1.0185102324376516</v>
      </c>
    </row>
    <row r="44" spans="1:26" s="29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913.41</v>
      </c>
      <c r="E44" s="1"/>
      <c r="F44" s="5">
        <f t="shared" si="28"/>
        <v>2.2116646965132398E-2</v>
      </c>
      <c r="G44" s="1"/>
      <c r="H44" s="1">
        <f>SUM(OSRRefH22_4x_0)</f>
        <v>930.8</v>
      </c>
      <c r="I44" s="1"/>
      <c r="J44" s="5">
        <f t="shared" si="29"/>
        <v>1.3889334474363748E-2</v>
      </c>
      <c r="K44" s="1"/>
      <c r="L44" s="1">
        <f t="shared" si="30"/>
        <v>-17.389999999999986</v>
      </c>
      <c r="M44" s="1"/>
      <c r="N44" s="5">
        <f t="shared" si="31"/>
        <v>-1.8682853459389758E-2</v>
      </c>
      <c r="O44" s="14"/>
      <c r="P44" s="1">
        <f>SUM(OSRRefP22_4x_0)</f>
        <v>2342.81</v>
      </c>
      <c r="Q44" s="1"/>
      <c r="R44" s="5">
        <f t="shared" si="32"/>
        <v>2.3241849117908726E-2</v>
      </c>
      <c r="S44" s="1"/>
      <c r="T44" s="1">
        <f>SUM(OSRRefT22_4x_0)</f>
        <v>1366.76</v>
      </c>
      <c r="U44" s="1"/>
      <c r="V44" s="5">
        <f t="shared" si="33"/>
        <v>1.3795442364390811E-2</v>
      </c>
      <c r="W44" s="1"/>
      <c r="X44" s="1">
        <f t="shared" si="34"/>
        <v>976.05</v>
      </c>
      <c r="Y44" s="1"/>
      <c r="Z44" s="5">
        <f t="shared" si="35"/>
        <v>0.71413415669173808</v>
      </c>
    </row>
    <row r="45" spans="1:26" s="24" customFormat="1" hidden="1" outlineLevel="2" x14ac:dyDescent="0.25">
      <c r="A45" s="28"/>
      <c r="B45" s="11" t="str">
        <f>CONCATENATE("          ", "6381", " - ", "BANK/CREDIT CARD FEES")</f>
        <v xml:space="preserve">          6381 - BANK/CREDIT CARD FEES</v>
      </c>
      <c r="C45" s="11"/>
      <c r="D45" s="6">
        <v>913.41</v>
      </c>
      <c r="E45" s="2"/>
      <c r="F45" s="7">
        <f t="shared" si="28"/>
        <v>2.2116646965132398E-2</v>
      </c>
      <c r="G45" s="2"/>
      <c r="H45" s="6">
        <v>930.8</v>
      </c>
      <c r="I45" s="2"/>
      <c r="J45" s="7">
        <f t="shared" si="29"/>
        <v>1.3889334474363748E-2</v>
      </c>
      <c r="K45" s="2"/>
      <c r="L45" s="6">
        <f t="shared" si="30"/>
        <v>-17.389999999999986</v>
      </c>
      <c r="M45" s="2"/>
      <c r="N45" s="7">
        <f t="shared" si="31"/>
        <v>-1.8682853459389758E-2</v>
      </c>
      <c r="O45" s="11"/>
      <c r="P45" s="6">
        <v>2342.81</v>
      </c>
      <c r="Q45" s="2"/>
      <c r="R45" s="7">
        <f t="shared" si="32"/>
        <v>2.3241849117908726E-2</v>
      </c>
      <c r="S45" s="2"/>
      <c r="T45" s="6">
        <v>1366.76</v>
      </c>
      <c r="U45" s="2"/>
      <c r="V45" s="7">
        <f t="shared" si="33"/>
        <v>1.3795442364390811E-2</v>
      </c>
      <c r="W45" s="2"/>
      <c r="X45" s="6">
        <f t="shared" si="34"/>
        <v>976.05</v>
      </c>
      <c r="Y45" s="2"/>
      <c r="Z45" s="7">
        <f t="shared" si="35"/>
        <v>0.71413415669173808</v>
      </c>
    </row>
    <row r="46" spans="1:26" s="29" customFormat="1" outlineLevel="1" collapsed="1" x14ac:dyDescent="0.25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255.35</v>
      </c>
      <c r="E46" s="1"/>
      <c r="F46" s="5">
        <f t="shared" si="28"/>
        <v>6.1828596167619772E-3</v>
      </c>
      <c r="G46" s="1"/>
      <c r="H46" s="1">
        <f>SUM(OSRRefH22_5x_0)</f>
        <v>0</v>
      </c>
      <c r="I46" s="1"/>
      <c r="J46" s="5">
        <f t="shared" si="29"/>
        <v>0</v>
      </c>
      <c r="K46" s="1"/>
      <c r="L46" s="1">
        <f t="shared" si="30"/>
        <v>255.35</v>
      </c>
      <c r="M46" s="1"/>
      <c r="N46" s="5">
        <f t="shared" si="31"/>
        <v>0</v>
      </c>
      <c r="O46" s="14"/>
      <c r="P46" s="1">
        <f>SUM(OSRRefP22_5x_0)</f>
        <v>766.05</v>
      </c>
      <c r="Q46" s="1"/>
      <c r="R46" s="5">
        <f t="shared" si="32"/>
        <v>7.5995998466687345E-3</v>
      </c>
      <c r="S46" s="1"/>
      <c r="T46" s="1">
        <f>SUM(OSRRefT22_5x_0)</f>
        <v>0</v>
      </c>
      <c r="U46" s="1"/>
      <c r="V46" s="5">
        <f t="shared" si="33"/>
        <v>0</v>
      </c>
      <c r="W46" s="1"/>
      <c r="X46" s="1">
        <f t="shared" si="34"/>
        <v>766.05</v>
      </c>
      <c r="Y46" s="1"/>
      <c r="Z46" s="5">
        <f t="shared" si="35"/>
        <v>0</v>
      </c>
    </row>
    <row r="47" spans="1:26" s="24" customFormat="1" hidden="1" outlineLevel="2" x14ac:dyDescent="0.25">
      <c r="A47" s="28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255.35</v>
      </c>
      <c r="E47" s="2"/>
      <c r="F47" s="7">
        <f t="shared" si="28"/>
        <v>6.1828596167619772E-3</v>
      </c>
      <c r="G47" s="2"/>
      <c r="H47" s="6"/>
      <c r="I47" s="2"/>
      <c r="J47" s="7">
        <f t="shared" si="29"/>
        <v>0</v>
      </c>
      <c r="K47" s="2"/>
      <c r="L47" s="6">
        <f t="shared" si="30"/>
        <v>255.35</v>
      </c>
      <c r="M47" s="2"/>
      <c r="N47" s="7">
        <f t="shared" si="31"/>
        <v>0</v>
      </c>
      <c r="O47" s="11"/>
      <c r="P47" s="6">
        <v>766.05</v>
      </c>
      <c r="Q47" s="2"/>
      <c r="R47" s="7">
        <f t="shared" si="32"/>
        <v>7.5995998466687345E-3</v>
      </c>
      <c r="S47" s="2"/>
      <c r="T47" s="6"/>
      <c r="U47" s="2"/>
      <c r="V47" s="7">
        <f t="shared" si="33"/>
        <v>0</v>
      </c>
      <c r="W47" s="2"/>
      <c r="X47" s="6">
        <f t="shared" si="34"/>
        <v>766.05</v>
      </c>
      <c r="Y47" s="2"/>
      <c r="Z47" s="7">
        <f t="shared" si="35"/>
        <v>0</v>
      </c>
    </row>
    <row r="48" spans="1:26" s="29" customFormat="1" outlineLevel="1" collapsed="1" x14ac:dyDescent="0.25">
      <c r="A48" s="27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SUM(OSRRefD22_6x_0)</f>
        <v>0</v>
      </c>
      <c r="E48" s="1"/>
      <c r="F48" s="5">
        <f t="shared" si="28"/>
        <v>0</v>
      </c>
      <c r="G48" s="1"/>
      <c r="H48" s="1">
        <f>SUM(OSRRefH22_6x_0)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4"/>
      <c r="P48" s="1">
        <f>SUM(OSRRefP22_6x_0)</f>
        <v>88.6</v>
      </c>
      <c r="Q48" s="1"/>
      <c r="R48" s="5">
        <f t="shared" si="32"/>
        <v>8.7895639503276536E-4</v>
      </c>
      <c r="S48" s="1"/>
      <c r="T48" s="1">
        <f>SUM(OSRRefT22_6x_0)</f>
        <v>0</v>
      </c>
      <c r="U48" s="1"/>
      <c r="V48" s="5">
        <f t="shared" si="33"/>
        <v>0</v>
      </c>
      <c r="W48" s="1"/>
      <c r="X48" s="1">
        <f t="shared" si="34"/>
        <v>88.6</v>
      </c>
      <c r="Y48" s="1"/>
      <c r="Z48" s="5">
        <f t="shared" si="35"/>
        <v>0</v>
      </c>
    </row>
    <row r="49" spans="1:26" s="24" customFormat="1" hidden="1" outlineLevel="2" x14ac:dyDescent="0.25">
      <c r="A49" s="28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>
        <v>88.6</v>
      </c>
      <c r="Q49" s="2"/>
      <c r="R49" s="7">
        <f t="shared" si="32"/>
        <v>8.7895639503276536E-4</v>
      </c>
      <c r="S49" s="2"/>
      <c r="T49" s="6"/>
      <c r="U49" s="2"/>
      <c r="V49" s="7">
        <f t="shared" si="33"/>
        <v>0</v>
      </c>
      <c r="W49" s="2"/>
      <c r="X49" s="6">
        <f t="shared" si="34"/>
        <v>88.6</v>
      </c>
      <c r="Y49" s="2"/>
      <c r="Z49" s="7">
        <f t="shared" si="35"/>
        <v>0</v>
      </c>
    </row>
    <row r="50" spans="1:26" s="29" customFormat="1" outlineLevel="1" collapsed="1" x14ac:dyDescent="0.25">
      <c r="A50" s="27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SUM(OSRRefD22_7x_0)</f>
        <v>0</v>
      </c>
      <c r="E50" s="1"/>
      <c r="F50" s="5">
        <f t="shared" si="28"/>
        <v>0</v>
      </c>
      <c r="G50" s="1"/>
      <c r="H50" s="1">
        <f>SUM(OSRRefH22_7x_0)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4"/>
      <c r="P50" s="1">
        <f>SUM(OSRRefP22_7x_0)</f>
        <v>350</v>
      </c>
      <c r="Q50" s="1"/>
      <c r="R50" s="5">
        <f t="shared" si="32"/>
        <v>3.4721753754116016E-3</v>
      </c>
      <c r="S50" s="1"/>
      <c r="T50" s="1">
        <f>SUM(OSRRefT22_7x_0)</f>
        <v>0</v>
      </c>
      <c r="U50" s="1"/>
      <c r="V50" s="5">
        <f t="shared" si="33"/>
        <v>0</v>
      </c>
      <c r="W50" s="1"/>
      <c r="X50" s="1">
        <f t="shared" si="34"/>
        <v>350</v>
      </c>
      <c r="Y50" s="1"/>
      <c r="Z50" s="5">
        <f t="shared" si="35"/>
        <v>0</v>
      </c>
    </row>
    <row r="51" spans="1:26" s="24" customFormat="1" hidden="1" outlineLevel="2" x14ac:dyDescent="0.25">
      <c r="A51" s="28"/>
      <c r="B51" s="11" t="str">
        <f>CONCATENATE("          ", "6351", " - ", "EQUIPMENT RENTAL")</f>
        <v xml:space="preserve">          6351 - EQUIPMENT RENTAL</v>
      </c>
      <c r="C51" s="11"/>
      <c r="D51" s="6"/>
      <c r="E51" s="2"/>
      <c r="F51" s="7">
        <f t="shared" si="28"/>
        <v>0</v>
      </c>
      <c r="G51" s="2"/>
      <c r="H51" s="6"/>
      <c r="I51" s="2"/>
      <c r="J51" s="7">
        <f t="shared" si="29"/>
        <v>0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>
        <v>350</v>
      </c>
      <c r="Q51" s="2"/>
      <c r="R51" s="7">
        <f t="shared" si="32"/>
        <v>3.4721753754116016E-3</v>
      </c>
      <c r="S51" s="2"/>
      <c r="T51" s="6"/>
      <c r="U51" s="2"/>
      <c r="V51" s="7">
        <f t="shared" si="33"/>
        <v>0</v>
      </c>
      <c r="W51" s="2"/>
      <c r="X51" s="6">
        <f t="shared" si="34"/>
        <v>350</v>
      </c>
      <c r="Y51" s="2"/>
      <c r="Z51" s="7">
        <f t="shared" si="35"/>
        <v>0</v>
      </c>
    </row>
    <row r="52" spans="1:26" s="29" customFormat="1" outlineLevel="1" collapsed="1" x14ac:dyDescent="0.25">
      <c r="A52" s="27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SUM(OSRRefD22_8x_0)</f>
        <v>2850</v>
      </c>
      <c r="E52" s="1"/>
      <c r="F52" s="5">
        <f t="shared" si="28"/>
        <v>6.9007832025735794E-2</v>
      </c>
      <c r="G52" s="1"/>
      <c r="H52" s="1">
        <f>SUM(OSRRefH22_8x_0)</f>
        <v>5</v>
      </c>
      <c r="I52" s="1"/>
      <c r="J52" s="5">
        <f t="shared" si="29"/>
        <v>7.4609660906552145E-5</v>
      </c>
      <c r="K52" s="1"/>
      <c r="L52" s="1">
        <f t="shared" si="30"/>
        <v>2845</v>
      </c>
      <c r="M52" s="1"/>
      <c r="N52" s="5">
        <f t="shared" si="31"/>
        <v>569</v>
      </c>
      <c r="O52" s="14"/>
      <c r="P52" s="1">
        <f>SUM(OSRRefP22_8x_0)</f>
        <v>8248.49</v>
      </c>
      <c r="Q52" s="1"/>
      <c r="R52" s="5">
        <f t="shared" si="32"/>
        <v>8.1829153892368112E-2</v>
      </c>
      <c r="S52" s="1"/>
      <c r="T52" s="1">
        <f>SUM(OSRRefT22_8x_0)</f>
        <v>1893.34</v>
      </c>
      <c r="U52" s="1"/>
      <c r="V52" s="5">
        <f t="shared" si="33"/>
        <v>1.9110496975471698E-2</v>
      </c>
      <c r="W52" s="1"/>
      <c r="X52" s="1">
        <f t="shared" si="34"/>
        <v>6355.15</v>
      </c>
      <c r="Y52" s="1"/>
      <c r="Z52" s="5">
        <f t="shared" si="35"/>
        <v>3.3565814909102434</v>
      </c>
    </row>
    <row r="53" spans="1:26" s="24" customFormat="1" hidden="1" outlineLevel="2" x14ac:dyDescent="0.25">
      <c r="A53" s="28"/>
      <c r="B53" s="11" t="str">
        <f>CONCATENATE("          ", "6279", " - ", "GENERAL EXPENSE")</f>
        <v xml:space="preserve">          6279 - GENERAL EXPENSE</v>
      </c>
      <c r="C53" s="11"/>
      <c r="D53" s="6">
        <v>2850</v>
      </c>
      <c r="E53" s="2"/>
      <c r="F53" s="7">
        <f t="shared" si="28"/>
        <v>6.9007832025735794E-2</v>
      </c>
      <c r="G53" s="2"/>
      <c r="H53" s="6">
        <v>5</v>
      </c>
      <c r="I53" s="2"/>
      <c r="J53" s="7">
        <f t="shared" si="29"/>
        <v>7.4609660906552145E-5</v>
      </c>
      <c r="K53" s="2"/>
      <c r="L53" s="6">
        <f t="shared" si="30"/>
        <v>2845</v>
      </c>
      <c r="M53" s="2"/>
      <c r="N53" s="7">
        <f t="shared" si="31"/>
        <v>569</v>
      </c>
      <c r="O53" s="11"/>
      <c r="P53" s="6">
        <v>8248.49</v>
      </c>
      <c r="Q53" s="2"/>
      <c r="R53" s="7">
        <f t="shared" si="32"/>
        <v>8.1829153892368112E-2</v>
      </c>
      <c r="S53" s="2"/>
      <c r="T53" s="6">
        <v>1893.34</v>
      </c>
      <c r="U53" s="2"/>
      <c r="V53" s="7">
        <f t="shared" si="33"/>
        <v>1.9110496975471698E-2</v>
      </c>
      <c r="W53" s="2"/>
      <c r="X53" s="6">
        <f t="shared" si="34"/>
        <v>6355.15</v>
      </c>
      <c r="Y53" s="2"/>
      <c r="Z53" s="7">
        <f t="shared" si="35"/>
        <v>3.3565814909102434</v>
      </c>
    </row>
    <row r="54" spans="1:26" s="29" customFormat="1" outlineLevel="1" collapsed="1" x14ac:dyDescent="0.25">
      <c r="A54" s="27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SUM(OSRRefD22_9x_0)</f>
        <v>2683.38</v>
      </c>
      <c r="E54" s="1"/>
      <c r="F54" s="5">
        <f t="shared" si="28"/>
        <v>6.4973416246041735E-2</v>
      </c>
      <c r="G54" s="1"/>
      <c r="H54" s="1">
        <f>SUM(OSRRefH22_9x_0)</f>
        <v>0</v>
      </c>
      <c r="I54" s="1"/>
      <c r="J54" s="5">
        <f t="shared" si="29"/>
        <v>0</v>
      </c>
      <c r="K54" s="1"/>
      <c r="L54" s="1">
        <f t="shared" si="30"/>
        <v>2683.38</v>
      </c>
      <c r="M54" s="1"/>
      <c r="N54" s="5">
        <f t="shared" si="31"/>
        <v>0</v>
      </c>
      <c r="O54" s="14"/>
      <c r="P54" s="1">
        <f>SUM(OSRRefP22_9x_0)</f>
        <v>3522.33</v>
      </c>
      <c r="Q54" s="1"/>
      <c r="R54" s="5">
        <f t="shared" si="32"/>
        <v>3.4943278543067273E-2</v>
      </c>
      <c r="S54" s="1"/>
      <c r="T54" s="1">
        <f>SUM(OSRRefT22_9x_0)</f>
        <v>1029.1199999999999</v>
      </c>
      <c r="U54" s="1"/>
      <c r="V54" s="5">
        <f t="shared" si="33"/>
        <v>1.0387460597355696E-2</v>
      </c>
      <c r="W54" s="1"/>
      <c r="X54" s="1">
        <f t="shared" si="34"/>
        <v>2493.21</v>
      </c>
      <c r="Y54" s="1"/>
      <c r="Z54" s="5">
        <f t="shared" si="35"/>
        <v>2.4226620802238807</v>
      </c>
    </row>
    <row r="55" spans="1:26" s="24" customFormat="1" hidden="1" outlineLevel="2" x14ac:dyDescent="0.25">
      <c r="A55" s="28"/>
      <c r="B55" s="11" t="str">
        <f>CONCATENATE("          ", "6371", " - ", "COMPUTER SOFTWARE MAINTENANCE")</f>
        <v xml:space="preserve">          6371 - COMPUTER SOFTWARE MAINTENANCE</v>
      </c>
      <c r="C55" s="11"/>
      <c r="D55" s="6">
        <v>2623.84</v>
      </c>
      <c r="E55" s="2"/>
      <c r="F55" s="7">
        <f t="shared" si="28"/>
        <v>6.3531757888563731E-2</v>
      </c>
      <c r="G55" s="2"/>
      <c r="H55" s="6"/>
      <c r="I55" s="2"/>
      <c r="J55" s="7">
        <f t="shared" si="29"/>
        <v>0</v>
      </c>
      <c r="K55" s="2"/>
      <c r="L55" s="6">
        <f t="shared" si="30"/>
        <v>2623.84</v>
      </c>
      <c r="M55" s="2"/>
      <c r="N55" s="7">
        <f t="shared" si="31"/>
        <v>0</v>
      </c>
      <c r="O55" s="11"/>
      <c r="P55" s="6">
        <v>2623.84</v>
      </c>
      <c r="Q55" s="2"/>
      <c r="R55" s="7">
        <f t="shared" si="32"/>
        <v>2.6029807534342791E-2</v>
      </c>
      <c r="S55" s="2"/>
      <c r="T55" s="6"/>
      <c r="U55" s="2"/>
      <c r="V55" s="7">
        <f t="shared" si="33"/>
        <v>0</v>
      </c>
      <c r="W55" s="2"/>
      <c r="X55" s="6">
        <f t="shared" si="34"/>
        <v>2623.84</v>
      </c>
      <c r="Y55" s="2"/>
      <c r="Z55" s="7">
        <f t="shared" si="35"/>
        <v>0</v>
      </c>
    </row>
    <row r="56" spans="1:26" s="24" customFormat="1" hidden="1" outlineLevel="2" x14ac:dyDescent="0.25">
      <c r="A56" s="28"/>
      <c r="B56" s="11" t="str">
        <f>CONCATENATE("          ", "6375", " - ", "OUTSIDE REPAIRS &amp; MAINTENANCE")</f>
        <v xml:space="preserve">          6375 - OUTSIDE REPAIRS &amp; MAINTENANCE</v>
      </c>
      <c r="C56" s="11"/>
      <c r="D56" s="6">
        <v>59.54</v>
      </c>
      <c r="E56" s="2"/>
      <c r="F56" s="7">
        <f t="shared" si="28"/>
        <v>1.4416583574780033E-3</v>
      </c>
      <c r="G56" s="2"/>
      <c r="H56" s="6"/>
      <c r="I56" s="2"/>
      <c r="J56" s="7">
        <f t="shared" si="29"/>
        <v>0</v>
      </c>
      <c r="K56" s="2"/>
      <c r="L56" s="6">
        <f t="shared" si="30"/>
        <v>59.54</v>
      </c>
      <c r="M56" s="2"/>
      <c r="N56" s="7">
        <f t="shared" si="31"/>
        <v>0</v>
      </c>
      <c r="O56" s="11"/>
      <c r="P56" s="6">
        <v>898.49</v>
      </c>
      <c r="Q56" s="2"/>
      <c r="R56" s="7">
        <f t="shared" si="32"/>
        <v>8.9134710087244856E-3</v>
      </c>
      <c r="S56" s="2"/>
      <c r="T56" s="6">
        <v>1029.1199999999999</v>
      </c>
      <c r="U56" s="2"/>
      <c r="V56" s="7">
        <f t="shared" si="33"/>
        <v>1.0387460597355696E-2</v>
      </c>
      <c r="W56" s="2"/>
      <c r="X56" s="6">
        <f t="shared" si="34"/>
        <v>-130.62999999999988</v>
      </c>
      <c r="Y56" s="2"/>
      <c r="Z56" s="7">
        <f t="shared" si="35"/>
        <v>-0.12693369092039791</v>
      </c>
    </row>
    <row r="57" spans="1:26" s="29" customFormat="1" outlineLevel="1" collapsed="1" x14ac:dyDescent="0.25">
      <c r="A57" s="27"/>
      <c r="B57" s="14" t="str">
        <f>CONCATENATE("     ","Royalty &amp; Commissions                             ")</f>
        <v xml:space="preserve">     Royalty &amp; Commissions                             </v>
      </c>
      <c r="C57" s="14"/>
      <c r="D57" s="1">
        <f>SUM(OSRRefD22_10x_0)</f>
        <v>8359.1200000000008</v>
      </c>
      <c r="E57" s="1"/>
      <c r="F57" s="5">
        <f t="shared" ref="F57:F61" si="36">IF(D$12=0,0,D57/D$12)</f>
        <v>0.20240166626069075</v>
      </c>
      <c r="G57" s="1"/>
      <c r="H57" s="1">
        <f>SUM(OSRRefH22_10x_0)</f>
        <v>12992.08</v>
      </c>
      <c r="I57" s="1"/>
      <c r="J57" s="5">
        <f t="shared" ref="J57:J61" si="37">IF(H$12=0,0,H57/H$12)</f>
        <v>0.19386693665415961</v>
      </c>
      <c r="K57" s="1"/>
      <c r="L57" s="1">
        <f t="shared" ref="L57:L61" si="38">+D57-H57</f>
        <v>-4632.9599999999991</v>
      </c>
      <c r="M57" s="1"/>
      <c r="N57" s="5">
        <f t="shared" ref="N57:N61" si="39">IF(H57=0,0,L57/H57)</f>
        <v>-0.35659878941632128</v>
      </c>
      <c r="O57" s="14"/>
      <c r="P57" s="1">
        <f>SUM(OSRRefP22_10x_0)</f>
        <v>21736.2</v>
      </c>
      <c r="Q57" s="1"/>
      <c r="R57" s="5">
        <f t="shared" ref="R57:R61" si="40">IF(P$12=0,0,P57/P$12)</f>
        <v>0.21563399541434758</v>
      </c>
      <c r="S57" s="1"/>
      <c r="T57" s="1">
        <f>SUM(OSRRefT22_10x_0)</f>
        <v>20105.310000000001</v>
      </c>
      <c r="U57" s="1"/>
      <c r="V57" s="5">
        <f t="shared" ref="V57:V61" si="41">IF(T$12=0,0,T57/T$12)</f>
        <v>0.20293368647254106</v>
      </c>
      <c r="W57" s="1"/>
      <c r="X57" s="1">
        <f t="shared" ref="X57:X61" si="42">+P57-T57</f>
        <v>1630.8899999999994</v>
      </c>
      <c r="Y57" s="1"/>
      <c r="Z57" s="5">
        <f t="shared" ref="Z57:Z61" si="43">IF(T57=0,0,X57/T57)</f>
        <v>8.1117376454279952E-2</v>
      </c>
    </row>
    <row r="58" spans="1:26" s="24" customFormat="1" hidden="1" outlineLevel="2" x14ac:dyDescent="0.25">
      <c r="A58" s="28"/>
      <c r="B58" s="11" t="str">
        <f>CONCATENATE("          ", "6254", " - ", "ROYALTY &amp; COMMISSIONS")</f>
        <v xml:space="preserve">          6254 - ROYALTY &amp; COMMISSIONS</v>
      </c>
      <c r="C58" s="11"/>
      <c r="D58" s="6">
        <v>8359.1200000000008</v>
      </c>
      <c r="E58" s="2"/>
      <c r="F58" s="7">
        <f t="shared" si="36"/>
        <v>0.20240166626069075</v>
      </c>
      <c r="G58" s="2"/>
      <c r="H58" s="6">
        <v>12992.08</v>
      </c>
      <c r="I58" s="2"/>
      <c r="J58" s="7">
        <f t="shared" si="37"/>
        <v>0.19386693665415961</v>
      </c>
      <c r="K58" s="2"/>
      <c r="L58" s="6">
        <f t="shared" si="38"/>
        <v>-4632.9599999999991</v>
      </c>
      <c r="M58" s="2"/>
      <c r="N58" s="7">
        <f t="shared" si="39"/>
        <v>-0.35659878941632128</v>
      </c>
      <c r="O58" s="11"/>
      <c r="P58" s="6">
        <v>21736.2</v>
      </c>
      <c r="Q58" s="2"/>
      <c r="R58" s="7">
        <f t="shared" si="40"/>
        <v>0.21563399541434758</v>
      </c>
      <c r="S58" s="2"/>
      <c r="T58" s="6">
        <v>20105.310000000001</v>
      </c>
      <c r="U58" s="2"/>
      <c r="V58" s="7">
        <f t="shared" si="41"/>
        <v>0.20293368647254106</v>
      </c>
      <c r="W58" s="2"/>
      <c r="X58" s="6">
        <f t="shared" si="42"/>
        <v>1630.8899999999994</v>
      </c>
      <c r="Y58" s="2"/>
      <c r="Z58" s="7">
        <f t="shared" si="43"/>
        <v>8.1117376454279952E-2</v>
      </c>
    </row>
    <row r="59" spans="1:26" s="29" customFormat="1" outlineLevel="1" collapsed="1" x14ac:dyDescent="0.2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SUM(OSRRefD22_11x_0)</f>
        <v>225.81</v>
      </c>
      <c r="E59" s="1"/>
      <c r="F59" s="5">
        <f t="shared" si="36"/>
        <v>5.4675994911338247E-3</v>
      </c>
      <c r="G59" s="1"/>
      <c r="H59" s="1">
        <f>SUM(OSRRefH22_11x_0)</f>
        <v>245.31</v>
      </c>
      <c r="I59" s="1"/>
      <c r="J59" s="5">
        <f t="shared" si="37"/>
        <v>3.6604991833972616E-3</v>
      </c>
      <c r="K59" s="1"/>
      <c r="L59" s="1">
        <f t="shared" si="38"/>
        <v>-19.5</v>
      </c>
      <c r="M59" s="1"/>
      <c r="N59" s="5">
        <f t="shared" si="39"/>
        <v>-7.9491255961844198E-2</v>
      </c>
      <c r="O59" s="14"/>
      <c r="P59" s="1">
        <f>SUM(OSRRefP22_11x_0)</f>
        <v>734.29</v>
      </c>
      <c r="Q59" s="1"/>
      <c r="R59" s="5">
        <f t="shared" si="40"/>
        <v>7.284524732602814E-3</v>
      </c>
      <c r="S59" s="1"/>
      <c r="T59" s="1">
        <f>SUM(OSRRefT22_11x_0)</f>
        <v>721.31</v>
      </c>
      <c r="U59" s="1"/>
      <c r="V59" s="5">
        <f t="shared" si="41"/>
        <v>7.2805690332309516E-3</v>
      </c>
      <c r="W59" s="1"/>
      <c r="X59" s="1">
        <f t="shared" si="42"/>
        <v>12.980000000000018</v>
      </c>
      <c r="Y59" s="1"/>
      <c r="Z59" s="5">
        <f t="shared" si="43"/>
        <v>1.7995036808029861E-2</v>
      </c>
    </row>
    <row r="60" spans="1:26" s="24" customFormat="1" hidden="1" outlineLevel="2" x14ac:dyDescent="0.25">
      <c r="A60" s="28"/>
      <c r="B60" s="11" t="str">
        <f>CONCATENATE("          ", "6282", " - ", "JANITORIAL/EXTERMINATOR EXPENS")</f>
        <v xml:space="preserve">          6282 - JANITORIAL/EXTERMINATOR EXPENS</v>
      </c>
      <c r="C60" s="11"/>
      <c r="D60" s="6">
        <v>225.81</v>
      </c>
      <c r="E60" s="2"/>
      <c r="F60" s="7">
        <f t="shared" si="36"/>
        <v>5.4675994911338247E-3</v>
      </c>
      <c r="G60" s="2"/>
      <c r="H60" s="6">
        <v>225.81</v>
      </c>
      <c r="I60" s="2"/>
      <c r="J60" s="7">
        <f t="shared" si="37"/>
        <v>3.3695215058617083E-3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677.43</v>
      </c>
      <c r="Q60" s="2"/>
      <c r="R60" s="7">
        <f t="shared" si="40"/>
        <v>6.7204450416145176E-3</v>
      </c>
      <c r="S60" s="2"/>
      <c r="T60" s="6">
        <v>677.43</v>
      </c>
      <c r="U60" s="2"/>
      <c r="V60" s="7">
        <f t="shared" si="41"/>
        <v>6.8376646382022205E-3</v>
      </c>
      <c r="W60" s="2"/>
      <c r="X60" s="6">
        <f t="shared" si="42"/>
        <v>0</v>
      </c>
      <c r="Y60" s="2"/>
      <c r="Z60" s="7">
        <f t="shared" si="43"/>
        <v>0</v>
      </c>
    </row>
    <row r="61" spans="1:26" s="24" customFormat="1" hidden="1" outlineLevel="2" x14ac:dyDescent="0.25">
      <c r="A61" s="28"/>
      <c r="B61" s="11" t="str">
        <f>CONCATENATE("          ", "6286", " - ", "LAUNDRY EXPENSE")</f>
        <v xml:space="preserve">          6286 - LAUNDRY EXPENSE</v>
      </c>
      <c r="C61" s="11"/>
      <c r="D61" s="6"/>
      <c r="E61" s="2"/>
      <c r="F61" s="7">
        <f t="shared" si="36"/>
        <v>0</v>
      </c>
      <c r="G61" s="2"/>
      <c r="H61" s="6">
        <v>19.5</v>
      </c>
      <c r="I61" s="2"/>
      <c r="J61" s="7">
        <f t="shared" si="37"/>
        <v>2.9097767753555337E-4</v>
      </c>
      <c r="K61" s="2"/>
      <c r="L61" s="6">
        <f t="shared" si="38"/>
        <v>-19.5</v>
      </c>
      <c r="M61" s="2"/>
      <c r="N61" s="7">
        <f t="shared" si="39"/>
        <v>-1</v>
      </c>
      <c r="O61" s="11"/>
      <c r="P61" s="6">
        <v>56.86</v>
      </c>
      <c r="Q61" s="2"/>
      <c r="R61" s="7">
        <f t="shared" si="40"/>
        <v>5.6407969098829619E-4</v>
      </c>
      <c r="S61" s="2"/>
      <c r="T61" s="6">
        <v>43.88</v>
      </c>
      <c r="U61" s="2"/>
      <c r="V61" s="7">
        <f t="shared" si="41"/>
        <v>4.4290439502873134E-4</v>
      </c>
      <c r="W61" s="2"/>
      <c r="X61" s="6">
        <f t="shared" si="42"/>
        <v>12.979999999999997</v>
      </c>
      <c r="Y61" s="2"/>
      <c r="Z61" s="7">
        <f t="shared" si="43"/>
        <v>0.29580674567000903</v>
      </c>
    </row>
    <row r="62" spans="1:26" s="29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SUM(OSRRefD22_12x_0)</f>
        <v>1791.76</v>
      </c>
      <c r="E62" s="1"/>
      <c r="F62" s="5">
        <f t="shared" ref="F62:F68" si="44">IF(D$12=0,0,D62/D$12)</f>
        <v>4.3384376529976273E-2</v>
      </c>
      <c r="G62" s="1"/>
      <c r="H62" s="1">
        <f>SUM(OSRRefH22_12x_0)</f>
        <v>121.86</v>
      </c>
      <c r="I62" s="1"/>
      <c r="J62" s="5">
        <f t="shared" ref="J62:J68" si="45">IF(H$12=0,0,H62/H$12)</f>
        <v>1.8183866556144889E-3</v>
      </c>
      <c r="K62" s="1"/>
      <c r="L62" s="1">
        <f t="shared" ref="L62:L68" si="46">+D62-H62</f>
        <v>1669.9</v>
      </c>
      <c r="M62" s="1"/>
      <c r="N62" s="5">
        <f t="shared" ref="N62:N68" si="47">IF(H62=0,0,L62/H62)</f>
        <v>13.703430165763992</v>
      </c>
      <c r="O62" s="14"/>
      <c r="P62" s="1">
        <f>SUM(OSRRefP22_12x_0)</f>
        <v>4093.4900000000002</v>
      </c>
      <c r="Q62" s="1"/>
      <c r="R62" s="5">
        <f t="shared" ref="R62:R68" si="48">IF(P$12=0,0,P62/P$12)</f>
        <v>4.0609471935696105E-2</v>
      </c>
      <c r="S62" s="1"/>
      <c r="T62" s="1">
        <f>SUM(OSRRefT22_12x_0)</f>
        <v>2107.1800000000003</v>
      </c>
      <c r="U62" s="1"/>
      <c r="V62" s="5">
        <f t="shared" ref="V62:V68" si="49">IF(T$12=0,0,T62/T$12)</f>
        <v>2.1268898885976349E-2</v>
      </c>
      <c r="W62" s="1"/>
      <c r="X62" s="1">
        <f t="shared" ref="X62:X68" si="50">+P62-T62</f>
        <v>1986.31</v>
      </c>
      <c r="Y62" s="1"/>
      <c r="Z62" s="5">
        <f t="shared" ref="Z62:Z68" si="51">IF(T62=0,0,X62/T62)</f>
        <v>0.94263897721124901</v>
      </c>
    </row>
    <row r="63" spans="1:26" s="24" customFormat="1" hidden="1" outlineLevel="2" x14ac:dyDescent="0.25">
      <c r="A63" s="28"/>
      <c r="B63" s="11" t="str">
        <f>CONCATENATE("          ", "6237", " - ", "JANITORIAL SUPPLIES")</f>
        <v xml:space="preserve">          6237 - JANITORIAL SUPPLIES</v>
      </c>
      <c r="C63" s="11"/>
      <c r="D63" s="6">
        <v>240.56</v>
      </c>
      <c r="E63" s="2"/>
      <c r="F63" s="7">
        <f t="shared" si="44"/>
        <v>5.8247452884600016E-3</v>
      </c>
      <c r="G63" s="2"/>
      <c r="H63" s="6"/>
      <c r="I63" s="2"/>
      <c r="J63" s="7">
        <f t="shared" si="45"/>
        <v>0</v>
      </c>
      <c r="K63" s="2"/>
      <c r="L63" s="6">
        <f t="shared" si="46"/>
        <v>240.56</v>
      </c>
      <c r="M63" s="2"/>
      <c r="N63" s="7">
        <f t="shared" si="47"/>
        <v>0</v>
      </c>
      <c r="O63" s="11"/>
      <c r="P63" s="6">
        <v>240.56</v>
      </c>
      <c r="Q63" s="2"/>
      <c r="R63" s="7">
        <f t="shared" si="48"/>
        <v>2.3864757380257567E-3</v>
      </c>
      <c r="S63" s="2"/>
      <c r="T63" s="6">
        <v>24.08</v>
      </c>
      <c r="U63" s="2"/>
      <c r="V63" s="7">
        <f t="shared" si="49"/>
        <v>2.4305236627830101E-4</v>
      </c>
      <c r="W63" s="2"/>
      <c r="X63" s="6">
        <f t="shared" si="50"/>
        <v>216.48000000000002</v>
      </c>
      <c r="Y63" s="2"/>
      <c r="Z63" s="7">
        <f t="shared" si="51"/>
        <v>8.9900332225913644</v>
      </c>
    </row>
    <row r="64" spans="1:26" s="24" customFormat="1" hidden="1" outlineLevel="2" x14ac:dyDescent="0.25">
      <c r="A64" s="28"/>
      <c r="B64" s="11" t="str">
        <f>CONCATENATE("          ", "6239", " - ", "KITCHEN SUPPLIES")</f>
        <v xml:space="preserve">          6239 - KITCHEN SUPPLIES</v>
      </c>
      <c r="C64" s="11"/>
      <c r="D64" s="6">
        <v>106.92</v>
      </c>
      <c r="E64" s="2"/>
      <c r="F64" s="7">
        <f t="shared" si="44"/>
        <v>2.5888832983128672E-3</v>
      </c>
      <c r="G64" s="2"/>
      <c r="H64" s="6"/>
      <c r="I64" s="2"/>
      <c r="J64" s="7">
        <f t="shared" si="45"/>
        <v>0</v>
      </c>
      <c r="K64" s="2"/>
      <c r="L64" s="6">
        <f t="shared" si="46"/>
        <v>106.92</v>
      </c>
      <c r="M64" s="2"/>
      <c r="N64" s="7">
        <f t="shared" si="47"/>
        <v>0</v>
      </c>
      <c r="O64" s="11"/>
      <c r="P64" s="6">
        <v>1746.55</v>
      </c>
      <c r="Q64" s="2"/>
      <c r="R64" s="7">
        <f t="shared" si="48"/>
        <v>1.7326651148357523E-2</v>
      </c>
      <c r="S64" s="2"/>
      <c r="T64" s="6"/>
      <c r="U64" s="2"/>
      <c r="V64" s="7">
        <f t="shared" si="49"/>
        <v>0</v>
      </c>
      <c r="W64" s="2"/>
      <c r="X64" s="6">
        <f t="shared" si="50"/>
        <v>1746.55</v>
      </c>
      <c r="Y64" s="2"/>
      <c r="Z64" s="7">
        <f t="shared" si="51"/>
        <v>0</v>
      </c>
    </row>
    <row r="65" spans="1:26" s="24" customFormat="1" hidden="1" outlineLevel="2" x14ac:dyDescent="0.25">
      <c r="A65" s="28"/>
      <c r="B65" s="11" t="str">
        <f>CONCATENATE("          ", "6241", " - ", "OFFICE EXPENSE")</f>
        <v xml:space="preserve">          6241 - OFFICE EXPENSE</v>
      </c>
      <c r="C65" s="11"/>
      <c r="D65" s="6">
        <v>146.69</v>
      </c>
      <c r="E65" s="2"/>
      <c r="F65" s="7">
        <f t="shared" si="44"/>
        <v>3.5518452210018189E-3</v>
      </c>
      <c r="G65" s="2"/>
      <c r="H65" s="6"/>
      <c r="I65" s="2"/>
      <c r="J65" s="7">
        <f t="shared" si="45"/>
        <v>0</v>
      </c>
      <c r="K65" s="2"/>
      <c r="L65" s="6">
        <f t="shared" si="46"/>
        <v>146.69</v>
      </c>
      <c r="M65" s="2"/>
      <c r="N65" s="7">
        <f t="shared" si="47"/>
        <v>0</v>
      </c>
      <c r="O65" s="11"/>
      <c r="P65" s="6">
        <v>508.79</v>
      </c>
      <c r="Q65" s="2"/>
      <c r="R65" s="7">
        <f t="shared" si="48"/>
        <v>5.0474517407304827E-3</v>
      </c>
      <c r="S65" s="2"/>
      <c r="T65" s="6">
        <v>1013.92</v>
      </c>
      <c r="U65" s="2"/>
      <c r="V65" s="7">
        <f t="shared" si="49"/>
        <v>1.0234038837910922E-2</v>
      </c>
      <c r="W65" s="2"/>
      <c r="X65" s="6">
        <f t="shared" si="50"/>
        <v>-505.12999999999994</v>
      </c>
      <c r="Y65" s="2"/>
      <c r="Z65" s="7">
        <f t="shared" si="51"/>
        <v>-0.4981951238756509</v>
      </c>
    </row>
    <row r="66" spans="1:26" s="24" customFormat="1" hidden="1" outlineLevel="2" x14ac:dyDescent="0.25">
      <c r="A66" s="28"/>
      <c r="B66" s="11" t="str">
        <f>CONCATENATE("          ", "6243", " - ", "PAPER SUPPLIES")</f>
        <v xml:space="preserve">          6243 - PAPER SUPPLIES</v>
      </c>
      <c r="C66" s="11"/>
      <c r="D66" s="6">
        <v>843.15</v>
      </c>
      <c r="E66" s="2"/>
      <c r="F66" s="7">
        <f t="shared" si="44"/>
        <v>2.041542230614005E-2</v>
      </c>
      <c r="G66" s="2"/>
      <c r="H66" s="6">
        <v>121.86</v>
      </c>
      <c r="I66" s="2"/>
      <c r="J66" s="7">
        <f t="shared" si="45"/>
        <v>1.8183866556144889E-3</v>
      </c>
      <c r="K66" s="2"/>
      <c r="L66" s="6">
        <f t="shared" si="46"/>
        <v>721.29</v>
      </c>
      <c r="M66" s="2"/>
      <c r="N66" s="7">
        <f t="shared" si="47"/>
        <v>5.9190054160512062</v>
      </c>
      <c r="O66" s="11"/>
      <c r="P66" s="6">
        <v>1143.1500000000001</v>
      </c>
      <c r="Q66" s="2"/>
      <c r="R66" s="7">
        <f t="shared" si="48"/>
        <v>1.1340620801147921E-2</v>
      </c>
      <c r="S66" s="2"/>
      <c r="T66" s="6">
        <v>197.45</v>
      </c>
      <c r="U66" s="2"/>
      <c r="V66" s="7">
        <f t="shared" si="49"/>
        <v>1.9929688422612351E-3</v>
      </c>
      <c r="W66" s="2"/>
      <c r="X66" s="6">
        <f t="shared" si="50"/>
        <v>945.7</v>
      </c>
      <c r="Y66" s="2"/>
      <c r="Z66" s="7">
        <f t="shared" si="51"/>
        <v>4.7895669789820214</v>
      </c>
    </row>
    <row r="67" spans="1:26" s="24" customFormat="1" hidden="1" outlineLevel="2" x14ac:dyDescent="0.25">
      <c r="A67" s="28"/>
      <c r="B67" s="11" t="str">
        <f>CONCATENATE("          ", "6247", " - ", "STORE SUPPLIES")</f>
        <v xml:space="preserve">          6247 - STORE SUPPLIES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/>
      <c r="Q67" s="2"/>
      <c r="R67" s="7">
        <f t="shared" si="48"/>
        <v>0</v>
      </c>
      <c r="S67" s="2"/>
      <c r="T67" s="6">
        <v>154.22</v>
      </c>
      <c r="U67" s="2"/>
      <c r="V67" s="7">
        <f t="shared" si="49"/>
        <v>1.556625246156129E-3</v>
      </c>
      <c r="W67" s="2"/>
      <c r="X67" s="6">
        <f t="shared" si="50"/>
        <v>-154.22</v>
      </c>
      <c r="Y67" s="2"/>
      <c r="Z67" s="7">
        <f t="shared" si="51"/>
        <v>-1</v>
      </c>
    </row>
    <row r="68" spans="1:26" s="24" customFormat="1" hidden="1" outlineLevel="2" x14ac:dyDescent="0.25">
      <c r="A68" s="28"/>
      <c r="B68" s="11" t="str">
        <f>CONCATENATE("          ", "6248", " - ", "UNIFORMS")</f>
        <v xml:space="preserve">          6248 - UNIFORMS</v>
      </c>
      <c r="C68" s="11"/>
      <c r="D68" s="6">
        <v>454.44</v>
      </c>
      <c r="E68" s="2"/>
      <c r="F68" s="7">
        <f t="shared" si="44"/>
        <v>1.1003480416061535E-2</v>
      </c>
      <c r="G68" s="2"/>
      <c r="H68" s="6"/>
      <c r="I68" s="2"/>
      <c r="J68" s="7">
        <f t="shared" si="45"/>
        <v>0</v>
      </c>
      <c r="K68" s="2"/>
      <c r="L68" s="6">
        <f t="shared" si="46"/>
        <v>454.44</v>
      </c>
      <c r="M68" s="2"/>
      <c r="N68" s="7">
        <f t="shared" si="47"/>
        <v>0</v>
      </c>
      <c r="O68" s="11"/>
      <c r="P68" s="6">
        <v>454.44</v>
      </c>
      <c r="Q68" s="2"/>
      <c r="R68" s="7">
        <f t="shared" si="48"/>
        <v>4.5082725074344233E-3</v>
      </c>
      <c r="S68" s="2"/>
      <c r="T68" s="6">
        <v>717.51</v>
      </c>
      <c r="U68" s="2"/>
      <c r="V68" s="7">
        <f t="shared" si="49"/>
        <v>7.2422135933697587E-3</v>
      </c>
      <c r="W68" s="2"/>
      <c r="X68" s="6">
        <f t="shared" si="50"/>
        <v>-263.07</v>
      </c>
      <c r="Y68" s="2"/>
      <c r="Z68" s="7">
        <f t="shared" si="51"/>
        <v>-0.36664297361709242</v>
      </c>
    </row>
    <row r="69" spans="1:26" s="29" customFormat="1" outlineLevel="1" collapsed="1" x14ac:dyDescent="0.25">
      <c r="A69" s="27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SUM(OSRRefD22_13x_0)</f>
        <v>100</v>
      </c>
      <c r="E69" s="1"/>
      <c r="F69" s="5">
        <f t="shared" ref="F69:F74" si="52">IF(D$12=0,0,D69/D$12)</f>
        <v>2.4213274394995019E-3</v>
      </c>
      <c r="G69" s="1"/>
      <c r="H69" s="1">
        <f>SUM(OSRRefH22_13x_0)</f>
        <v>100</v>
      </c>
      <c r="I69" s="1"/>
      <c r="J69" s="5">
        <f t="shared" ref="J69:J74" si="53">IF(H$12=0,0,H69/H$12)</f>
        <v>1.4921932181310429E-3</v>
      </c>
      <c r="K69" s="1"/>
      <c r="L69" s="1">
        <f t="shared" ref="L69:L74" si="54">+D69-H69</f>
        <v>0</v>
      </c>
      <c r="M69" s="1"/>
      <c r="N69" s="5">
        <f t="shared" ref="N69:N74" si="55">IF(H69=0,0,L69/H69)</f>
        <v>0</v>
      </c>
      <c r="O69" s="14"/>
      <c r="P69" s="1">
        <f>SUM(OSRRefP22_13x_0)</f>
        <v>632.91</v>
      </c>
      <c r="Q69" s="1"/>
      <c r="R69" s="5">
        <f t="shared" ref="R69:R74" si="56">IF(P$12=0,0,P69/P$12)</f>
        <v>6.2787843338621618E-3</v>
      </c>
      <c r="S69" s="1"/>
      <c r="T69" s="1">
        <f>SUM(OSRRefT22_13x_0)</f>
        <v>852.25</v>
      </c>
      <c r="U69" s="1"/>
      <c r="V69" s="5">
        <f t="shared" ref="V69:V74" si="57">IF(T$12=0,0,T69/T$12)</f>
        <v>8.6022167425532422E-3</v>
      </c>
      <c r="W69" s="1"/>
      <c r="X69" s="1">
        <f t="shared" ref="X69:X74" si="58">+P69-T69</f>
        <v>-219.34000000000003</v>
      </c>
      <c r="Y69" s="1"/>
      <c r="Z69" s="5">
        <f t="shared" ref="Z69:Z74" si="59">IF(T69=0,0,X69/T69)</f>
        <v>-0.25736579642123791</v>
      </c>
    </row>
    <row r="70" spans="1:26" s="24" customFormat="1" hidden="1" outlineLevel="2" x14ac:dyDescent="0.25">
      <c r="A70" s="28"/>
      <c r="B70" s="11" t="str">
        <f>CONCATENATE("          ", "6309", " - ", "TELEPHONE")</f>
        <v xml:space="preserve">          6309 - TELEPHONE</v>
      </c>
      <c r="C70" s="11"/>
      <c r="D70" s="6">
        <v>100</v>
      </c>
      <c r="E70" s="2"/>
      <c r="F70" s="7">
        <f t="shared" si="52"/>
        <v>2.4213274394995019E-3</v>
      </c>
      <c r="G70" s="2"/>
      <c r="H70" s="6">
        <v>100</v>
      </c>
      <c r="I70" s="2"/>
      <c r="J70" s="7">
        <f t="shared" si="53"/>
        <v>1.4921932181310429E-3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632.91</v>
      </c>
      <c r="Q70" s="2"/>
      <c r="R70" s="7">
        <f t="shared" si="56"/>
        <v>6.2787843338621618E-3</v>
      </c>
      <c r="S70" s="2"/>
      <c r="T70" s="6">
        <v>852.25</v>
      </c>
      <c r="U70" s="2"/>
      <c r="V70" s="7">
        <f t="shared" si="57"/>
        <v>8.6022167425532422E-3</v>
      </c>
      <c r="W70" s="2"/>
      <c r="X70" s="6">
        <f t="shared" si="58"/>
        <v>-219.34000000000003</v>
      </c>
      <c r="Y70" s="2"/>
      <c r="Z70" s="7">
        <f t="shared" si="59"/>
        <v>-0.25736579642123791</v>
      </c>
    </row>
    <row r="71" spans="1:26" s="29" customFormat="1" outlineLevel="1" collapsed="1" x14ac:dyDescent="0.25">
      <c r="A71" s="27"/>
      <c r="B71" s="14" t="str">
        <f>CONCATENATE("     ","Training                                          ")</f>
        <v xml:space="preserve">     Training                                          </v>
      </c>
      <c r="C71" s="14"/>
      <c r="D71" s="1">
        <f>SUM(OSRRefD22_14x_0)</f>
        <v>0</v>
      </c>
      <c r="E71" s="1"/>
      <c r="F71" s="5">
        <f t="shared" si="52"/>
        <v>0</v>
      </c>
      <c r="G71" s="1"/>
      <c r="H71" s="1">
        <f>SUM(OSRRefH22_14x_0)</f>
        <v>0</v>
      </c>
      <c r="I71" s="1"/>
      <c r="J71" s="5">
        <f t="shared" si="53"/>
        <v>0</v>
      </c>
      <c r="K71" s="1"/>
      <c r="L71" s="1">
        <f t="shared" si="54"/>
        <v>0</v>
      </c>
      <c r="M71" s="1"/>
      <c r="N71" s="5">
        <f t="shared" si="55"/>
        <v>0</v>
      </c>
      <c r="O71" s="14"/>
      <c r="P71" s="1">
        <f>SUM(OSRRefP22_14x_0)</f>
        <v>152.94999999999999</v>
      </c>
      <c r="Q71" s="1"/>
      <c r="R71" s="5">
        <f t="shared" si="56"/>
        <v>1.5173406390548698E-3</v>
      </c>
      <c r="S71" s="1"/>
      <c r="T71" s="1">
        <f>SUM(OSRRefT22_14x_0)</f>
        <v>98.83</v>
      </c>
      <c r="U71" s="1"/>
      <c r="V71" s="5">
        <f t="shared" si="57"/>
        <v>9.9754424249520312E-4</v>
      </c>
      <c r="W71" s="1"/>
      <c r="X71" s="1">
        <f t="shared" si="58"/>
        <v>54.11999999999999</v>
      </c>
      <c r="Y71" s="1"/>
      <c r="Z71" s="5">
        <f t="shared" si="59"/>
        <v>0.54760700192249312</v>
      </c>
    </row>
    <row r="72" spans="1:26" s="24" customFormat="1" hidden="1" outlineLevel="2" x14ac:dyDescent="0.25">
      <c r="A72" s="28"/>
      <c r="B72" s="11" t="str">
        <f>CONCATENATE("          ", "6376", " - ", "TRAINING")</f>
        <v xml:space="preserve">          6376 - TRAINING</v>
      </c>
      <c r="C72" s="11"/>
      <c r="D72" s="6"/>
      <c r="E72" s="2"/>
      <c r="F72" s="7">
        <f t="shared" si="52"/>
        <v>0</v>
      </c>
      <c r="G72" s="2"/>
      <c r="H72" s="6"/>
      <c r="I72" s="2"/>
      <c r="J72" s="7">
        <f t="shared" si="53"/>
        <v>0</v>
      </c>
      <c r="K72" s="2"/>
      <c r="L72" s="6">
        <f t="shared" si="54"/>
        <v>0</v>
      </c>
      <c r="M72" s="2"/>
      <c r="N72" s="7">
        <f t="shared" si="55"/>
        <v>0</v>
      </c>
      <c r="O72" s="11"/>
      <c r="P72" s="6">
        <v>152.94999999999999</v>
      </c>
      <c r="Q72" s="2"/>
      <c r="R72" s="7">
        <f t="shared" si="56"/>
        <v>1.5173406390548698E-3</v>
      </c>
      <c r="S72" s="2"/>
      <c r="T72" s="6">
        <v>98.83</v>
      </c>
      <c r="U72" s="2"/>
      <c r="V72" s="7">
        <f t="shared" si="57"/>
        <v>9.9754424249520312E-4</v>
      </c>
      <c r="W72" s="2"/>
      <c r="X72" s="6">
        <f t="shared" si="58"/>
        <v>54.11999999999999</v>
      </c>
      <c r="Y72" s="2"/>
      <c r="Z72" s="7">
        <f t="shared" si="59"/>
        <v>0.54760700192249312</v>
      </c>
    </row>
    <row r="73" spans="1:26" s="29" customFormat="1" outlineLevel="1" collapsed="1" x14ac:dyDescent="0.25">
      <c r="A73" s="27"/>
      <c r="B73" s="14" t="str">
        <f>CONCATENATE("     ","Travel                                            ")</f>
        <v xml:space="preserve">     Travel                                            </v>
      </c>
      <c r="C73" s="14"/>
      <c r="D73" s="1">
        <f>SUM(OSRRefD22_15x_0)</f>
        <v>0</v>
      </c>
      <c r="E73" s="1"/>
      <c r="F73" s="5">
        <f t="shared" si="52"/>
        <v>0</v>
      </c>
      <c r="G73" s="1"/>
      <c r="H73" s="1">
        <f>SUM(OSRRefH22_15x_0)</f>
        <v>0</v>
      </c>
      <c r="I73" s="1"/>
      <c r="J73" s="5">
        <f t="shared" si="53"/>
        <v>0</v>
      </c>
      <c r="K73" s="1"/>
      <c r="L73" s="1">
        <f t="shared" si="54"/>
        <v>0</v>
      </c>
      <c r="M73" s="1"/>
      <c r="N73" s="5">
        <f t="shared" si="55"/>
        <v>0</v>
      </c>
      <c r="O73" s="14"/>
      <c r="P73" s="1">
        <f>SUM(OSRRefP22_15x_0)</f>
        <v>0</v>
      </c>
      <c r="Q73" s="1"/>
      <c r="R73" s="5">
        <f t="shared" si="56"/>
        <v>0</v>
      </c>
      <c r="S73" s="1"/>
      <c r="T73" s="1">
        <f>SUM(OSRRefT22_15x_0)</f>
        <v>1258.9000000000001</v>
      </c>
      <c r="U73" s="1"/>
      <c r="V73" s="5">
        <f t="shared" si="57"/>
        <v>1.2706753484541247E-2</v>
      </c>
      <c r="W73" s="1"/>
      <c r="X73" s="1">
        <f t="shared" si="58"/>
        <v>-1258.9000000000001</v>
      </c>
      <c r="Y73" s="1"/>
      <c r="Z73" s="5">
        <f t="shared" si="59"/>
        <v>-1</v>
      </c>
    </row>
    <row r="74" spans="1:26" s="24" customFormat="1" hidden="1" outlineLevel="2" x14ac:dyDescent="0.25">
      <c r="A74" s="28"/>
      <c r="B74" s="11" t="str">
        <f>CONCATENATE("          ", "6294", " - ", "TRAVEL OPERATIONAL")</f>
        <v xml:space="preserve">          6294 - TRAVEL OPERATIONAL</v>
      </c>
      <c r="C74" s="11"/>
      <c r="D74" s="6"/>
      <c r="E74" s="2"/>
      <c r="F74" s="7">
        <f t="shared" si="52"/>
        <v>0</v>
      </c>
      <c r="G74" s="2"/>
      <c r="H74" s="6"/>
      <c r="I74" s="2"/>
      <c r="J74" s="7">
        <f t="shared" si="53"/>
        <v>0</v>
      </c>
      <c r="K74" s="2"/>
      <c r="L74" s="6">
        <f t="shared" si="54"/>
        <v>0</v>
      </c>
      <c r="M74" s="2"/>
      <c r="N74" s="7">
        <f t="shared" si="55"/>
        <v>0</v>
      </c>
      <c r="O74" s="11"/>
      <c r="P74" s="6"/>
      <c r="Q74" s="2"/>
      <c r="R74" s="7">
        <f t="shared" si="56"/>
        <v>0</v>
      </c>
      <c r="S74" s="2"/>
      <c r="T74" s="6">
        <v>1258.9000000000001</v>
      </c>
      <c r="U74" s="2"/>
      <c r="V74" s="7">
        <f t="shared" si="57"/>
        <v>1.2706753484541247E-2</v>
      </c>
      <c r="W74" s="2"/>
      <c r="X74" s="6">
        <f t="shared" si="58"/>
        <v>-1258.9000000000001</v>
      </c>
      <c r="Y74" s="2"/>
      <c r="Z74" s="7">
        <f t="shared" si="59"/>
        <v>-1</v>
      </c>
    </row>
    <row r="75" spans="1:26" s="53" customFormat="1" x14ac:dyDescent="0.25">
      <c r="A75" s="37"/>
      <c r="B75" s="37"/>
      <c r="C75" s="37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collapsed="1" x14ac:dyDescent="0.25">
      <c r="A76" s="10"/>
      <c r="B76" s="25" t="s">
        <v>0</v>
      </c>
      <c r="C76" s="10"/>
      <c r="D76" s="4">
        <f>SUM(OSRRefD25x_0)</f>
        <v>0</v>
      </c>
      <c r="E76" s="4"/>
      <c r="F76" s="12">
        <f t="shared" ref="F76:F77" si="60">IF(D$12=0,0,D76/D$12)</f>
        <v>0</v>
      </c>
      <c r="G76" s="4"/>
      <c r="H76" s="4">
        <f>SUM(OSRRefH25x_0)</f>
        <v>0</v>
      </c>
      <c r="I76" s="4"/>
      <c r="J76" s="12">
        <f t="shared" ref="J76:J77" si="61">IF(H$12=0,0,H76/H$12)</f>
        <v>0</v>
      </c>
      <c r="K76" s="4"/>
      <c r="L76" s="4">
        <f t="shared" ref="L76:L77" si="62">+D76-H76</f>
        <v>0</v>
      </c>
      <c r="M76" s="4"/>
      <c r="N76" s="12">
        <f t="shared" ref="N76:N77" si="63">IF(H76=0,0,L76/H76)</f>
        <v>0</v>
      </c>
      <c r="O76" s="10"/>
      <c r="P76" s="4">
        <f>SUM(OSRRefP25x_0)</f>
        <v>29281.48</v>
      </c>
      <c r="Q76" s="4"/>
      <c r="R76" s="12">
        <f t="shared" ref="R76:R77" si="64">IF(P$12=0,0,P76/P$12)</f>
        <v>0.29048695374744943</v>
      </c>
      <c r="S76" s="4"/>
      <c r="T76" s="4">
        <f>SUM(OSRRefT25x_0)</f>
        <v>0</v>
      </c>
      <c r="U76" s="4"/>
      <c r="V76" s="12">
        <f t="shared" ref="V76:V77" si="65">IF(T$12=0,0,T76/T$12)</f>
        <v>0</v>
      </c>
      <c r="W76" s="4"/>
      <c r="X76" s="4">
        <f t="shared" ref="X76:X77" si="66">+P76-T76</f>
        <v>29281.48</v>
      </c>
      <c r="Y76" s="4"/>
      <c r="Z76" s="12">
        <f t="shared" ref="Z76:Z77" si="67">IF(T76=0,0,X76/T76)</f>
        <v>0</v>
      </c>
    </row>
    <row r="77" spans="1:26" s="24" customFormat="1" hidden="1" outlineLevel="1" x14ac:dyDescent="0.25">
      <c r="A77" s="44"/>
      <c r="B77" s="11" t="str">
        <f>CONCATENATE("          ", "9150", " - ", "MISC. INCOME")</f>
        <v xml:space="preserve">          9150 - MISC. INCOME</v>
      </c>
      <c r="C77" s="11"/>
      <c r="D77" s="2">
        <f>0</f>
        <v>0</v>
      </c>
      <c r="E77" s="2"/>
      <c r="F77" s="19">
        <f t="shared" si="60"/>
        <v>0</v>
      </c>
      <c r="G77" s="2"/>
      <c r="H77" s="2">
        <f>0</f>
        <v>0</v>
      </c>
      <c r="I77" s="2"/>
      <c r="J77" s="19">
        <f t="shared" si="61"/>
        <v>0</v>
      </c>
      <c r="K77" s="2"/>
      <c r="L77" s="2">
        <f t="shared" si="62"/>
        <v>0</v>
      </c>
      <c r="M77" s="2"/>
      <c r="N77" s="19">
        <f t="shared" si="63"/>
        <v>0</v>
      </c>
      <c r="O77" s="11"/>
      <c r="P77" s="2">
        <f>--29281.48</f>
        <v>29281.48</v>
      </c>
      <c r="Q77" s="2"/>
      <c r="R77" s="19">
        <f t="shared" si="64"/>
        <v>0.29048695374744943</v>
      </c>
      <c r="S77" s="2"/>
      <c r="T77" s="2">
        <f>0</f>
        <v>0</v>
      </c>
      <c r="U77" s="2"/>
      <c r="V77" s="19">
        <f t="shared" si="65"/>
        <v>0</v>
      </c>
      <c r="W77" s="2"/>
      <c r="X77" s="2">
        <f t="shared" si="66"/>
        <v>29281.48</v>
      </c>
      <c r="Y77" s="2"/>
      <c r="Z77" s="19">
        <f t="shared" si="67"/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6" t="s">
        <v>3</v>
      </c>
      <c r="C79" s="26"/>
      <c r="D79" s="21">
        <f>+D22-D24+D76</f>
        <v>-733.18999999999505</v>
      </c>
      <c r="E79" s="13"/>
      <c r="F79" s="20">
        <f>IF(D$12=0,0,D79/D$12)</f>
        <v>-1.7752930653666277E-2</v>
      </c>
      <c r="G79" s="13"/>
      <c r="H79" s="21">
        <f>+H22-H24+H76</f>
        <v>30323.60999999999</v>
      </c>
      <c r="I79" s="13"/>
      <c r="J79" s="20">
        <f>IF(H$12=0,0,H79/H$12)</f>
        <v>0.45248685191250659</v>
      </c>
      <c r="K79" s="15"/>
      <c r="L79" s="21">
        <f>+D79-H79</f>
        <v>-31056.799999999985</v>
      </c>
      <c r="M79" s="15"/>
      <c r="N79" s="20">
        <f>IF(H79=0,0,L79/H79)</f>
        <v>-1.0241788494179946</v>
      </c>
      <c r="O79" s="25"/>
      <c r="P79" s="21">
        <f>+P22-P24+P76</f>
        <v>22133.010000000013</v>
      </c>
      <c r="Q79" s="13"/>
      <c r="R79" s="20">
        <f>IF(P$12=0,0,P79/P$12)</f>
        <v>0.21957054944496793</v>
      </c>
      <c r="S79" s="13"/>
      <c r="T79" s="21">
        <f>+T22-T24+T76</f>
        <v>16143.739999999991</v>
      </c>
      <c r="U79" s="13"/>
      <c r="V79" s="20">
        <f>IF(T$12=0,0,T79/T$12)</f>
        <v>0.16294743386967017</v>
      </c>
      <c r="W79" s="15"/>
      <c r="X79" s="21">
        <f>+P79-T79</f>
        <v>5989.2700000000223</v>
      </c>
      <c r="Y79" s="15"/>
      <c r="Z79" s="20">
        <f>IF(T79=0,0,X79/T79)</f>
        <v>0.37099643577015151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1"/>
      <c r="B81" s="10" t="s">
        <v>13</v>
      </c>
      <c r="C81" s="10"/>
      <c r="D81" s="4">
        <v>3408.62</v>
      </c>
      <c r="E81" s="4"/>
      <c r="F81" s="12">
        <f>IF(D$12=0,0,D81/D$12)</f>
        <v>8.2533851368267908E-2</v>
      </c>
      <c r="G81" s="4"/>
      <c r="H81" s="4">
        <v>5529.42</v>
      </c>
      <c r="I81" s="4"/>
      <c r="J81" s="12">
        <f>IF(H$12=0,0,H81/H$12)</f>
        <v>8.2509630241981519E-2</v>
      </c>
      <c r="K81" s="4"/>
      <c r="L81" s="4">
        <f>+D81-H81</f>
        <v>-2120.8000000000002</v>
      </c>
      <c r="M81" s="4"/>
      <c r="N81" s="12">
        <f>IF(H81=0,0,L81/H81)</f>
        <v>-0.38354836492796718</v>
      </c>
      <c r="O81" s="10"/>
      <c r="P81" s="4">
        <v>10827.4</v>
      </c>
      <c r="Q81" s="4"/>
      <c r="R81" s="12">
        <f>IF(P$12=0,0,P81/P$12)</f>
        <v>0.10741323331351878</v>
      </c>
      <c r="S81" s="4"/>
      <c r="T81" s="4">
        <v>8802.3799999999992</v>
      </c>
      <c r="U81" s="4"/>
      <c r="V81" s="12">
        <f>IF(T$12=0,0,T81/T$12)</f>
        <v>8.8847146506677382E-2</v>
      </c>
      <c r="W81" s="4"/>
      <c r="X81" s="4">
        <f>+P81-T81</f>
        <v>2025.0200000000004</v>
      </c>
      <c r="Y81" s="4"/>
      <c r="Z81" s="12">
        <f>IF(T81=0,0,X81/T81)</f>
        <v>0.23005369002474338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4</v>
      </c>
      <c r="C83" s="26"/>
      <c r="D83" s="35">
        <f>+D79-D81</f>
        <v>-4141.8099999999949</v>
      </c>
      <c r="E83" s="13"/>
      <c r="F83" s="30">
        <f>IF(D$12=0,0,D83/D$12)</f>
        <v>-0.1002867820219342</v>
      </c>
      <c r="G83" s="13"/>
      <c r="H83" s="35">
        <f>+H79-H81</f>
        <v>24794.189999999988</v>
      </c>
      <c r="I83" s="13"/>
      <c r="J83" s="30">
        <f>IF(H$12=0,0,H83/H$12)</f>
        <v>0.36997722167052505</v>
      </c>
      <c r="K83" s="15"/>
      <c r="L83" s="35">
        <f>D83-H83</f>
        <v>-28935.999999999982</v>
      </c>
      <c r="M83" s="15"/>
      <c r="N83" s="30">
        <f>IF(H83=0,0,L83/H83)</f>
        <v>-1.1670476026843384</v>
      </c>
      <c r="O83" s="25"/>
      <c r="P83" s="35">
        <f>+P79-P81</f>
        <v>11305.610000000013</v>
      </c>
      <c r="Q83" s="13"/>
      <c r="R83" s="30">
        <f>IF(P$12=0,0,P83/P$12)</f>
        <v>0.11215731613144915</v>
      </c>
      <c r="S83" s="13"/>
      <c r="T83" s="35">
        <f>+T79-T81</f>
        <v>7341.3599999999915</v>
      </c>
      <c r="U83" s="13"/>
      <c r="V83" s="30">
        <f>IF(T$12=0,0,T83/T$12)</f>
        <v>7.4100287362992776E-2</v>
      </c>
      <c r="W83" s="15"/>
      <c r="X83" s="35">
        <f>P83-T83</f>
        <v>3964.2500000000218</v>
      </c>
      <c r="Y83" s="15"/>
      <c r="Z83" s="30">
        <f>IF(T83=0,0,X83/T83)</f>
        <v>0.53998850349254446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6" t="s">
        <v>5</v>
      </c>
      <c r="C86" s="26"/>
      <c r="D86" s="36">
        <f>SUM(D83:D85)</f>
        <v>-4141.8099999999949</v>
      </c>
      <c r="E86" s="13"/>
      <c r="F86" s="31">
        <f>IF(D$12=0,0,D86/D$12)</f>
        <v>-0.1002867820219342</v>
      </c>
      <c r="G86" s="13"/>
      <c r="H86" s="36">
        <f>SUM(H83:H85)</f>
        <v>24794.189999999988</v>
      </c>
      <c r="I86" s="13"/>
      <c r="J86" s="31">
        <f>IF(H$12=0,0,H86/H$12)</f>
        <v>0.36997722167052505</v>
      </c>
      <c r="K86" s="15"/>
      <c r="L86" s="36">
        <f>+D86-H86</f>
        <v>-28935.999999999982</v>
      </c>
      <c r="M86" s="15"/>
      <c r="N86" s="31">
        <f>IF(H86=0,0,L86/H86)</f>
        <v>-1.1670476026843384</v>
      </c>
      <c r="O86" s="25"/>
      <c r="P86" s="36">
        <f>SUM(P83:P85)</f>
        <v>11305.610000000013</v>
      </c>
      <c r="Q86" s="13"/>
      <c r="R86" s="31">
        <f>IF(P$12=0,0,P86/P$12)</f>
        <v>0.11215731613144915</v>
      </c>
      <c r="S86" s="13"/>
      <c r="T86" s="36">
        <f>SUM(T83:T85)</f>
        <v>7341.3599999999915</v>
      </c>
      <c r="U86" s="13"/>
      <c r="V86" s="31">
        <f>IF(T$12=0,0,T86/T$12)</f>
        <v>7.4100287362992776E-2</v>
      </c>
      <c r="W86" s="15"/>
      <c r="X86" s="36">
        <f>+P86-T86</f>
        <v>3964.2500000000218</v>
      </c>
      <c r="Y86" s="15"/>
      <c r="Z86" s="31">
        <f>IF(T86=0,0,X86/T86)</f>
        <v>0.53998850349254446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5">
        <v>43756.463480127313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6" t="s">
        <v>313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7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","455", " - ", "Vending")</f>
        <v>Department 455 - Vending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12973.7</v>
      </c>
      <c r="E18" s="22"/>
      <c r="F18" s="34">
        <f t="shared" ref="F18:F26" si="0">IF(D$12=0,0,D18/D$12)</f>
        <v>0</v>
      </c>
      <c r="G18" s="22"/>
      <c r="H18" s="22">
        <f>SUM(OSRRefH22x_0)</f>
        <v>6547.5999999999995</v>
      </c>
      <c r="I18" s="22"/>
      <c r="J18" s="34">
        <f t="shared" ref="J18:J26" si="1">IF(H$12=0,0,H18/H$12)</f>
        <v>0</v>
      </c>
      <c r="K18" s="4"/>
      <c r="L18" s="22">
        <f t="shared" ref="L18:L26" si="2">+D18-H18</f>
        <v>6426.1000000000013</v>
      </c>
      <c r="M18" s="4"/>
      <c r="N18" s="34">
        <f t="shared" ref="N18:N26" si="3">IF(H18=0,0,L18/H18)</f>
        <v>0.98144358238133089</v>
      </c>
      <c r="O18" s="10"/>
      <c r="P18" s="22">
        <f>SUM(OSRRefP22x_0)</f>
        <v>29091.4</v>
      </c>
      <c r="Q18" s="22"/>
      <c r="R18" s="34">
        <f t="shared" ref="R18:R26" si="4">IF(P$12=0,0,P18/P$12)</f>
        <v>0</v>
      </c>
      <c r="S18" s="22"/>
      <c r="T18" s="22">
        <f>SUM(OSRRefT22x_0)</f>
        <v>20912.830000000002</v>
      </c>
      <c r="U18" s="22"/>
      <c r="V18" s="34">
        <f t="shared" ref="V18:V26" si="5">IF(T$12=0,0,T18/T$12)</f>
        <v>0</v>
      </c>
      <c r="W18" s="4"/>
      <c r="X18" s="22">
        <f t="shared" ref="X18:X26" si="6">+P18-T18</f>
        <v>8178.57</v>
      </c>
      <c r="Y18" s="4"/>
      <c r="Z18" s="34">
        <f t="shared" ref="Z18:Z26" si="7">IF(T18=0,0,X18/T18)</f>
        <v>0.39107906486114025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8834.52</v>
      </c>
      <c r="E19" s="1"/>
      <c r="F19" s="5">
        <f t="shared" si="0"/>
        <v>0</v>
      </c>
      <c r="G19" s="1"/>
      <c r="H19" s="1">
        <f>SUM(OSRRefH22_0x_0)</f>
        <v>2328.7799999999997</v>
      </c>
      <c r="I19" s="1"/>
      <c r="J19" s="5">
        <f t="shared" si="1"/>
        <v>0</v>
      </c>
      <c r="K19" s="1"/>
      <c r="L19" s="1">
        <f t="shared" si="2"/>
        <v>6505.7400000000007</v>
      </c>
      <c r="M19" s="1"/>
      <c r="N19" s="5">
        <f t="shared" si="3"/>
        <v>2.793625847010023</v>
      </c>
      <c r="O19" s="14"/>
      <c r="P19" s="1">
        <f>SUM(OSRRefP22_0x_0)</f>
        <v>15803.59</v>
      </c>
      <c r="Q19" s="1"/>
      <c r="R19" s="5">
        <f t="shared" si="4"/>
        <v>0</v>
      </c>
      <c r="S19" s="1"/>
      <c r="T19" s="1">
        <f>SUM(OSRRefT22_0x_0)</f>
        <v>8700.68</v>
      </c>
      <c r="U19" s="1"/>
      <c r="V19" s="5">
        <f t="shared" si="5"/>
        <v>0</v>
      </c>
      <c r="W19" s="1"/>
      <c r="X19" s="1">
        <f t="shared" si="6"/>
        <v>7102.91</v>
      </c>
      <c r="Y19" s="1"/>
      <c r="Z19" s="5">
        <f t="shared" si="7"/>
        <v>0.81636262912783819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384.92</v>
      </c>
      <c r="E20" s="2"/>
      <c r="F20" s="7">
        <f t="shared" si="0"/>
        <v>0</v>
      </c>
      <c r="G20" s="2"/>
      <c r="H20" s="6">
        <v>339.74</v>
      </c>
      <c r="I20" s="2"/>
      <c r="J20" s="7">
        <f t="shared" si="1"/>
        <v>0</v>
      </c>
      <c r="K20" s="2"/>
      <c r="L20" s="6">
        <f t="shared" si="2"/>
        <v>45.180000000000007</v>
      </c>
      <c r="M20" s="2"/>
      <c r="N20" s="7">
        <f t="shared" si="3"/>
        <v>0.13298404662388888</v>
      </c>
      <c r="O20" s="11"/>
      <c r="P20" s="6">
        <v>1084.76</v>
      </c>
      <c r="Q20" s="2"/>
      <c r="R20" s="7">
        <f t="shared" si="4"/>
        <v>0</v>
      </c>
      <c r="S20" s="2"/>
      <c r="T20" s="6">
        <v>1019.22</v>
      </c>
      <c r="U20" s="2"/>
      <c r="V20" s="7">
        <f t="shared" si="5"/>
        <v>0</v>
      </c>
      <c r="W20" s="2"/>
      <c r="X20" s="6">
        <f t="shared" si="6"/>
        <v>65.539999999999964</v>
      </c>
      <c r="Y20" s="2"/>
      <c r="Z20" s="7">
        <f t="shared" si="7"/>
        <v>6.4304075665705104E-2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17.11</v>
      </c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17.11</v>
      </c>
      <c r="M21" s="2"/>
      <c r="N21" s="7">
        <f t="shared" si="3"/>
        <v>0</v>
      </c>
      <c r="O21" s="11"/>
      <c r="P21" s="6">
        <v>372.05</v>
      </c>
      <c r="Q21" s="2"/>
      <c r="R21" s="7">
        <f t="shared" si="4"/>
        <v>0</v>
      </c>
      <c r="S21" s="2"/>
      <c r="T21" s="6">
        <v>386.31</v>
      </c>
      <c r="U21" s="2"/>
      <c r="V21" s="7">
        <f t="shared" si="5"/>
        <v>0</v>
      </c>
      <c r="W21" s="2"/>
      <c r="X21" s="6">
        <f t="shared" si="6"/>
        <v>-14.259999999999991</v>
      </c>
      <c r="Y21" s="2"/>
      <c r="Z21" s="7">
        <f t="shared" si="7"/>
        <v>-3.691335973699876E-2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931.95</v>
      </c>
      <c r="E22" s="2"/>
      <c r="F22" s="7">
        <f t="shared" si="0"/>
        <v>0</v>
      </c>
      <c r="G22" s="2"/>
      <c r="H22" s="6">
        <v>944.6</v>
      </c>
      <c r="I22" s="2"/>
      <c r="J22" s="7">
        <f t="shared" si="1"/>
        <v>0</v>
      </c>
      <c r="K22" s="2"/>
      <c r="L22" s="6">
        <f t="shared" si="2"/>
        <v>-12.649999999999977</v>
      </c>
      <c r="M22" s="2"/>
      <c r="N22" s="7">
        <f t="shared" si="3"/>
        <v>-1.3391911920389559E-2</v>
      </c>
      <c r="O22" s="11"/>
      <c r="P22" s="6">
        <v>2795.85</v>
      </c>
      <c r="Q22" s="2"/>
      <c r="R22" s="7">
        <f t="shared" si="4"/>
        <v>0</v>
      </c>
      <c r="S22" s="2"/>
      <c r="T22" s="6">
        <v>2227.31</v>
      </c>
      <c r="U22" s="2"/>
      <c r="V22" s="7">
        <f t="shared" si="5"/>
        <v>0</v>
      </c>
      <c r="W22" s="2"/>
      <c r="X22" s="6">
        <f t="shared" si="6"/>
        <v>568.54</v>
      </c>
      <c r="Y22" s="2"/>
      <c r="Z22" s="7">
        <f t="shared" si="7"/>
        <v>0.25525858546856972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13.08</v>
      </c>
      <c r="E23" s="2"/>
      <c r="F23" s="7">
        <f t="shared" si="0"/>
        <v>0</v>
      </c>
      <c r="G23" s="2"/>
      <c r="H23" s="6">
        <v>11.55</v>
      </c>
      <c r="I23" s="2"/>
      <c r="J23" s="7">
        <f t="shared" si="1"/>
        <v>0</v>
      </c>
      <c r="K23" s="2"/>
      <c r="L23" s="6">
        <f t="shared" si="2"/>
        <v>1.5299999999999994</v>
      </c>
      <c r="M23" s="2"/>
      <c r="N23" s="7">
        <f t="shared" si="3"/>
        <v>0.1324675324675324</v>
      </c>
      <c r="O23" s="11"/>
      <c r="P23" s="6">
        <v>36.86</v>
      </c>
      <c r="Q23" s="2"/>
      <c r="R23" s="7">
        <f t="shared" si="4"/>
        <v>0</v>
      </c>
      <c r="S23" s="2"/>
      <c r="T23" s="6">
        <v>40.25</v>
      </c>
      <c r="U23" s="2"/>
      <c r="V23" s="7">
        <f t="shared" si="5"/>
        <v>0</v>
      </c>
      <c r="W23" s="2"/>
      <c r="X23" s="6">
        <f t="shared" si="6"/>
        <v>-3.3900000000000006</v>
      </c>
      <c r="Y23" s="2"/>
      <c r="Z23" s="7">
        <f t="shared" si="7"/>
        <v>-8.4223602484472068E-2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514.27</v>
      </c>
      <c r="E24" s="2"/>
      <c r="F24" s="7">
        <f t="shared" si="0"/>
        <v>0</v>
      </c>
      <c r="G24" s="2"/>
      <c r="H24" s="6">
        <v>417.84</v>
      </c>
      <c r="I24" s="2"/>
      <c r="J24" s="7">
        <f t="shared" si="1"/>
        <v>0</v>
      </c>
      <c r="K24" s="2"/>
      <c r="L24" s="6">
        <f t="shared" si="2"/>
        <v>96.43</v>
      </c>
      <c r="M24" s="2"/>
      <c r="N24" s="7">
        <f t="shared" si="3"/>
        <v>0.23078211755695963</v>
      </c>
      <c r="O24" s="11"/>
      <c r="P24" s="6">
        <v>1449.31</v>
      </c>
      <c r="Q24" s="2"/>
      <c r="R24" s="7">
        <f t="shared" si="4"/>
        <v>0</v>
      </c>
      <c r="S24" s="2"/>
      <c r="T24" s="6">
        <v>1456.36</v>
      </c>
      <c r="U24" s="2"/>
      <c r="V24" s="7">
        <f t="shared" si="5"/>
        <v>0</v>
      </c>
      <c r="W24" s="2"/>
      <c r="X24" s="6">
        <f t="shared" si="6"/>
        <v>-7.0499999999999545</v>
      </c>
      <c r="Y24" s="2"/>
      <c r="Z24" s="7">
        <f t="shared" si="7"/>
        <v>-4.8408360570188378E-3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6">
        <v>1578.84</v>
      </c>
      <c r="E25" s="2"/>
      <c r="F25" s="7">
        <f t="shared" si="0"/>
        <v>0</v>
      </c>
      <c r="G25" s="2"/>
      <c r="H25" s="6">
        <v>410.22</v>
      </c>
      <c r="I25" s="2"/>
      <c r="J25" s="7">
        <f t="shared" si="1"/>
        <v>0</v>
      </c>
      <c r="K25" s="2"/>
      <c r="L25" s="6">
        <f t="shared" si="2"/>
        <v>1168.6199999999999</v>
      </c>
      <c r="M25" s="2"/>
      <c r="N25" s="7">
        <f t="shared" si="3"/>
        <v>2.8487640778119054</v>
      </c>
      <c r="O25" s="11"/>
      <c r="P25" s="6">
        <v>2757.09</v>
      </c>
      <c r="Q25" s="2"/>
      <c r="R25" s="7">
        <f t="shared" si="4"/>
        <v>0</v>
      </c>
      <c r="S25" s="2"/>
      <c r="T25" s="6">
        <v>1586.37</v>
      </c>
      <c r="U25" s="2"/>
      <c r="V25" s="7">
        <f t="shared" si="5"/>
        <v>0</v>
      </c>
      <c r="W25" s="2"/>
      <c r="X25" s="6">
        <f t="shared" si="6"/>
        <v>1170.7200000000003</v>
      </c>
      <c r="Y25" s="2"/>
      <c r="Z25" s="7">
        <f t="shared" si="7"/>
        <v>0.73798672440855562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6">
        <v>5394.35</v>
      </c>
      <c r="E26" s="2"/>
      <c r="F26" s="7">
        <f t="shared" si="0"/>
        <v>0</v>
      </c>
      <c r="G26" s="2"/>
      <c r="H26" s="6">
        <v>204.83</v>
      </c>
      <c r="I26" s="2"/>
      <c r="J26" s="7">
        <f t="shared" si="1"/>
        <v>0</v>
      </c>
      <c r="K26" s="2"/>
      <c r="L26" s="6">
        <f t="shared" si="2"/>
        <v>5189.5200000000004</v>
      </c>
      <c r="M26" s="2"/>
      <c r="N26" s="7">
        <f t="shared" si="3"/>
        <v>25.335741834692186</v>
      </c>
      <c r="O26" s="11"/>
      <c r="P26" s="6">
        <v>7307.67</v>
      </c>
      <c r="Q26" s="2"/>
      <c r="R26" s="7">
        <f t="shared" si="4"/>
        <v>0</v>
      </c>
      <c r="S26" s="2"/>
      <c r="T26" s="6">
        <v>1984.86</v>
      </c>
      <c r="U26" s="2"/>
      <c r="V26" s="7">
        <f t="shared" si="5"/>
        <v>0</v>
      </c>
      <c r="W26" s="2"/>
      <c r="X26" s="6">
        <f t="shared" si="6"/>
        <v>5322.81</v>
      </c>
      <c r="Y26" s="2"/>
      <c r="Z26" s="7">
        <f t="shared" si="7"/>
        <v>2.6817055107161214</v>
      </c>
    </row>
    <row r="27" spans="1:26" s="29" customFormat="1" outlineLevel="1" collapsed="1" x14ac:dyDescent="0.25">
      <c r="A27" s="27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4139.18</v>
      </c>
      <c r="E27" s="1"/>
      <c r="F27" s="5">
        <f t="shared" ref="F27:F29" si="8">IF(D$12=0,0,D27/D$12)</f>
        <v>0</v>
      </c>
      <c r="G27" s="1"/>
      <c r="H27" s="1">
        <f>SUM(OSRRefH22_1x_0)</f>
        <v>4218.82</v>
      </c>
      <c r="I27" s="1"/>
      <c r="J27" s="5">
        <f t="shared" ref="J27:J29" si="9">IF(H$12=0,0,H27/H$12)</f>
        <v>0</v>
      </c>
      <c r="K27" s="1"/>
      <c r="L27" s="1">
        <f t="shared" ref="L27:L29" si="10">+D27-H27</f>
        <v>-79.639999999999418</v>
      </c>
      <c r="M27" s="1"/>
      <c r="N27" s="5">
        <f t="shared" ref="N27:N29" si="11">IF(H27=0,0,L27/H27)</f>
        <v>-1.8877316406009127E-2</v>
      </c>
      <c r="O27" s="14"/>
      <c r="P27" s="1">
        <f>SUM(OSRRefP22_1x_0)</f>
        <v>13287.81</v>
      </c>
      <c r="Q27" s="1"/>
      <c r="R27" s="5">
        <f t="shared" ref="R27:R29" si="12">IF(P$12=0,0,P27/P$12)</f>
        <v>0</v>
      </c>
      <c r="S27" s="1"/>
      <c r="T27" s="1">
        <f>SUM(OSRRefT22_1x_0)</f>
        <v>12212.15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1075.6599999999999</v>
      </c>
      <c r="Y27" s="1"/>
      <c r="Z27" s="5">
        <f t="shared" ref="Z27:Z29" si="15">IF(T27=0,0,X27/T27)</f>
        <v>8.8081132314948629E-2</v>
      </c>
    </row>
    <row r="28" spans="1:26" s="24" customFormat="1" hidden="1" outlineLevel="2" x14ac:dyDescent="0.25">
      <c r="A28" s="28"/>
      <c r="B28" s="11" t="str">
        <f>CONCATENATE("          ", "6001", " - ", "ADMINISTRATIVE SALARIES")</f>
        <v xml:space="preserve">          6001 - ADMINISTRATIVE SALARIES</v>
      </c>
      <c r="C28" s="11"/>
      <c r="D28" s="6">
        <v>4139.18</v>
      </c>
      <c r="E28" s="2"/>
      <c r="F28" s="7">
        <f t="shared" si="8"/>
        <v>0</v>
      </c>
      <c r="G28" s="2"/>
      <c r="H28" s="6">
        <v>4218.82</v>
      </c>
      <c r="I28" s="2"/>
      <c r="J28" s="7">
        <f t="shared" si="9"/>
        <v>0</v>
      </c>
      <c r="K28" s="2"/>
      <c r="L28" s="6">
        <f t="shared" si="10"/>
        <v>-79.639999999999418</v>
      </c>
      <c r="M28" s="2"/>
      <c r="N28" s="7">
        <f t="shared" si="11"/>
        <v>-1.8877316406009127E-2</v>
      </c>
      <c r="O28" s="11"/>
      <c r="P28" s="6">
        <v>13287.81</v>
      </c>
      <c r="Q28" s="2"/>
      <c r="R28" s="7">
        <f t="shared" si="12"/>
        <v>0</v>
      </c>
      <c r="S28" s="2"/>
      <c r="T28" s="6">
        <v>12212.15</v>
      </c>
      <c r="U28" s="2"/>
      <c r="V28" s="7">
        <f t="shared" si="13"/>
        <v>0</v>
      </c>
      <c r="W28" s="2"/>
      <c r="X28" s="6">
        <f t="shared" si="14"/>
        <v>1075.6599999999999</v>
      </c>
      <c r="Y28" s="2"/>
      <c r="Z28" s="7">
        <f t="shared" si="15"/>
        <v>8.8081132314948629E-2</v>
      </c>
    </row>
    <row r="29" spans="1:26" s="24" customFormat="1" hidden="1" outlineLevel="2" x14ac:dyDescent="0.25">
      <c r="A29" s="28"/>
      <c r="B29" s="11" t="str">
        <f>CONCATENATE("          ", "6002", " - ", "STAFF SALARIES")</f>
        <v xml:space="preserve">          6002 - STAFF SALARIES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>
        <v>0</v>
      </c>
      <c r="Q29" s="2"/>
      <c r="R29" s="7">
        <f t="shared" si="12"/>
        <v>0</v>
      </c>
      <c r="S29" s="2"/>
      <c r="T29" s="6"/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53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collapsed="1" x14ac:dyDescent="0.25">
      <c r="A31" s="10"/>
      <c r="B31" s="25" t="s">
        <v>0</v>
      </c>
      <c r="C31" s="10"/>
      <c r="D31" s="4">
        <f>SUM(OSRRefD25x_0)</f>
        <v>218527.34</v>
      </c>
      <c r="E31" s="4"/>
      <c r="F31" s="12">
        <f t="shared" ref="F31:F33" si="16">IF(D$12=0,0,D31/D$12)</f>
        <v>0</v>
      </c>
      <c r="G31" s="4"/>
      <c r="H31" s="4">
        <f>SUM(OSRRefH25x_0)</f>
        <v>219353.99</v>
      </c>
      <c r="I31" s="4"/>
      <c r="J31" s="12">
        <f t="shared" ref="J31:J33" si="17">IF(H$12=0,0,H31/H$12)</f>
        <v>0</v>
      </c>
      <c r="K31" s="4"/>
      <c r="L31" s="4">
        <f t="shared" ref="L31:L33" si="18">+D31-H31</f>
        <v>-826.64999999999418</v>
      </c>
      <c r="M31" s="4"/>
      <c r="N31" s="12">
        <f t="shared" ref="N31:N33" si="19">IF(H31=0,0,L31/H31)</f>
        <v>-3.7685660516136232E-3</v>
      </c>
      <c r="O31" s="10"/>
      <c r="P31" s="4">
        <f>SUM(OSRRefP25x_0)</f>
        <v>235123.12</v>
      </c>
      <c r="Q31" s="4"/>
      <c r="R31" s="12">
        <f t="shared" ref="R31:R33" si="20">IF(P$12=0,0,P31/P$12)</f>
        <v>0</v>
      </c>
      <c r="S31" s="4"/>
      <c r="T31" s="4">
        <f>SUM(OSRRefT25x_0)</f>
        <v>238198.2</v>
      </c>
      <c r="U31" s="4"/>
      <c r="V31" s="12">
        <f t="shared" ref="V31:V33" si="21">IF(T$12=0,0,T31/T$12)</f>
        <v>0</v>
      </c>
      <c r="W31" s="4"/>
      <c r="X31" s="4">
        <f t="shared" ref="X31:X33" si="22">+P31-T31</f>
        <v>-3075.0800000000163</v>
      </c>
      <c r="Y31" s="4"/>
      <c r="Z31" s="12">
        <f t="shared" ref="Z31:Z33" si="23">IF(T31=0,0,X31/T31)</f>
        <v>-1.2909753306280299E-2</v>
      </c>
    </row>
    <row r="32" spans="1:26" s="24" customFormat="1" hidden="1" outlineLevel="1" x14ac:dyDescent="0.25">
      <c r="A32" s="44"/>
      <c r="B32" s="11" t="str">
        <f>CONCATENATE("          ", "9160", " - ", "MISC. INCOME")</f>
        <v xml:space="preserve">          9160 - MISC. INCOME</v>
      </c>
      <c r="C32" s="11"/>
      <c r="D32" s="2">
        <f>--20000</f>
        <v>20000</v>
      </c>
      <c r="E32" s="2"/>
      <c r="F32" s="19">
        <f t="shared" si="16"/>
        <v>0</v>
      </c>
      <c r="G32" s="2"/>
      <c r="H32" s="2">
        <f>--20000</f>
        <v>20000</v>
      </c>
      <c r="I32" s="2"/>
      <c r="J32" s="19">
        <f t="shared" si="17"/>
        <v>0</v>
      </c>
      <c r="K32" s="2"/>
      <c r="L32" s="2">
        <f t="shared" si="18"/>
        <v>0</v>
      </c>
      <c r="M32" s="2"/>
      <c r="N32" s="19">
        <f t="shared" si="19"/>
        <v>0</v>
      </c>
      <c r="O32" s="11"/>
      <c r="P32" s="2">
        <f>--29962.34</f>
        <v>29962.34</v>
      </c>
      <c r="Q32" s="2"/>
      <c r="R32" s="19">
        <f t="shared" si="20"/>
        <v>0</v>
      </c>
      <c r="S32" s="2"/>
      <c r="T32" s="2">
        <f>--34943.51</f>
        <v>34943.51</v>
      </c>
      <c r="U32" s="2"/>
      <c r="V32" s="19">
        <f t="shared" si="21"/>
        <v>0</v>
      </c>
      <c r="W32" s="2"/>
      <c r="X32" s="2">
        <f t="shared" si="22"/>
        <v>-4981.1700000000019</v>
      </c>
      <c r="Y32" s="2"/>
      <c r="Z32" s="19">
        <f t="shared" si="23"/>
        <v>-0.1425492172938552</v>
      </c>
    </row>
    <row r="33" spans="1:26" s="24" customFormat="1" hidden="1" outlineLevel="1" x14ac:dyDescent="0.25">
      <c r="A33" s="44"/>
      <c r="B33" s="11" t="str">
        <f>CONCATENATE("          ", "9165", " - ", "OTHER INCOME")</f>
        <v xml:space="preserve">          9165 - OTHER INCOME</v>
      </c>
      <c r="C33" s="11"/>
      <c r="D33" s="2">
        <f>--198527.34</f>
        <v>198527.34</v>
      </c>
      <c r="E33" s="2"/>
      <c r="F33" s="19">
        <f t="shared" si="16"/>
        <v>0</v>
      </c>
      <c r="G33" s="2"/>
      <c r="H33" s="2">
        <f>--199353.99</f>
        <v>199353.99</v>
      </c>
      <c r="I33" s="2"/>
      <c r="J33" s="19">
        <f t="shared" si="17"/>
        <v>0</v>
      </c>
      <c r="K33" s="2"/>
      <c r="L33" s="2">
        <f t="shared" si="18"/>
        <v>-826.64999999999418</v>
      </c>
      <c r="M33" s="2"/>
      <c r="N33" s="19">
        <f t="shared" si="19"/>
        <v>-4.1466438670226475E-3</v>
      </c>
      <c r="O33" s="11"/>
      <c r="P33" s="2">
        <f>--205160.78</f>
        <v>205160.78</v>
      </c>
      <c r="Q33" s="2"/>
      <c r="R33" s="19">
        <f t="shared" si="20"/>
        <v>0</v>
      </c>
      <c r="S33" s="2"/>
      <c r="T33" s="2">
        <f>--203254.69</f>
        <v>203254.69</v>
      </c>
      <c r="U33" s="2"/>
      <c r="V33" s="19">
        <f t="shared" si="21"/>
        <v>0</v>
      </c>
      <c r="W33" s="2"/>
      <c r="X33" s="2">
        <f t="shared" si="22"/>
        <v>1906.0899999999965</v>
      </c>
      <c r="Y33" s="2"/>
      <c r="Z33" s="19">
        <f t="shared" si="23"/>
        <v>9.3778401866151107E-3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6" t="s">
        <v>3</v>
      </c>
      <c r="C35" s="26"/>
      <c r="D35" s="21">
        <f>+D16-D18+D31</f>
        <v>205553.63999999998</v>
      </c>
      <c r="E35" s="13"/>
      <c r="F35" s="20">
        <f>IF(D$12=0,0,D35/D$12)</f>
        <v>0</v>
      </c>
      <c r="G35" s="13"/>
      <c r="H35" s="21">
        <f>+H16-H18+H31</f>
        <v>212806.38999999998</v>
      </c>
      <c r="I35" s="13"/>
      <c r="J35" s="20">
        <f>IF(H$12=0,0,H35/H$12)</f>
        <v>0</v>
      </c>
      <c r="K35" s="15"/>
      <c r="L35" s="21">
        <f>+D35-H35</f>
        <v>-7252.75</v>
      </c>
      <c r="M35" s="15"/>
      <c r="N35" s="20">
        <f>IF(H35=0,0,L35/H35)</f>
        <v>-3.4081448400116184E-2</v>
      </c>
      <c r="O35" s="25"/>
      <c r="P35" s="21">
        <f>+P16-P18+P31</f>
        <v>206031.72</v>
      </c>
      <c r="Q35" s="13"/>
      <c r="R35" s="20">
        <f>IF(P$12=0,0,P35/P$12)</f>
        <v>0</v>
      </c>
      <c r="S35" s="13"/>
      <c r="T35" s="21">
        <f>+T16-T18+T31</f>
        <v>217285.37</v>
      </c>
      <c r="U35" s="13"/>
      <c r="V35" s="20">
        <f>IF(T$12=0,0,T35/T$12)</f>
        <v>0</v>
      </c>
      <c r="W35" s="15"/>
      <c r="X35" s="21">
        <f>+P35-T35</f>
        <v>-11253.649999999994</v>
      </c>
      <c r="Y35" s="15"/>
      <c r="Z35" s="20">
        <f>IF(T35=0,0,X35/T35)</f>
        <v>-5.1792028151734261E-2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51"/>
      <c r="B37" s="10" t="s">
        <v>13</v>
      </c>
      <c r="C37" s="10"/>
      <c r="D37" s="4"/>
      <c r="E37" s="4"/>
      <c r="F37" s="12">
        <f>IF(D$12=0,0,D37/D$12)</f>
        <v>0</v>
      </c>
      <c r="G37" s="4"/>
      <c r="H37" s="4"/>
      <c r="I37" s="4"/>
      <c r="J37" s="12">
        <f>IF(H$12=0,0,H37/H$12)</f>
        <v>0</v>
      </c>
      <c r="K37" s="4"/>
      <c r="L37" s="4">
        <f>+D37-H37</f>
        <v>0</v>
      </c>
      <c r="M37" s="4"/>
      <c r="N37" s="12">
        <f>IF(H37=0,0,L37/H37)</f>
        <v>0</v>
      </c>
      <c r="O37" s="10"/>
      <c r="P37" s="4"/>
      <c r="Q37" s="4"/>
      <c r="R37" s="12">
        <f>IF(P$12=0,0,P37/P$12)</f>
        <v>0</v>
      </c>
      <c r="S37" s="4"/>
      <c r="T37" s="4"/>
      <c r="U37" s="4"/>
      <c r="V37" s="12">
        <f>IF(T$12=0,0,T37/T$12)</f>
        <v>0</v>
      </c>
      <c r="W37" s="4"/>
      <c r="X37" s="4">
        <f>+P37-T37</f>
        <v>0</v>
      </c>
      <c r="Y37" s="4"/>
      <c r="Z37" s="12">
        <f>IF(T37=0,0,X37/T37)</f>
        <v>0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6" t="s">
        <v>4</v>
      </c>
      <c r="C39" s="26"/>
      <c r="D39" s="35">
        <f>+D35-D37</f>
        <v>205553.63999999998</v>
      </c>
      <c r="E39" s="13"/>
      <c r="F39" s="30">
        <f>IF(D$12=0,0,D39/D$12)</f>
        <v>0</v>
      </c>
      <c r="G39" s="13"/>
      <c r="H39" s="35">
        <f>+H35-H37</f>
        <v>212806.38999999998</v>
      </c>
      <c r="I39" s="13"/>
      <c r="J39" s="30">
        <f>IF(H$12=0,0,H39/H$12)</f>
        <v>0</v>
      </c>
      <c r="K39" s="15"/>
      <c r="L39" s="35">
        <f>D39-H39</f>
        <v>-7252.75</v>
      </c>
      <c r="M39" s="15"/>
      <c r="N39" s="30">
        <f>IF(H39=0,0,L39/H39)</f>
        <v>-3.4081448400116184E-2</v>
      </c>
      <c r="O39" s="25"/>
      <c r="P39" s="35">
        <f>+P35-P37</f>
        <v>206031.72</v>
      </c>
      <c r="Q39" s="13"/>
      <c r="R39" s="30">
        <f>IF(P$12=0,0,P39/P$12)</f>
        <v>0</v>
      </c>
      <c r="S39" s="13"/>
      <c r="T39" s="35">
        <f>+T35-T37</f>
        <v>217285.37</v>
      </c>
      <c r="U39" s="13"/>
      <c r="V39" s="30">
        <f>IF(T$12=0,0,T39/T$12)</f>
        <v>0</v>
      </c>
      <c r="W39" s="15"/>
      <c r="X39" s="35">
        <f>P39-T39</f>
        <v>-11253.649999999994</v>
      </c>
      <c r="Y39" s="15"/>
      <c r="Z39" s="30">
        <f>IF(T39=0,0,X39/T39)</f>
        <v>-5.1792028151734261E-2</v>
      </c>
    </row>
    <row r="40" spans="1:26" ht="15.75" thickTop="1" x14ac:dyDescent="0.25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.75" thickBot="1" x14ac:dyDescent="0.3">
      <c r="A42" s="10"/>
      <c r="B42" s="26" t="s">
        <v>5</v>
      </c>
      <c r="C42" s="26"/>
      <c r="D42" s="36">
        <f>SUM(D39:D41)</f>
        <v>205553.63999999998</v>
      </c>
      <c r="E42" s="13"/>
      <c r="F42" s="31">
        <f>IF(D$12=0,0,D42/D$12)</f>
        <v>0</v>
      </c>
      <c r="G42" s="13"/>
      <c r="H42" s="36">
        <f>SUM(H39:H41)</f>
        <v>212806.38999999998</v>
      </c>
      <c r="I42" s="13"/>
      <c r="J42" s="31">
        <f>IF(H$12=0,0,H42/H$12)</f>
        <v>0</v>
      </c>
      <c r="K42" s="15"/>
      <c r="L42" s="36">
        <f>+D42-H42</f>
        <v>-7252.75</v>
      </c>
      <c r="M42" s="15"/>
      <c r="N42" s="31">
        <f>IF(H42=0,0,L42/H42)</f>
        <v>-3.4081448400116184E-2</v>
      </c>
      <c r="O42" s="25"/>
      <c r="P42" s="36">
        <f>SUM(P39:P41)</f>
        <v>206031.72</v>
      </c>
      <c r="Q42" s="13"/>
      <c r="R42" s="31">
        <f>IF(P$12=0,0,P42/P$12)</f>
        <v>0</v>
      </c>
      <c r="S42" s="13"/>
      <c r="T42" s="36">
        <f>SUM(T39:T41)</f>
        <v>217285.37</v>
      </c>
      <c r="U42" s="13"/>
      <c r="V42" s="31">
        <f>IF(T$12=0,0,T42/T$12)</f>
        <v>0</v>
      </c>
      <c r="W42" s="15"/>
      <c r="X42" s="36">
        <f>+P42-T42</f>
        <v>-11253.649999999994</v>
      </c>
      <c r="Y42" s="15"/>
      <c r="Z42" s="31">
        <f>IF(T42=0,0,X42/T42)</f>
        <v>-5.1792028151734261E-2</v>
      </c>
    </row>
    <row r="43" spans="1:26" ht="15.75" thickTop="1" x14ac:dyDescent="0.25">
      <c r="A43" s="9"/>
      <c r="C43" s="9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A44" s="9"/>
      <c r="B44" s="55">
        <v>43756.463591122687</v>
      </c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  <row r="45" spans="1:26" x14ac:dyDescent="0.25">
      <c r="A45" s="9"/>
      <c r="B45" s="56" t="s">
        <v>313</v>
      </c>
      <c r="D45" s="18"/>
      <c r="E45" s="18"/>
      <c r="G45" s="18"/>
      <c r="H45" s="18"/>
      <c r="I45" s="18"/>
      <c r="J45" s="42"/>
      <c r="K45" s="18"/>
      <c r="L45" s="18"/>
      <c r="M45" s="18"/>
      <c r="P45" s="18"/>
      <c r="Q45" s="18"/>
      <c r="R45" s="42"/>
      <c r="S45" s="18"/>
      <c r="T45" s="18"/>
      <c r="U45" s="18"/>
      <c r="V45" s="42"/>
      <c r="W45" s="18"/>
      <c r="X45" s="18"/>
    </row>
    <row r="46" spans="1:26" x14ac:dyDescent="0.25">
      <c r="A46" s="9"/>
      <c r="B46" s="57"/>
      <c r="D46" s="18"/>
      <c r="E46" s="18"/>
      <c r="G46" s="18"/>
      <c r="H46" s="18"/>
      <c r="I46" s="18"/>
      <c r="J46" s="42"/>
      <c r="K46" s="18"/>
      <c r="L46" s="18"/>
      <c r="M46" s="18"/>
      <c r="P46" s="18"/>
      <c r="Q46" s="18"/>
      <c r="R46" s="42"/>
      <c r="S46" s="18"/>
      <c r="T46" s="18"/>
      <c r="U46" s="18"/>
      <c r="V46" s="42"/>
      <c r="W46" s="18"/>
      <c r="X46" s="18"/>
    </row>
    <row r="47" spans="1:26" x14ac:dyDescent="0.25">
      <c r="D47" s="18"/>
      <c r="E47" s="18"/>
      <c r="G47" s="18"/>
      <c r="H47" s="18"/>
      <c r="I47" s="18"/>
      <c r="J47" s="42"/>
      <c r="K47" s="18"/>
      <c r="L47" s="18"/>
      <c r="M47" s="18"/>
      <c r="P47" s="18"/>
      <c r="Q47" s="18"/>
      <c r="R47" s="42"/>
      <c r="S47" s="18"/>
      <c r="T47" s="18"/>
      <c r="U47" s="18"/>
      <c r="V47" s="42"/>
      <c r="W47" s="18"/>
      <c r="X47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298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300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1459282.9000000001</v>
      </c>
      <c r="E12" s="4"/>
      <c r="F12" s="12"/>
      <c r="G12" s="4"/>
      <c r="H12" s="4">
        <f>SUM(OSRRefH13x_0)</f>
        <v>1497476.24</v>
      </c>
      <c r="I12" s="4"/>
      <c r="J12" s="12"/>
      <c r="K12" s="4"/>
      <c r="L12" s="4">
        <f t="shared" ref="L12:L18" si="0">+D12-H12</f>
        <v>-38193.339999999851</v>
      </c>
      <c r="M12" s="4"/>
      <c r="N12" s="12">
        <f t="shared" ref="N12:N18" si="1">IF(H12=0,0,L12/H12)</f>
        <v>-2.5505139233461128E-2</v>
      </c>
      <c r="O12" s="10"/>
      <c r="P12" s="4">
        <f>SUM(OSRRefP13x_0)</f>
        <v>2475318.06</v>
      </c>
      <c r="Q12" s="4"/>
      <c r="R12" s="12"/>
      <c r="S12" s="4"/>
      <c r="T12" s="4">
        <f>SUM(OSRRefT13x_0)</f>
        <v>2468175.66</v>
      </c>
      <c r="U12" s="4"/>
      <c r="V12" s="12"/>
      <c r="W12" s="4"/>
      <c r="X12" s="4">
        <f t="shared" ref="X12:X18" si="2">+P12-T12</f>
        <v>7142.3999999999069</v>
      </c>
      <c r="Y12" s="4"/>
      <c r="Z12" s="12">
        <f t="shared" ref="Z12:Z18" si="3">IF(T12=0,0,X12/T12)</f>
        <v>2.893797275352722E-3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--1901.62</f>
        <v>1901.62</v>
      </c>
      <c r="E13" s="2"/>
      <c r="F13" s="19"/>
      <c r="G13" s="2"/>
      <c r="H13" s="2">
        <f>--1665.35</f>
        <v>1665.35</v>
      </c>
      <c r="I13" s="2"/>
      <c r="J13" s="19"/>
      <c r="K13" s="2"/>
      <c r="L13" s="2">
        <f t="shared" si="0"/>
        <v>236.26999999999998</v>
      </c>
      <c r="M13" s="2"/>
      <c r="N13" s="19">
        <f t="shared" si="1"/>
        <v>0.14187408052361364</v>
      </c>
      <c r="O13" s="11"/>
      <c r="P13" s="2">
        <f>--3334.01</f>
        <v>3334.01</v>
      </c>
      <c r="Q13" s="2"/>
      <c r="R13" s="19"/>
      <c r="S13" s="2"/>
      <c r="T13" s="2">
        <f>--4758.83</f>
        <v>4758.83</v>
      </c>
      <c r="U13" s="2"/>
      <c r="V13" s="19"/>
      <c r="W13" s="2"/>
      <c r="X13" s="2">
        <f t="shared" si="2"/>
        <v>-1424.8199999999997</v>
      </c>
      <c r="Y13" s="2"/>
      <c r="Z13" s="19">
        <f t="shared" si="3"/>
        <v>-0.29940552614823385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--233.67</f>
        <v>233.67</v>
      </c>
      <c r="E14" s="2"/>
      <c r="F14" s="19"/>
      <c r="G14" s="2"/>
      <c r="H14" s="2">
        <f>--136.96</f>
        <v>136.96</v>
      </c>
      <c r="I14" s="2"/>
      <c r="J14" s="19"/>
      <c r="K14" s="2"/>
      <c r="L14" s="2">
        <f t="shared" si="0"/>
        <v>96.70999999999998</v>
      </c>
      <c r="M14" s="2"/>
      <c r="N14" s="19">
        <f t="shared" si="1"/>
        <v>0.70611857476635498</v>
      </c>
      <c r="O14" s="11"/>
      <c r="P14" s="2">
        <f>--279.32</f>
        <v>279.32</v>
      </c>
      <c r="Q14" s="2"/>
      <c r="R14" s="19"/>
      <c r="S14" s="2"/>
      <c r="T14" s="2">
        <f>--171.68</f>
        <v>171.68</v>
      </c>
      <c r="U14" s="2"/>
      <c r="V14" s="19"/>
      <c r="W14" s="2"/>
      <c r="X14" s="2">
        <f t="shared" si="2"/>
        <v>107.63999999999999</v>
      </c>
      <c r="Y14" s="2"/>
      <c r="Z14" s="19">
        <f t="shared" si="3"/>
        <v>0.62698042870456649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--1416913.83</f>
        <v>1416913.83</v>
      </c>
      <c r="E15" s="2"/>
      <c r="F15" s="19"/>
      <c r="G15" s="2"/>
      <c r="H15" s="2">
        <f>--1457205.27</f>
        <v>1457205.27</v>
      </c>
      <c r="I15" s="2"/>
      <c r="J15" s="19"/>
      <c r="K15" s="2"/>
      <c r="L15" s="2">
        <f t="shared" si="0"/>
        <v>-40291.439999999944</v>
      </c>
      <c r="M15" s="2"/>
      <c r="N15" s="19">
        <f t="shared" si="1"/>
        <v>-2.764980392913343E-2</v>
      </c>
      <c r="O15" s="11"/>
      <c r="P15" s="2">
        <f>--2311448.04</f>
        <v>2311448.04</v>
      </c>
      <c r="Q15" s="2"/>
      <c r="R15" s="19"/>
      <c r="S15" s="2"/>
      <c r="T15" s="2">
        <f>--2331721.95</f>
        <v>2331721.9500000002</v>
      </c>
      <c r="U15" s="2"/>
      <c r="V15" s="19"/>
      <c r="W15" s="2"/>
      <c r="X15" s="2">
        <f t="shared" si="2"/>
        <v>-20273.910000000149</v>
      </c>
      <c r="Y15" s="2"/>
      <c r="Z15" s="19">
        <f t="shared" si="3"/>
        <v>-8.6948231541930411E-3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--39533.66</f>
        <v>39533.660000000003</v>
      </c>
      <c r="E16" s="2"/>
      <c r="F16" s="19"/>
      <c r="G16" s="2"/>
      <c r="H16" s="2">
        <f>--37400.93</f>
        <v>37400.93</v>
      </c>
      <c r="I16" s="2"/>
      <c r="J16" s="19"/>
      <c r="K16" s="2"/>
      <c r="L16" s="2">
        <f t="shared" si="0"/>
        <v>2132.7300000000032</v>
      </c>
      <c r="M16" s="2"/>
      <c r="N16" s="19">
        <f t="shared" si="1"/>
        <v>5.7023448347407489E-2</v>
      </c>
      <c r="O16" s="11"/>
      <c r="P16" s="2">
        <f>--159285.58</f>
        <v>159285.57999999999</v>
      </c>
      <c r="Q16" s="2"/>
      <c r="R16" s="19"/>
      <c r="S16" s="2"/>
      <c r="T16" s="2">
        <f>--129037.91</f>
        <v>129037.91</v>
      </c>
      <c r="U16" s="2"/>
      <c r="V16" s="19"/>
      <c r="W16" s="2"/>
      <c r="X16" s="2">
        <f t="shared" si="2"/>
        <v>30247.669999999984</v>
      </c>
      <c r="Y16" s="2"/>
      <c r="Z16" s="19">
        <f t="shared" si="3"/>
        <v>0.23440917479212103</v>
      </c>
    </row>
    <row r="17" spans="1:26" s="24" customFormat="1" hidden="1" outlineLevel="1" x14ac:dyDescent="0.2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>--700.12</f>
        <v>700.12</v>
      </c>
      <c r="E17" s="2"/>
      <c r="F17" s="19"/>
      <c r="G17" s="2"/>
      <c r="H17" s="2">
        <f>--1067.73</f>
        <v>1067.73</v>
      </c>
      <c r="I17" s="2"/>
      <c r="J17" s="19"/>
      <c r="K17" s="2"/>
      <c r="L17" s="2">
        <f t="shared" si="0"/>
        <v>-367.61</v>
      </c>
      <c r="M17" s="2"/>
      <c r="N17" s="19">
        <f t="shared" si="1"/>
        <v>-0.34429115975012409</v>
      </c>
      <c r="O17" s="11"/>
      <c r="P17" s="2">
        <f>--971.11</f>
        <v>971.11</v>
      </c>
      <c r="Q17" s="2"/>
      <c r="R17" s="19"/>
      <c r="S17" s="2"/>
      <c r="T17" s="2">
        <f>--1430.39</f>
        <v>1430.39</v>
      </c>
      <c r="U17" s="2"/>
      <c r="V17" s="19"/>
      <c r="W17" s="2"/>
      <c r="X17" s="2">
        <f t="shared" si="2"/>
        <v>-459.28000000000009</v>
      </c>
      <c r="Y17" s="2"/>
      <c r="Z17" s="19">
        <f t="shared" si="3"/>
        <v>-0.3210872559232098</v>
      </c>
    </row>
    <row r="18" spans="1:26" s="24" customFormat="1" hidden="1" outlineLevel="1" x14ac:dyDescent="0.25">
      <c r="A18" s="44"/>
      <c r="B18" s="11" t="str">
        <f>CONCATENATE("          ", "4159", " - ", "NON-TAXABLE SALES-FOOD")</f>
        <v xml:space="preserve">          4159 - NON-TAXABLE SALES-FOOD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--1054.9</f>
        <v>1054.9000000000001</v>
      </c>
      <c r="U18" s="2"/>
      <c r="V18" s="19"/>
      <c r="W18" s="2"/>
      <c r="X18" s="2">
        <f t="shared" si="2"/>
        <v>-1054.9000000000001</v>
      </c>
      <c r="Y18" s="2"/>
      <c r="Z18" s="19">
        <f t="shared" si="3"/>
        <v>-1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5" t="s">
        <v>8</v>
      </c>
      <c r="C20" s="10"/>
      <c r="D20" s="4">
        <f>SUM(OSRRefD16x_0)</f>
        <v>308220.23000000004</v>
      </c>
      <c r="E20" s="4"/>
      <c r="F20" s="12">
        <f t="shared" ref="F20:F22" si="4">IF(D$12=0,0,D20/D$12)</f>
        <v>0.21121348711754245</v>
      </c>
      <c r="G20" s="4"/>
      <c r="H20" s="4">
        <f>SUM(OSRRefH16x_0)</f>
        <v>299579.82999999996</v>
      </c>
      <c r="I20" s="4"/>
      <c r="J20" s="12">
        <f t="shared" ref="J20:J22" si="5">IF(H$12=0,0,H20/H$12)</f>
        <v>0.20005648303307969</v>
      </c>
      <c r="K20" s="4"/>
      <c r="L20" s="4">
        <f t="shared" ref="L20:L22" si="6">+D20-H20</f>
        <v>8640.4000000000815</v>
      </c>
      <c r="M20" s="4"/>
      <c r="N20" s="12">
        <f t="shared" ref="N20:N22" si="7">IF(H20=0,0,L20/H20)</f>
        <v>2.884172809631437E-2</v>
      </c>
      <c r="O20" s="10"/>
      <c r="P20" s="4">
        <f>SUM(OSRRefP16x_0)</f>
        <v>609071.32999999996</v>
      </c>
      <c r="Q20" s="4"/>
      <c r="R20" s="12">
        <f t="shared" ref="R20:R22" si="8">IF(P$12=0,0,P20/P$12)</f>
        <v>0.24605780559771778</v>
      </c>
      <c r="S20" s="4"/>
      <c r="T20" s="4">
        <f>SUM(OSRRefT16x_0)</f>
        <v>615386.35000000009</v>
      </c>
      <c r="U20" s="4"/>
      <c r="V20" s="12">
        <f t="shared" ref="V20:V22" si="9">IF(T$12=0,0,T20/T$12)</f>
        <v>0.24932842502790101</v>
      </c>
      <c r="W20" s="4"/>
      <c r="X20" s="4">
        <f t="shared" ref="X20:X22" si="10">+P20-T20</f>
        <v>-6315.020000000135</v>
      </c>
      <c r="Y20" s="4"/>
      <c r="Z20" s="12">
        <f t="shared" ref="Z20:Z22" si="11">IF(T20=0,0,X20/T20)</f>
        <v>-1.0261878574329987E-2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304869.08</v>
      </c>
      <c r="E21" s="2"/>
      <c r="F21" s="19">
        <f t="shared" si="4"/>
        <v>0.20891705097071991</v>
      </c>
      <c r="G21" s="2"/>
      <c r="H21" s="2">
        <v>300949.83999999997</v>
      </c>
      <c r="I21" s="2"/>
      <c r="J21" s="19">
        <f t="shared" si="5"/>
        <v>0.20097136232358517</v>
      </c>
      <c r="K21" s="2"/>
      <c r="L21" s="2">
        <f t="shared" si="6"/>
        <v>3919.2400000000489</v>
      </c>
      <c r="M21" s="2"/>
      <c r="N21" s="19">
        <f t="shared" si="7"/>
        <v>1.3022901092089131E-2</v>
      </c>
      <c r="O21" s="11"/>
      <c r="P21" s="2">
        <v>630005.13</v>
      </c>
      <c r="Q21" s="2"/>
      <c r="R21" s="19">
        <f t="shared" si="8"/>
        <v>0.25451481980461127</v>
      </c>
      <c r="S21" s="2"/>
      <c r="T21" s="2">
        <v>643307.17000000004</v>
      </c>
      <c r="U21" s="2"/>
      <c r="V21" s="19">
        <f t="shared" si="9"/>
        <v>0.26064075601491021</v>
      </c>
      <c r="W21" s="2"/>
      <c r="X21" s="2">
        <f t="shared" si="10"/>
        <v>-13302.040000000037</v>
      </c>
      <c r="Y21" s="2"/>
      <c r="Z21" s="19">
        <f t="shared" si="11"/>
        <v>-2.0677587038241834E-2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3351.15</v>
      </c>
      <c r="E22" s="2"/>
      <c r="F22" s="19">
        <f t="shared" si="4"/>
        <v>2.2964361468225248E-3</v>
      </c>
      <c r="G22" s="2"/>
      <c r="H22" s="2">
        <v>-1370.01</v>
      </c>
      <c r="I22" s="2"/>
      <c r="J22" s="19">
        <f t="shared" si="5"/>
        <v>-9.1487929050547076E-4</v>
      </c>
      <c r="K22" s="2"/>
      <c r="L22" s="2">
        <f t="shared" si="6"/>
        <v>4721.16</v>
      </c>
      <c r="M22" s="2"/>
      <c r="N22" s="19">
        <f t="shared" si="7"/>
        <v>-3.446077035934044</v>
      </c>
      <c r="O22" s="11"/>
      <c r="P22" s="2">
        <v>-20933.8</v>
      </c>
      <c r="Q22" s="2"/>
      <c r="R22" s="19">
        <f t="shared" si="8"/>
        <v>-8.4570142068934769E-3</v>
      </c>
      <c r="S22" s="2"/>
      <c r="T22" s="2">
        <v>-27920.82</v>
      </c>
      <c r="U22" s="2"/>
      <c r="V22" s="19">
        <f t="shared" si="9"/>
        <v>-1.1312330987009246E-2</v>
      </c>
      <c r="W22" s="2"/>
      <c r="X22" s="2">
        <f t="shared" si="10"/>
        <v>6987.02</v>
      </c>
      <c r="Y22" s="2"/>
      <c r="Z22" s="19">
        <f t="shared" si="11"/>
        <v>-0.25024408308925028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6</v>
      </c>
      <c r="C24" s="26"/>
      <c r="D24" s="21">
        <f>D12-D20</f>
        <v>1151062.6700000002</v>
      </c>
      <c r="E24" s="13"/>
      <c r="F24" s="20">
        <f>IF(D$12=0,0,D24/D$12)</f>
        <v>0.7887865128824576</v>
      </c>
      <c r="G24" s="13"/>
      <c r="H24" s="21">
        <f>H12-H20</f>
        <v>1197896.4100000001</v>
      </c>
      <c r="I24" s="13"/>
      <c r="J24" s="20">
        <f>IF(H$12=0,0,H24/H$12)</f>
        <v>0.79994351696692034</v>
      </c>
      <c r="K24" s="15"/>
      <c r="L24" s="21">
        <f>+D24-H24</f>
        <v>-46833.739999999991</v>
      </c>
      <c r="M24" s="15"/>
      <c r="N24" s="20">
        <f>IF(H24=0,0,L24/H24)</f>
        <v>-3.9096652773172584E-2</v>
      </c>
      <c r="O24" s="25"/>
      <c r="P24" s="21">
        <f>P12-P20</f>
        <v>1866246.73</v>
      </c>
      <c r="Q24" s="13"/>
      <c r="R24" s="20">
        <f>IF(P$12=0,0,P24/P$12)</f>
        <v>0.75394219440228216</v>
      </c>
      <c r="S24" s="13"/>
      <c r="T24" s="21">
        <f>T12-T20</f>
        <v>1852789.31</v>
      </c>
      <c r="U24" s="13"/>
      <c r="V24" s="20">
        <f>IF(T$12=0,0,T24/T$12)</f>
        <v>0.75067157497209902</v>
      </c>
      <c r="W24" s="15"/>
      <c r="X24" s="21">
        <f>+P24-T24</f>
        <v>13457.419999999925</v>
      </c>
      <c r="Y24" s="15"/>
      <c r="Z24" s="20">
        <f>IF(T24=0,0,X24/T24)</f>
        <v>7.2633299033876258E-3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9</v>
      </c>
      <c r="C26" s="10"/>
      <c r="D26" s="22">
        <f>SUM(OSRRefD22x_0)</f>
        <v>568917.11999999988</v>
      </c>
      <c r="E26" s="22"/>
      <c r="F26" s="34">
        <f t="shared" ref="F26:F36" si="12">IF(D$12=0,0,D26/D$12)</f>
        <v>0.38986074598695003</v>
      </c>
      <c r="G26" s="22"/>
      <c r="H26" s="22">
        <f>SUM(OSRRefH22x_0)</f>
        <v>493859.58</v>
      </c>
      <c r="I26" s="22"/>
      <c r="J26" s="34">
        <f t="shared" ref="J26:J36" si="13">IF(H$12=0,0,H26/H$12)</f>
        <v>0.32979460161584934</v>
      </c>
      <c r="K26" s="4"/>
      <c r="L26" s="22">
        <f t="shared" ref="L26:L36" si="14">+D26-H26</f>
        <v>75057.539999999863</v>
      </c>
      <c r="M26" s="4"/>
      <c r="N26" s="34">
        <f t="shared" ref="N26:N36" si="15">IF(H26=0,0,L26/H26)</f>
        <v>0.15198154098782463</v>
      </c>
      <c r="O26" s="10"/>
      <c r="P26" s="22">
        <f>SUM(OSRRefP22x_0)</f>
        <v>1344677.5299999996</v>
      </c>
      <c r="Q26" s="22"/>
      <c r="R26" s="34">
        <f t="shared" ref="R26:R36" si="16">IF(P$12=0,0,P26/P$12)</f>
        <v>0.54323424198666392</v>
      </c>
      <c r="S26" s="22"/>
      <c r="T26" s="22">
        <f>SUM(OSRRefT22x_0)</f>
        <v>1193492.3400000003</v>
      </c>
      <c r="U26" s="22"/>
      <c r="V26" s="34">
        <f t="shared" ref="V26:V36" si="17">IF(T$12=0,0,T26/T$12)</f>
        <v>0.48355243078606497</v>
      </c>
      <c r="W26" s="4"/>
      <c r="X26" s="22">
        <f t="shared" ref="X26:X36" si="18">+P26-T26</f>
        <v>151185.18999999925</v>
      </c>
      <c r="Y26" s="4"/>
      <c r="Z26" s="34">
        <f t="shared" ref="Z26:Z36" si="19">IF(T26=0,0,X26/T26)</f>
        <v>0.12667462113749234</v>
      </c>
    </row>
    <row r="27" spans="1:26" s="29" customFormat="1" outlineLevel="1" collapsed="1" x14ac:dyDescent="0.25">
      <c r="A27" s="27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89749.02</v>
      </c>
      <c r="E27" s="1"/>
      <c r="F27" s="5">
        <f t="shared" si="12"/>
        <v>6.150213916712105E-2</v>
      </c>
      <c r="G27" s="1"/>
      <c r="H27" s="1">
        <f>SUM(OSRRefH22_0x_0)</f>
        <v>84367.02</v>
      </c>
      <c r="I27" s="1"/>
      <c r="J27" s="5">
        <f t="shared" si="13"/>
        <v>5.6339471536456569E-2</v>
      </c>
      <c r="K27" s="1"/>
      <c r="L27" s="1">
        <f t="shared" si="14"/>
        <v>5382</v>
      </c>
      <c r="M27" s="1"/>
      <c r="N27" s="5">
        <f t="shared" si="15"/>
        <v>6.3792700038474745E-2</v>
      </c>
      <c r="O27" s="14"/>
      <c r="P27" s="1">
        <f>SUM(OSRRefP22_0x_0)</f>
        <v>277235.30999999994</v>
      </c>
      <c r="Q27" s="1"/>
      <c r="R27" s="5">
        <f t="shared" si="16"/>
        <v>0.11199987366472006</v>
      </c>
      <c r="S27" s="1"/>
      <c r="T27" s="1">
        <f>SUM(OSRRefT22_0x_0)</f>
        <v>244433.46</v>
      </c>
      <c r="U27" s="1"/>
      <c r="V27" s="5">
        <f t="shared" si="17"/>
        <v>9.9034061457359962E-2</v>
      </c>
      <c r="W27" s="1"/>
      <c r="X27" s="1">
        <f t="shared" si="18"/>
        <v>32801.849999999948</v>
      </c>
      <c r="Y27" s="1"/>
      <c r="Z27" s="5">
        <f t="shared" si="19"/>
        <v>0.13419541661767562</v>
      </c>
    </row>
    <row r="28" spans="1:26" s="24" customFormat="1" hidden="1" outlineLevel="2" x14ac:dyDescent="0.25">
      <c r="A28" s="28"/>
      <c r="B28" s="11" t="str">
        <f>CONCATENATE("          ", "6111", " - ", "F.I.C.A.")</f>
        <v xml:space="preserve">          6111 - F.I.C.A.</v>
      </c>
      <c r="C28" s="11"/>
      <c r="D28" s="6">
        <v>13110</v>
      </c>
      <c r="E28" s="2"/>
      <c r="F28" s="7">
        <f t="shared" si="12"/>
        <v>8.9838646091172578E-3</v>
      </c>
      <c r="G28" s="2"/>
      <c r="H28" s="6">
        <v>11400.89</v>
      </c>
      <c r="I28" s="2"/>
      <c r="J28" s="7">
        <f t="shared" si="13"/>
        <v>7.6134029345266939E-3</v>
      </c>
      <c r="K28" s="2"/>
      <c r="L28" s="6">
        <f t="shared" si="14"/>
        <v>1709.1100000000006</v>
      </c>
      <c r="M28" s="2"/>
      <c r="N28" s="7">
        <f t="shared" si="15"/>
        <v>0.14991022630689366</v>
      </c>
      <c r="O28" s="11"/>
      <c r="P28" s="6">
        <v>39143.93</v>
      </c>
      <c r="Q28" s="2"/>
      <c r="R28" s="7">
        <f t="shared" si="16"/>
        <v>1.5813697089092461E-2</v>
      </c>
      <c r="S28" s="2"/>
      <c r="T28" s="6">
        <v>35353</v>
      </c>
      <c r="U28" s="2"/>
      <c r="V28" s="7">
        <f t="shared" si="17"/>
        <v>1.4323534816804732E-2</v>
      </c>
      <c r="W28" s="2"/>
      <c r="X28" s="6">
        <f t="shared" si="18"/>
        <v>3790.9300000000003</v>
      </c>
      <c r="Y28" s="2"/>
      <c r="Z28" s="7">
        <f t="shared" si="19"/>
        <v>0.10723078663762624</v>
      </c>
    </row>
    <row r="29" spans="1:26" s="24" customFormat="1" hidden="1" outlineLevel="2" x14ac:dyDescent="0.25">
      <c r="A29" s="28"/>
      <c r="B29" s="11" t="str">
        <f>CONCATENATE("          ", "6112", " - ", "COMPENSATION INSURANCE")</f>
        <v xml:space="preserve">          6112 - COMPENSATION INSURANCE</v>
      </c>
      <c r="C29" s="11"/>
      <c r="D29" s="6">
        <v>11226.08</v>
      </c>
      <c r="E29" s="2"/>
      <c r="F29" s="7">
        <f t="shared" si="12"/>
        <v>7.6928743563019885E-3</v>
      </c>
      <c r="G29" s="2"/>
      <c r="H29" s="6"/>
      <c r="I29" s="2"/>
      <c r="J29" s="7">
        <f t="shared" si="13"/>
        <v>0</v>
      </c>
      <c r="K29" s="2"/>
      <c r="L29" s="6">
        <f t="shared" si="14"/>
        <v>11226.08</v>
      </c>
      <c r="M29" s="2"/>
      <c r="N29" s="7">
        <f t="shared" si="15"/>
        <v>0</v>
      </c>
      <c r="O29" s="11"/>
      <c r="P29" s="6">
        <v>25215.47</v>
      </c>
      <c r="Q29" s="2"/>
      <c r="R29" s="7">
        <f t="shared" si="16"/>
        <v>1.018675959565374E-2</v>
      </c>
      <c r="S29" s="2"/>
      <c r="T29" s="6">
        <v>13889.86</v>
      </c>
      <c r="U29" s="2"/>
      <c r="V29" s="7">
        <f t="shared" si="17"/>
        <v>5.6275816284486009E-3</v>
      </c>
      <c r="W29" s="2"/>
      <c r="X29" s="6">
        <f t="shared" si="18"/>
        <v>11325.61</v>
      </c>
      <c r="Y29" s="2"/>
      <c r="Z29" s="7">
        <f t="shared" si="19"/>
        <v>0.81538690814738235</v>
      </c>
    </row>
    <row r="30" spans="1:26" s="24" customFormat="1" hidden="1" outlineLevel="2" x14ac:dyDescent="0.25">
      <c r="A30" s="28"/>
      <c r="B30" s="11" t="str">
        <f>CONCATENATE("          ", "6113", " - ", "GROUP INSURANCE")</f>
        <v xml:space="preserve">          6113 - GROUP INSURANCE</v>
      </c>
      <c r="C30" s="11"/>
      <c r="D30" s="6">
        <v>45625.93</v>
      </c>
      <c r="E30" s="2"/>
      <c r="F30" s="7">
        <f t="shared" si="12"/>
        <v>3.1265993728837635E-2</v>
      </c>
      <c r="G30" s="2"/>
      <c r="H30" s="6">
        <v>51297.08</v>
      </c>
      <c r="I30" s="2"/>
      <c r="J30" s="7">
        <f t="shared" si="13"/>
        <v>3.4255688758039998E-2</v>
      </c>
      <c r="K30" s="2"/>
      <c r="L30" s="6">
        <f t="shared" si="14"/>
        <v>-5671.1500000000015</v>
      </c>
      <c r="M30" s="2"/>
      <c r="N30" s="7">
        <f t="shared" si="15"/>
        <v>-0.11055502574415545</v>
      </c>
      <c r="O30" s="11"/>
      <c r="P30" s="6">
        <v>135712.88999999998</v>
      </c>
      <c r="Q30" s="2"/>
      <c r="R30" s="7">
        <f t="shared" si="16"/>
        <v>5.4826445212458871E-2</v>
      </c>
      <c r="S30" s="2"/>
      <c r="T30" s="6">
        <v>119568.12999999999</v>
      </c>
      <c r="U30" s="2"/>
      <c r="V30" s="7">
        <f t="shared" si="17"/>
        <v>4.8443930445371944E-2</v>
      </c>
      <c r="W30" s="2"/>
      <c r="X30" s="6">
        <f t="shared" si="18"/>
        <v>16144.759999999995</v>
      </c>
      <c r="Y30" s="2"/>
      <c r="Z30" s="7">
        <f t="shared" si="19"/>
        <v>0.13502561259425899</v>
      </c>
    </row>
    <row r="31" spans="1:26" s="24" customFormat="1" hidden="1" outlineLevel="2" x14ac:dyDescent="0.25">
      <c r="A31" s="28"/>
      <c r="B31" s="11" t="str">
        <f>CONCATENATE("          ", "6114", " - ", "STATE UNEMPLOYMENT INSURANCE")</f>
        <v xml:space="preserve">          6114 - STATE UNEMPLOYMENT INSURANCE</v>
      </c>
      <c r="C31" s="11"/>
      <c r="D31" s="6">
        <v>755.68</v>
      </c>
      <c r="E31" s="2"/>
      <c r="F31" s="7">
        <f t="shared" si="12"/>
        <v>5.1784338732400678E-4</v>
      </c>
      <c r="G31" s="2"/>
      <c r="H31" s="6">
        <v>659.05</v>
      </c>
      <c r="I31" s="2"/>
      <c r="J31" s="7">
        <f t="shared" si="13"/>
        <v>4.4010714988038807E-4</v>
      </c>
      <c r="K31" s="2"/>
      <c r="L31" s="6">
        <f t="shared" si="14"/>
        <v>96.63</v>
      </c>
      <c r="M31" s="2"/>
      <c r="N31" s="7">
        <f t="shared" si="15"/>
        <v>0.14662013504286472</v>
      </c>
      <c r="O31" s="11"/>
      <c r="P31" s="6">
        <v>1696.23</v>
      </c>
      <c r="Q31" s="2"/>
      <c r="R31" s="7">
        <f t="shared" si="16"/>
        <v>6.8525739274087464E-4</v>
      </c>
      <c r="S31" s="2"/>
      <c r="T31" s="6">
        <v>1692.26</v>
      </c>
      <c r="U31" s="2"/>
      <c r="V31" s="7">
        <f t="shared" si="17"/>
        <v>6.8563191324883248E-4</v>
      </c>
      <c r="W31" s="2"/>
      <c r="X31" s="6">
        <f t="shared" si="18"/>
        <v>3.9700000000000273</v>
      </c>
      <c r="Y31" s="2"/>
      <c r="Z31" s="7">
        <f t="shared" si="19"/>
        <v>2.3459752047557867E-3</v>
      </c>
    </row>
    <row r="32" spans="1:26" s="24" customFormat="1" hidden="1" outlineLevel="2" x14ac:dyDescent="0.25">
      <c r="A32" s="28"/>
      <c r="B32" s="11" t="str">
        <f>CONCATENATE("          ", "6115", " - ", "P.E.R.S.")</f>
        <v xml:space="preserve">          6115 - P.E.R.S.</v>
      </c>
      <c r="C32" s="11"/>
      <c r="D32" s="6">
        <v>3962.54</v>
      </c>
      <c r="E32" s="2"/>
      <c r="F32" s="7">
        <f t="shared" si="12"/>
        <v>2.7154022019993517E-3</v>
      </c>
      <c r="G32" s="2"/>
      <c r="H32" s="6">
        <v>3594.01</v>
      </c>
      <c r="I32" s="2"/>
      <c r="J32" s="7">
        <f t="shared" si="13"/>
        <v>2.4000447579722536E-3</v>
      </c>
      <c r="K32" s="2"/>
      <c r="L32" s="6">
        <f t="shared" si="14"/>
        <v>368.52999999999975</v>
      </c>
      <c r="M32" s="2"/>
      <c r="N32" s="7">
        <f t="shared" si="15"/>
        <v>0.10254005971046261</v>
      </c>
      <c r="O32" s="11"/>
      <c r="P32" s="6">
        <v>12140.4</v>
      </c>
      <c r="Q32" s="2"/>
      <c r="R32" s="7">
        <f t="shared" si="16"/>
        <v>4.9045818378588481E-3</v>
      </c>
      <c r="S32" s="2"/>
      <c r="T32" s="6">
        <v>11899.73</v>
      </c>
      <c r="U32" s="2"/>
      <c r="V32" s="7">
        <f t="shared" si="17"/>
        <v>4.8212654361886051E-3</v>
      </c>
      <c r="W32" s="2"/>
      <c r="X32" s="6">
        <f t="shared" si="18"/>
        <v>240.67000000000007</v>
      </c>
      <c r="Y32" s="2"/>
      <c r="Z32" s="7">
        <f t="shared" si="19"/>
        <v>2.0224828630565576E-2</v>
      </c>
    </row>
    <row r="33" spans="1:26" s="24" customFormat="1" hidden="1" outlineLevel="2" x14ac:dyDescent="0.25">
      <c r="A33" s="28"/>
      <c r="B33" s="11" t="str">
        <f>CONCATENATE("          ", "6117", " - ", "RETIREMENT STAFF HOURLY")</f>
        <v xml:space="preserve">          6117 - RETIREMENT STAFF HOURLY</v>
      </c>
      <c r="C33" s="11"/>
      <c r="D33" s="6">
        <v>2285.4699999999998</v>
      </c>
      <c r="E33" s="2"/>
      <c r="F33" s="7">
        <f t="shared" si="12"/>
        <v>1.5661596527993301E-3</v>
      </c>
      <c r="G33" s="2"/>
      <c r="H33" s="6">
        <v>2238.44</v>
      </c>
      <c r="I33" s="2"/>
      <c r="J33" s="7">
        <f t="shared" si="13"/>
        <v>1.4948083583616659E-3</v>
      </c>
      <c r="K33" s="2"/>
      <c r="L33" s="6">
        <f t="shared" si="14"/>
        <v>47.029999999999745</v>
      </c>
      <c r="M33" s="2"/>
      <c r="N33" s="7">
        <f t="shared" si="15"/>
        <v>2.1010167795428844E-2</v>
      </c>
      <c r="O33" s="11"/>
      <c r="P33" s="6">
        <v>4832.78</v>
      </c>
      <c r="Q33" s="2"/>
      <c r="R33" s="7">
        <f t="shared" si="16"/>
        <v>1.9523874842976743E-3</v>
      </c>
      <c r="S33" s="2"/>
      <c r="T33" s="6">
        <v>4856.55</v>
      </c>
      <c r="U33" s="2"/>
      <c r="V33" s="7">
        <f t="shared" si="17"/>
        <v>1.9676678928111624E-3</v>
      </c>
      <c r="W33" s="2"/>
      <c r="X33" s="6">
        <f t="shared" si="18"/>
        <v>-23.770000000000437</v>
      </c>
      <c r="Y33" s="2"/>
      <c r="Z33" s="7">
        <f t="shared" si="19"/>
        <v>-4.8944209366732425E-3</v>
      </c>
    </row>
    <row r="34" spans="1:26" s="24" customFormat="1" hidden="1" outlineLevel="2" x14ac:dyDescent="0.25">
      <c r="A34" s="28"/>
      <c r="B34" s="11" t="str">
        <f>CONCATENATE("          ", "6118", " - ", "VACATION")</f>
        <v xml:space="preserve">          6118 - VACATION</v>
      </c>
      <c r="C34" s="11"/>
      <c r="D34" s="6">
        <v>7564.06</v>
      </c>
      <c r="E34" s="2"/>
      <c r="F34" s="7">
        <f t="shared" si="12"/>
        <v>5.1834089195453466E-3</v>
      </c>
      <c r="G34" s="2"/>
      <c r="H34" s="6">
        <v>7619</v>
      </c>
      <c r="I34" s="2"/>
      <c r="J34" s="7">
        <f t="shared" si="13"/>
        <v>5.0878937484844502E-3</v>
      </c>
      <c r="K34" s="2"/>
      <c r="L34" s="6">
        <f t="shared" si="14"/>
        <v>-54.9399999999996</v>
      </c>
      <c r="M34" s="2"/>
      <c r="N34" s="7">
        <f t="shared" si="15"/>
        <v>-7.2109200682503741E-3</v>
      </c>
      <c r="O34" s="11"/>
      <c r="P34" s="6">
        <v>25962.18</v>
      </c>
      <c r="Q34" s="2"/>
      <c r="R34" s="7">
        <f t="shared" si="16"/>
        <v>1.0488421839414043E-2</v>
      </c>
      <c r="S34" s="2"/>
      <c r="T34" s="6">
        <v>24889.01</v>
      </c>
      <c r="U34" s="2"/>
      <c r="V34" s="7">
        <f t="shared" si="17"/>
        <v>1.008397027948975E-2</v>
      </c>
      <c r="W34" s="2"/>
      <c r="X34" s="6">
        <f t="shared" si="18"/>
        <v>1073.1700000000019</v>
      </c>
      <c r="Y34" s="2"/>
      <c r="Z34" s="7">
        <f t="shared" si="19"/>
        <v>4.3118227683624298E-2</v>
      </c>
    </row>
    <row r="35" spans="1:26" s="24" customFormat="1" hidden="1" outlineLevel="2" x14ac:dyDescent="0.25">
      <c r="A35" s="28"/>
      <c r="B35" s="11" t="str">
        <f>CONCATENATE("          ", "6119", " - ", "SICK LEAVE")</f>
        <v xml:space="preserve">          6119 - SICK LEAVE</v>
      </c>
      <c r="C35" s="11"/>
      <c r="D35" s="6">
        <v>1648.91</v>
      </c>
      <c r="E35" s="2"/>
      <c r="F35" s="7">
        <f t="shared" si="12"/>
        <v>1.1299453998947016E-3</v>
      </c>
      <c r="G35" s="2"/>
      <c r="H35" s="6">
        <v>4849.72</v>
      </c>
      <c r="I35" s="2"/>
      <c r="J35" s="7">
        <f t="shared" si="13"/>
        <v>3.2385956253970349E-3</v>
      </c>
      <c r="K35" s="2"/>
      <c r="L35" s="6">
        <f t="shared" si="14"/>
        <v>-3200.8100000000004</v>
      </c>
      <c r="M35" s="2"/>
      <c r="N35" s="7">
        <f t="shared" si="15"/>
        <v>-0.65999892777314983</v>
      </c>
      <c r="O35" s="11"/>
      <c r="P35" s="6">
        <v>22823.329999999998</v>
      </c>
      <c r="Q35" s="2"/>
      <c r="R35" s="7">
        <f t="shared" si="16"/>
        <v>9.2203625743351933E-3</v>
      </c>
      <c r="S35" s="2"/>
      <c r="T35" s="6">
        <v>22216.83</v>
      </c>
      <c r="U35" s="2"/>
      <c r="V35" s="7">
        <f t="shared" si="17"/>
        <v>9.0013163811849609E-3</v>
      </c>
      <c r="W35" s="2"/>
      <c r="X35" s="6">
        <f t="shared" si="18"/>
        <v>606.49999999999636</v>
      </c>
      <c r="Y35" s="2"/>
      <c r="Z35" s="7">
        <f t="shared" si="19"/>
        <v>2.7299124132470577E-2</v>
      </c>
    </row>
    <row r="36" spans="1:26" s="24" customFormat="1" hidden="1" outlineLevel="2" x14ac:dyDescent="0.25">
      <c r="A36" s="28"/>
      <c r="B36" s="11" t="str">
        <f>CONCATENATE("          ", "6156", " - ", "EMPLOYEE MEALS")</f>
        <v xml:space="preserve">          6156 - EMPLOYEE MEALS</v>
      </c>
      <c r="C36" s="11"/>
      <c r="D36" s="6">
        <v>3570.35</v>
      </c>
      <c r="E36" s="2"/>
      <c r="F36" s="7">
        <f t="shared" si="12"/>
        <v>2.4466469113014343E-3</v>
      </c>
      <c r="G36" s="2"/>
      <c r="H36" s="6">
        <v>2708.83</v>
      </c>
      <c r="I36" s="2"/>
      <c r="J36" s="7">
        <f t="shared" si="13"/>
        <v>1.8089302037940849E-3</v>
      </c>
      <c r="K36" s="2"/>
      <c r="L36" s="6">
        <f t="shared" si="14"/>
        <v>861.52</v>
      </c>
      <c r="M36" s="2"/>
      <c r="N36" s="7">
        <f t="shared" si="15"/>
        <v>0.31804136841366937</v>
      </c>
      <c r="O36" s="11"/>
      <c r="P36" s="6">
        <v>9708.1</v>
      </c>
      <c r="Q36" s="2"/>
      <c r="R36" s="7">
        <f t="shared" si="16"/>
        <v>3.921960638868364E-3</v>
      </c>
      <c r="S36" s="2"/>
      <c r="T36" s="6">
        <v>10068.09</v>
      </c>
      <c r="U36" s="2"/>
      <c r="V36" s="7">
        <f t="shared" si="17"/>
        <v>4.0791626638113756E-3</v>
      </c>
      <c r="W36" s="2"/>
      <c r="X36" s="6">
        <f t="shared" si="18"/>
        <v>-359.98999999999978</v>
      </c>
      <c r="Y36" s="2"/>
      <c r="Z36" s="7">
        <f t="shared" si="19"/>
        <v>-3.575554052456819E-2</v>
      </c>
    </row>
    <row r="37" spans="1:26" s="29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290441.40000000002</v>
      </c>
      <c r="E37" s="1"/>
      <c r="F37" s="5">
        <f t="shared" ref="F37:F44" si="20">IF(D$12=0,0,D37/D$12)</f>
        <v>0.19903022230987563</v>
      </c>
      <c r="G37" s="1"/>
      <c r="H37" s="1">
        <f>SUM(OSRRefH22_1x_0)</f>
        <v>245856.66</v>
      </c>
      <c r="I37" s="1"/>
      <c r="J37" s="5">
        <f t="shared" ref="J37:J44" si="21">IF(H$12=0,0,H37/H$12)</f>
        <v>0.16418067508036055</v>
      </c>
      <c r="K37" s="1"/>
      <c r="L37" s="1">
        <f t="shared" ref="L37:L44" si="22">+D37-H37</f>
        <v>44584.74000000002</v>
      </c>
      <c r="M37" s="1"/>
      <c r="N37" s="5">
        <f t="shared" ref="N37:N44" si="23">IF(H37=0,0,L37/H37)</f>
        <v>0.18134444680083109</v>
      </c>
      <c r="O37" s="14"/>
      <c r="P37" s="1">
        <f>SUM(OSRRefP22_1x_0)</f>
        <v>688730.15999999992</v>
      </c>
      <c r="Q37" s="1"/>
      <c r="R37" s="5">
        <f t="shared" ref="R37:R44" si="24">IF(P$12=0,0,P37/P$12)</f>
        <v>0.27823905587308645</v>
      </c>
      <c r="S37" s="1"/>
      <c r="T37" s="1">
        <f>SUM(OSRRefT22_1x_0)</f>
        <v>609637.22</v>
      </c>
      <c r="U37" s="1"/>
      <c r="V37" s="5">
        <f t="shared" ref="V37:V44" si="25">IF(T$12=0,0,T37/T$12)</f>
        <v>0.24699912161033138</v>
      </c>
      <c r="W37" s="1"/>
      <c r="X37" s="1">
        <f t="shared" ref="X37:X44" si="26">+P37-T37</f>
        <v>79092.939999999944</v>
      </c>
      <c r="Y37" s="1"/>
      <c r="Z37" s="5">
        <f t="shared" ref="Z37:Z44" si="27">IF(T37=0,0,X37/T37)</f>
        <v>0.12973771516115756</v>
      </c>
    </row>
    <row r="38" spans="1:26" s="24" customFormat="1" hidden="1" outlineLevel="2" x14ac:dyDescent="0.25">
      <c r="A38" s="28"/>
      <c r="B38" s="11" t="str">
        <f>CONCATENATE("          ", "6001", " - ", "ADMINISTRATIVE SALARIES")</f>
        <v xml:space="preserve">          6001 - ADMINISTRATIVE SALARIES</v>
      </c>
      <c r="C38" s="11"/>
      <c r="D38" s="6">
        <v>8145.04</v>
      </c>
      <c r="E38" s="2"/>
      <c r="F38" s="7">
        <f t="shared" si="20"/>
        <v>5.5815359722230689E-3</v>
      </c>
      <c r="G38" s="2"/>
      <c r="H38" s="6">
        <v>7907.8</v>
      </c>
      <c r="I38" s="2"/>
      <c r="J38" s="7">
        <f t="shared" si="21"/>
        <v>5.280751566382115E-3</v>
      </c>
      <c r="K38" s="2"/>
      <c r="L38" s="6">
        <f t="shared" si="22"/>
        <v>237.23999999999978</v>
      </c>
      <c r="M38" s="2"/>
      <c r="N38" s="7">
        <f t="shared" si="23"/>
        <v>3.0000758744530689E-2</v>
      </c>
      <c r="O38" s="11"/>
      <c r="P38" s="6">
        <v>21176.85</v>
      </c>
      <c r="Q38" s="2"/>
      <c r="R38" s="7">
        <f t="shared" si="24"/>
        <v>8.5552036088647129E-3</v>
      </c>
      <c r="S38" s="2"/>
      <c r="T38" s="6">
        <v>24118.84</v>
      </c>
      <c r="U38" s="2"/>
      <c r="V38" s="7">
        <f t="shared" si="25"/>
        <v>9.7719300902594577E-3</v>
      </c>
      <c r="W38" s="2"/>
      <c r="X38" s="6">
        <f t="shared" si="26"/>
        <v>-2941.9900000000016</v>
      </c>
      <c r="Y38" s="2"/>
      <c r="Z38" s="7">
        <f t="shared" si="27"/>
        <v>-0.12197891772572816</v>
      </c>
    </row>
    <row r="39" spans="1:26" s="24" customFormat="1" hidden="1" outlineLevel="2" x14ac:dyDescent="0.25">
      <c r="A39" s="28"/>
      <c r="B39" s="11" t="str">
        <f>CONCATENATE("          ", "6002", " - ", "STAFF SALARIES")</f>
        <v xml:space="preserve">          6002 - STAFF SALARIES</v>
      </c>
      <c r="C39" s="11"/>
      <c r="D39" s="6">
        <v>37762.21</v>
      </c>
      <c r="E39" s="2"/>
      <c r="F39" s="7">
        <f t="shared" si="20"/>
        <v>2.5877237374603648E-2</v>
      </c>
      <c r="G39" s="2"/>
      <c r="H39" s="6">
        <v>37010.6</v>
      </c>
      <c r="I39" s="2"/>
      <c r="J39" s="7">
        <f t="shared" si="21"/>
        <v>2.4715317018986556E-2</v>
      </c>
      <c r="K39" s="2"/>
      <c r="L39" s="6">
        <f t="shared" si="22"/>
        <v>751.61000000000058</v>
      </c>
      <c r="M39" s="2"/>
      <c r="N39" s="7">
        <f t="shared" si="23"/>
        <v>2.0307965826006621E-2</v>
      </c>
      <c r="O39" s="11"/>
      <c r="P39" s="6">
        <v>120589.31999999999</v>
      </c>
      <c r="Q39" s="2"/>
      <c r="R39" s="7">
        <f t="shared" si="24"/>
        <v>4.8716697037309215E-2</v>
      </c>
      <c r="S39" s="2"/>
      <c r="T39" s="6">
        <v>110311.34</v>
      </c>
      <c r="U39" s="2"/>
      <c r="V39" s="7">
        <f t="shared" si="25"/>
        <v>4.4693472100766116E-2</v>
      </c>
      <c r="W39" s="2"/>
      <c r="X39" s="6">
        <f t="shared" si="26"/>
        <v>10277.979999999996</v>
      </c>
      <c r="Y39" s="2"/>
      <c r="Z39" s="7">
        <f t="shared" si="27"/>
        <v>9.3172469847614903E-2</v>
      </c>
    </row>
    <row r="40" spans="1:26" s="24" customFormat="1" hidden="1" outlineLevel="2" x14ac:dyDescent="0.25">
      <c r="A40" s="28"/>
      <c r="B40" s="11" t="str">
        <f>CONCATENATE("          ", "6004", " - ", "STAFF HOURLY")</f>
        <v xml:space="preserve">          6004 - STAFF HOURLY</v>
      </c>
      <c r="C40" s="11"/>
      <c r="D40" s="6">
        <v>63403.87999999999</v>
      </c>
      <c r="E40" s="2"/>
      <c r="F40" s="7">
        <f t="shared" si="20"/>
        <v>4.344865550058867E-2</v>
      </c>
      <c r="G40" s="2"/>
      <c r="H40" s="6">
        <v>61333.36</v>
      </c>
      <c r="I40" s="2"/>
      <c r="J40" s="7">
        <f t="shared" si="21"/>
        <v>4.0957818469293375E-2</v>
      </c>
      <c r="K40" s="2"/>
      <c r="L40" s="6">
        <f t="shared" si="22"/>
        <v>2070.5199999999895</v>
      </c>
      <c r="M40" s="2"/>
      <c r="N40" s="7">
        <f t="shared" si="23"/>
        <v>3.3758463583276534E-2</v>
      </c>
      <c r="O40" s="11"/>
      <c r="P40" s="6">
        <v>146921.47999999998</v>
      </c>
      <c r="Q40" s="2"/>
      <c r="R40" s="7">
        <f t="shared" si="24"/>
        <v>5.935458653745692E-2</v>
      </c>
      <c r="S40" s="2"/>
      <c r="T40" s="6">
        <v>160352.78</v>
      </c>
      <c r="U40" s="2"/>
      <c r="V40" s="7">
        <f t="shared" si="25"/>
        <v>6.4968139261206384E-2</v>
      </c>
      <c r="W40" s="2"/>
      <c r="X40" s="6">
        <f t="shared" si="26"/>
        <v>-13431.300000000017</v>
      </c>
      <c r="Y40" s="2"/>
      <c r="Z40" s="7">
        <f t="shared" si="27"/>
        <v>-8.3760942591703233E-2</v>
      </c>
    </row>
    <row r="41" spans="1:26" s="24" customFormat="1" hidden="1" outlineLevel="2" x14ac:dyDescent="0.25">
      <c r="A41" s="28"/>
      <c r="B41" s="11" t="str">
        <f>CONCATENATE("          ", "6005", " - ", "TEMPORARY WAGES-HOURLY")</f>
        <v xml:space="preserve">          6005 - TEMPORARY WAGES-HOURLY</v>
      </c>
      <c r="C41" s="11"/>
      <c r="D41" s="6">
        <v>54042.879999999997</v>
      </c>
      <c r="E41" s="2"/>
      <c r="F41" s="7">
        <f t="shared" si="20"/>
        <v>3.7033860946359333E-2</v>
      </c>
      <c r="G41" s="2"/>
      <c r="H41" s="6">
        <v>42599.53</v>
      </c>
      <c r="I41" s="2"/>
      <c r="J41" s="7">
        <f t="shared" si="21"/>
        <v>2.8447549858954691E-2</v>
      </c>
      <c r="K41" s="2"/>
      <c r="L41" s="6">
        <f t="shared" si="22"/>
        <v>11443.349999999999</v>
      </c>
      <c r="M41" s="2"/>
      <c r="N41" s="7">
        <f t="shared" si="23"/>
        <v>0.26862620315294555</v>
      </c>
      <c r="O41" s="11"/>
      <c r="P41" s="6">
        <v>118567.32999999999</v>
      </c>
      <c r="Q41" s="2"/>
      <c r="R41" s="7">
        <f t="shared" si="24"/>
        <v>4.7899836354767265E-2</v>
      </c>
      <c r="S41" s="2"/>
      <c r="T41" s="6">
        <v>90430.81</v>
      </c>
      <c r="U41" s="2"/>
      <c r="V41" s="7">
        <f t="shared" si="25"/>
        <v>3.6638725300451265E-2</v>
      </c>
      <c r="W41" s="2"/>
      <c r="X41" s="6">
        <f t="shared" si="26"/>
        <v>28136.51999999999</v>
      </c>
      <c r="Y41" s="2"/>
      <c r="Z41" s="7">
        <f t="shared" si="27"/>
        <v>0.31113864843187838</v>
      </c>
    </row>
    <row r="42" spans="1:26" s="24" customFormat="1" hidden="1" outlineLevel="2" x14ac:dyDescent="0.25">
      <c r="A42" s="28"/>
      <c r="B42" s="11" t="str">
        <f>CONCATENATE("          ", "6006", " - ", "TEMPORARY PART TIME")</f>
        <v xml:space="preserve">          6006 - TEMPORARY PART TIME</v>
      </c>
      <c r="C42" s="11"/>
      <c r="D42" s="6">
        <v>5666.35</v>
      </c>
      <c r="E42" s="2"/>
      <c r="F42" s="7">
        <f t="shared" si="20"/>
        <v>3.8829688198223937E-3</v>
      </c>
      <c r="G42" s="2"/>
      <c r="H42" s="6">
        <v>772.56</v>
      </c>
      <c r="I42" s="2"/>
      <c r="J42" s="7">
        <f t="shared" si="21"/>
        <v>5.1590801868081724E-4</v>
      </c>
      <c r="K42" s="2"/>
      <c r="L42" s="6">
        <f t="shared" si="22"/>
        <v>4893.7900000000009</v>
      </c>
      <c r="M42" s="2"/>
      <c r="N42" s="7">
        <f t="shared" si="23"/>
        <v>6.3345112353733057</v>
      </c>
      <c r="O42" s="11"/>
      <c r="P42" s="6">
        <v>16942.230000000003</v>
      </c>
      <c r="Q42" s="2"/>
      <c r="R42" s="7">
        <f t="shared" si="24"/>
        <v>6.8444658784576565E-3</v>
      </c>
      <c r="S42" s="2"/>
      <c r="T42" s="6">
        <v>4411.0600000000004</v>
      </c>
      <c r="U42" s="2"/>
      <c r="V42" s="7">
        <f t="shared" si="25"/>
        <v>1.7871742564708705E-3</v>
      </c>
      <c r="W42" s="2"/>
      <c r="X42" s="6">
        <f t="shared" si="26"/>
        <v>12531.170000000002</v>
      </c>
      <c r="Y42" s="2"/>
      <c r="Z42" s="7">
        <f t="shared" si="27"/>
        <v>2.8408523121426597</v>
      </c>
    </row>
    <row r="43" spans="1:26" s="24" customFormat="1" hidden="1" outlineLevel="2" x14ac:dyDescent="0.25">
      <c r="A43" s="28"/>
      <c r="B43" s="11" t="str">
        <f>CONCATENATE("          ", "6007", " - ", "STUDENT HOURLY")</f>
        <v xml:space="preserve">          6007 - STUDENT HOURLY</v>
      </c>
      <c r="C43" s="11"/>
      <c r="D43" s="6">
        <v>96594.540000000008</v>
      </c>
      <c r="E43" s="2"/>
      <c r="F43" s="7">
        <f t="shared" si="20"/>
        <v>6.6193155556061131E-2</v>
      </c>
      <c r="G43" s="2"/>
      <c r="H43" s="6">
        <v>75471.679999999993</v>
      </c>
      <c r="I43" s="2"/>
      <c r="J43" s="7">
        <f t="shared" si="21"/>
        <v>5.0399250408140028E-2</v>
      </c>
      <c r="K43" s="2"/>
      <c r="L43" s="6">
        <f t="shared" si="22"/>
        <v>21122.860000000015</v>
      </c>
      <c r="M43" s="2"/>
      <c r="N43" s="7">
        <f t="shared" si="23"/>
        <v>0.27987796217071115</v>
      </c>
      <c r="O43" s="11"/>
      <c r="P43" s="6">
        <v>220669.95</v>
      </c>
      <c r="Q43" s="2"/>
      <c r="R43" s="7">
        <f t="shared" si="24"/>
        <v>8.9148119413793636E-2</v>
      </c>
      <c r="S43" s="2"/>
      <c r="T43" s="6">
        <v>187083.88</v>
      </c>
      <c r="U43" s="2"/>
      <c r="V43" s="7">
        <f t="shared" si="25"/>
        <v>7.5798446209456583E-2</v>
      </c>
      <c r="W43" s="2"/>
      <c r="X43" s="6">
        <f t="shared" si="26"/>
        <v>33586.070000000007</v>
      </c>
      <c r="Y43" s="2"/>
      <c r="Z43" s="7">
        <f t="shared" si="27"/>
        <v>0.17952412575578403</v>
      </c>
    </row>
    <row r="44" spans="1:26" s="24" customFormat="1" hidden="1" outlineLevel="2" x14ac:dyDescent="0.25">
      <c r="A44" s="28"/>
      <c r="B44" s="11" t="str">
        <f>CONCATENATE("          ", "6008", " - ", "STUDENT HOURLY-FICA EXEMPT")</f>
        <v xml:space="preserve">          6008 - STUDENT HOURLY-FICA EXEMPT</v>
      </c>
      <c r="C44" s="11"/>
      <c r="D44" s="6">
        <v>24826.5</v>
      </c>
      <c r="E44" s="2"/>
      <c r="F44" s="7">
        <f t="shared" si="20"/>
        <v>1.7012808140217363E-2</v>
      </c>
      <c r="G44" s="2"/>
      <c r="H44" s="6">
        <v>20761.129999999997</v>
      </c>
      <c r="I44" s="2"/>
      <c r="J44" s="7">
        <f t="shared" si="21"/>
        <v>1.3864079739922951E-2</v>
      </c>
      <c r="K44" s="2"/>
      <c r="L44" s="6">
        <f t="shared" si="22"/>
        <v>4065.3700000000026</v>
      </c>
      <c r="M44" s="2"/>
      <c r="N44" s="7">
        <f t="shared" si="23"/>
        <v>0.1958164126904462</v>
      </c>
      <c r="O44" s="11"/>
      <c r="P44" s="6">
        <v>43863</v>
      </c>
      <c r="Q44" s="2"/>
      <c r="R44" s="7">
        <f t="shared" si="24"/>
        <v>1.7720147042437042E-2</v>
      </c>
      <c r="S44" s="2"/>
      <c r="T44" s="6">
        <v>32928.51</v>
      </c>
      <c r="U44" s="2"/>
      <c r="V44" s="7">
        <f t="shared" si="25"/>
        <v>1.3341234391720726E-2</v>
      </c>
      <c r="W44" s="2"/>
      <c r="X44" s="6">
        <f t="shared" si="26"/>
        <v>10934.489999999998</v>
      </c>
      <c r="Y44" s="2"/>
      <c r="Z44" s="7">
        <f t="shared" si="27"/>
        <v>0.3320675609069465</v>
      </c>
    </row>
    <row r="45" spans="1:26" s="29" customFormat="1" outlineLevel="1" collapsed="1" x14ac:dyDescent="0.25">
      <c r="A45" s="27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95.17</v>
      </c>
      <c r="E45" s="1"/>
      <c r="F45" s="5">
        <f t="shared" ref="F45:F68" si="28">IF(D$12=0,0,D45/D$12)</f>
        <v>6.521696375665061E-5</v>
      </c>
      <c r="G45" s="1"/>
      <c r="H45" s="1">
        <f>SUM(OSRRefH22_2x_0)</f>
        <v>4499.8100000000004</v>
      </c>
      <c r="I45" s="1"/>
      <c r="J45" s="5">
        <f t="shared" ref="J45:J68" si="29">IF(H$12=0,0,H45/H$12)</f>
        <v>3.0049291466554425E-3</v>
      </c>
      <c r="K45" s="1"/>
      <c r="L45" s="1">
        <f t="shared" ref="L45:L68" si="30">+D45-H45</f>
        <v>-4404.6400000000003</v>
      </c>
      <c r="M45" s="1"/>
      <c r="N45" s="5">
        <f t="shared" ref="N45:N68" si="31">IF(H45=0,0,L45/H45)</f>
        <v>-0.97885021812032058</v>
      </c>
      <c r="O45" s="14"/>
      <c r="P45" s="1">
        <f>SUM(OSRRefP22_2x_0)</f>
        <v>6882.37</v>
      </c>
      <c r="Q45" s="1"/>
      <c r="R45" s="5">
        <f t="shared" ref="R45:R68" si="32">IF(P$12=0,0,P45/P$12)</f>
        <v>2.7803982491041977E-3</v>
      </c>
      <c r="S45" s="1"/>
      <c r="T45" s="1">
        <f>SUM(OSRRefT22_2x_0)</f>
        <v>9659.5400000000009</v>
      </c>
      <c r="U45" s="1"/>
      <c r="V45" s="5">
        <f t="shared" ref="V45:V68" si="33">IF(T$12=0,0,T45/T$12)</f>
        <v>3.9136355473175684E-3</v>
      </c>
      <c r="W45" s="1"/>
      <c r="X45" s="1">
        <f t="shared" ref="X45:X68" si="34">+P45-T45</f>
        <v>-2777.170000000001</v>
      </c>
      <c r="Y45" s="1"/>
      <c r="Z45" s="5">
        <f t="shared" ref="Z45:Z68" si="35">IF(T45=0,0,X45/T45)</f>
        <v>-0.28750540916027068</v>
      </c>
    </row>
    <row r="46" spans="1:26" s="24" customFormat="1" hidden="1" outlineLevel="2" x14ac:dyDescent="0.25">
      <c r="A46" s="28"/>
      <c r="B46" s="11" t="str">
        <f>CONCATENATE("          ", "6362", " - ", "ADVERTISING EXPENSE")</f>
        <v xml:space="preserve">          6362 - ADVERTISING EXPENSE</v>
      </c>
      <c r="C46" s="11"/>
      <c r="D46" s="6">
        <v>95.17</v>
      </c>
      <c r="E46" s="2"/>
      <c r="F46" s="7">
        <f t="shared" si="28"/>
        <v>6.521696375665061E-5</v>
      </c>
      <c r="G46" s="2"/>
      <c r="H46" s="6">
        <v>4499.8100000000004</v>
      </c>
      <c r="I46" s="2"/>
      <c r="J46" s="7">
        <f t="shared" si="29"/>
        <v>3.0049291466554425E-3</v>
      </c>
      <c r="K46" s="2"/>
      <c r="L46" s="6">
        <f t="shared" si="30"/>
        <v>-4404.6400000000003</v>
      </c>
      <c r="M46" s="2"/>
      <c r="N46" s="7">
        <f t="shared" si="31"/>
        <v>-0.97885021812032058</v>
      </c>
      <c r="O46" s="11"/>
      <c r="P46" s="6">
        <v>6882.37</v>
      </c>
      <c r="Q46" s="2"/>
      <c r="R46" s="7">
        <f t="shared" si="32"/>
        <v>2.7803982491041977E-3</v>
      </c>
      <c r="S46" s="2"/>
      <c r="T46" s="6">
        <v>9659.5400000000009</v>
      </c>
      <c r="U46" s="2"/>
      <c r="V46" s="7">
        <f t="shared" si="33"/>
        <v>3.9136355473175684E-3</v>
      </c>
      <c r="W46" s="2"/>
      <c r="X46" s="6">
        <f t="shared" si="34"/>
        <v>-2777.170000000001</v>
      </c>
      <c r="Y46" s="2"/>
      <c r="Z46" s="7">
        <f t="shared" si="35"/>
        <v>-0.28750540916027068</v>
      </c>
    </row>
    <row r="47" spans="1:26" s="29" customFormat="1" outlineLevel="1" collapsed="1" x14ac:dyDescent="0.25">
      <c r="A47" s="27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19.36</v>
      </c>
      <c r="E47" s="1"/>
      <c r="F47" s="5">
        <f t="shared" si="28"/>
        <v>1.3266790147407332E-5</v>
      </c>
      <c r="G47" s="1"/>
      <c r="H47" s="1">
        <f>SUM(OSRRefH22_3x_0)</f>
        <v>37.92</v>
      </c>
      <c r="I47" s="1"/>
      <c r="J47" s="5">
        <f t="shared" si="29"/>
        <v>2.5322605452491188E-5</v>
      </c>
      <c r="K47" s="1"/>
      <c r="L47" s="1">
        <f t="shared" si="30"/>
        <v>-18.560000000000002</v>
      </c>
      <c r="M47" s="1"/>
      <c r="N47" s="5">
        <f t="shared" si="31"/>
        <v>-0.48945147679324896</v>
      </c>
      <c r="O47" s="14"/>
      <c r="P47" s="1">
        <f>SUM(OSRRefP22_3x_0)</f>
        <v>16.97</v>
      </c>
      <c r="Q47" s="1"/>
      <c r="R47" s="5">
        <f t="shared" si="32"/>
        <v>6.8556846387651687E-6</v>
      </c>
      <c r="S47" s="1"/>
      <c r="T47" s="1">
        <f>SUM(OSRRefT22_3x_0)</f>
        <v>31.89</v>
      </c>
      <c r="U47" s="1"/>
      <c r="V47" s="5">
        <f t="shared" si="33"/>
        <v>1.2920474225890389E-5</v>
      </c>
      <c r="W47" s="1"/>
      <c r="X47" s="1">
        <f t="shared" si="34"/>
        <v>-14.920000000000002</v>
      </c>
      <c r="Y47" s="1"/>
      <c r="Z47" s="5">
        <f t="shared" si="35"/>
        <v>-0.46785826277830045</v>
      </c>
    </row>
    <row r="48" spans="1:26" s="24" customFormat="1" hidden="1" outlineLevel="2" x14ac:dyDescent="0.25">
      <c r="A48" s="28"/>
      <c r="B48" s="11" t="str">
        <f>CONCATENATE("          ", "6272", " - ", "CASH (OVER/SHORT)")</f>
        <v xml:space="preserve">          6272 - CASH (OVER/SHORT)</v>
      </c>
      <c r="C48" s="11"/>
      <c r="D48" s="6">
        <v>19.36</v>
      </c>
      <c r="E48" s="2"/>
      <c r="F48" s="7">
        <f t="shared" si="28"/>
        <v>1.3266790147407332E-5</v>
      </c>
      <c r="G48" s="2"/>
      <c r="H48" s="6">
        <v>37.92</v>
      </c>
      <c r="I48" s="2"/>
      <c r="J48" s="7">
        <f t="shared" si="29"/>
        <v>2.5322605452491188E-5</v>
      </c>
      <c r="K48" s="2"/>
      <c r="L48" s="6">
        <f t="shared" si="30"/>
        <v>-18.560000000000002</v>
      </c>
      <c r="M48" s="2"/>
      <c r="N48" s="7">
        <f t="shared" si="31"/>
        <v>-0.48945147679324896</v>
      </c>
      <c r="O48" s="11"/>
      <c r="P48" s="6">
        <v>16.97</v>
      </c>
      <c r="Q48" s="2"/>
      <c r="R48" s="7">
        <f t="shared" si="32"/>
        <v>6.8556846387651687E-6</v>
      </c>
      <c r="S48" s="2"/>
      <c r="T48" s="6">
        <v>31.89</v>
      </c>
      <c r="U48" s="2"/>
      <c r="V48" s="7">
        <f t="shared" si="33"/>
        <v>1.2920474225890389E-5</v>
      </c>
      <c r="W48" s="2"/>
      <c r="X48" s="6">
        <f t="shared" si="34"/>
        <v>-14.920000000000002</v>
      </c>
      <c r="Y48" s="2"/>
      <c r="Z48" s="7">
        <f t="shared" si="35"/>
        <v>-0.46785826277830045</v>
      </c>
    </row>
    <row r="49" spans="1:26" s="29" customFormat="1" outlineLevel="1" collapsed="1" x14ac:dyDescent="0.25">
      <c r="A49" s="27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425.23</v>
      </c>
      <c r="E49" s="1"/>
      <c r="F49" s="5">
        <f t="shared" si="28"/>
        <v>2.913965482635341E-4</v>
      </c>
      <c r="G49" s="1"/>
      <c r="H49" s="1">
        <f>SUM(OSRRefH22_4x_0)</f>
        <v>533.53</v>
      </c>
      <c r="I49" s="1"/>
      <c r="J49" s="5">
        <f t="shared" si="29"/>
        <v>3.5628612043954699E-4</v>
      </c>
      <c r="K49" s="1"/>
      <c r="L49" s="1">
        <f t="shared" si="30"/>
        <v>-108.29999999999995</v>
      </c>
      <c r="M49" s="1"/>
      <c r="N49" s="5">
        <f t="shared" si="31"/>
        <v>-0.20298764830468757</v>
      </c>
      <c r="O49" s="14"/>
      <c r="P49" s="1">
        <f>SUM(OSRRefP22_4x_0)</f>
        <v>986</v>
      </c>
      <c r="Q49" s="1"/>
      <c r="R49" s="5">
        <f t="shared" si="32"/>
        <v>3.9833264901723378E-4</v>
      </c>
      <c r="S49" s="1"/>
      <c r="T49" s="1">
        <f>SUM(OSRRefT22_4x_0)</f>
        <v>1180.18</v>
      </c>
      <c r="U49" s="1"/>
      <c r="V49" s="5">
        <f t="shared" si="33"/>
        <v>4.7815883574510253E-4</v>
      </c>
      <c r="W49" s="1"/>
      <c r="X49" s="1">
        <f t="shared" si="34"/>
        <v>-194.18000000000006</v>
      </c>
      <c r="Y49" s="1"/>
      <c r="Z49" s="5">
        <f t="shared" si="35"/>
        <v>-0.16453422359301129</v>
      </c>
    </row>
    <row r="50" spans="1:26" s="24" customFormat="1" hidden="1" outlineLevel="2" x14ac:dyDescent="0.25">
      <c r="A50" s="28"/>
      <c r="B50" s="11" t="str">
        <f>CONCATENATE("          ", "6381", " - ", "BANK/CREDIT CARD FEES")</f>
        <v xml:space="preserve">          6381 - BANK/CREDIT CARD FEES</v>
      </c>
      <c r="C50" s="11"/>
      <c r="D50" s="6">
        <v>425.23</v>
      </c>
      <c r="E50" s="2"/>
      <c r="F50" s="7">
        <f t="shared" si="28"/>
        <v>2.913965482635341E-4</v>
      </c>
      <c r="G50" s="2"/>
      <c r="H50" s="6">
        <v>533.53</v>
      </c>
      <c r="I50" s="2"/>
      <c r="J50" s="7">
        <f t="shared" si="29"/>
        <v>3.5628612043954699E-4</v>
      </c>
      <c r="K50" s="2"/>
      <c r="L50" s="6">
        <f t="shared" si="30"/>
        <v>-108.29999999999995</v>
      </c>
      <c r="M50" s="2"/>
      <c r="N50" s="7">
        <f t="shared" si="31"/>
        <v>-0.20298764830468757</v>
      </c>
      <c r="O50" s="11"/>
      <c r="P50" s="6">
        <v>986</v>
      </c>
      <c r="Q50" s="2"/>
      <c r="R50" s="7">
        <f t="shared" si="32"/>
        <v>3.9833264901723378E-4</v>
      </c>
      <c r="S50" s="2"/>
      <c r="T50" s="6">
        <v>1180.18</v>
      </c>
      <c r="U50" s="2"/>
      <c r="V50" s="7">
        <f t="shared" si="33"/>
        <v>4.7815883574510253E-4</v>
      </c>
      <c r="W50" s="2"/>
      <c r="X50" s="6">
        <f t="shared" si="34"/>
        <v>-194.18000000000006</v>
      </c>
      <c r="Y50" s="2"/>
      <c r="Z50" s="7">
        <f t="shared" si="35"/>
        <v>-0.16453422359301129</v>
      </c>
    </row>
    <row r="51" spans="1:26" s="29" customFormat="1" outlineLevel="1" collapsed="1" x14ac:dyDescent="0.25">
      <c r="A51" s="27"/>
      <c r="B51" s="14" t="str">
        <f>CONCATENATE("     ","Donations                                         ")</f>
        <v xml:space="preserve">     Donations                                         </v>
      </c>
      <c r="C51" s="14"/>
      <c r="D51" s="1">
        <f>SUM(OSRRefD22_5x_0)</f>
        <v>18816</v>
      </c>
      <c r="E51" s="1"/>
      <c r="F51" s="5">
        <f t="shared" si="28"/>
        <v>1.2894004308554563E-2</v>
      </c>
      <c r="G51" s="1"/>
      <c r="H51" s="1">
        <f>SUM(OSRRefH22_5x_0)</f>
        <v>16178.689999999999</v>
      </c>
      <c r="I51" s="1"/>
      <c r="J51" s="5">
        <f t="shared" si="29"/>
        <v>1.0803971086713202E-2</v>
      </c>
      <c r="K51" s="1"/>
      <c r="L51" s="1">
        <f t="shared" si="30"/>
        <v>2637.3100000000013</v>
      </c>
      <c r="M51" s="1"/>
      <c r="N51" s="5">
        <f t="shared" si="31"/>
        <v>0.16301134393452138</v>
      </c>
      <c r="O51" s="14"/>
      <c r="P51" s="1">
        <f>SUM(OSRRefP22_5x_0)</f>
        <v>26596.75</v>
      </c>
      <c r="Q51" s="1"/>
      <c r="R51" s="5">
        <f t="shared" si="32"/>
        <v>1.0744780814147172E-2</v>
      </c>
      <c r="S51" s="1"/>
      <c r="T51" s="1">
        <f>SUM(OSRRefT22_5x_0)</f>
        <v>22733.289999999997</v>
      </c>
      <c r="U51" s="1"/>
      <c r="V51" s="5">
        <f t="shared" si="33"/>
        <v>9.2105640487516981E-3</v>
      </c>
      <c r="W51" s="1"/>
      <c r="X51" s="1">
        <f t="shared" si="34"/>
        <v>3863.4600000000028</v>
      </c>
      <c r="Y51" s="1"/>
      <c r="Z51" s="5">
        <f t="shared" si="35"/>
        <v>0.1699472447674755</v>
      </c>
    </row>
    <row r="52" spans="1:26" s="24" customFormat="1" hidden="1" outlineLevel="2" x14ac:dyDescent="0.25">
      <c r="A52" s="28"/>
      <c r="B52" s="11" t="str">
        <f>CONCATENATE("          ", "6399", " - ", "DONATION-ON CAMPUS")</f>
        <v xml:space="preserve">          6399 - DONATION-ON CAMPUS</v>
      </c>
      <c r="C52" s="11"/>
      <c r="D52" s="6">
        <v>18816</v>
      </c>
      <c r="E52" s="2"/>
      <c r="F52" s="7">
        <f t="shared" si="28"/>
        <v>1.2894004308554563E-2</v>
      </c>
      <c r="G52" s="2"/>
      <c r="H52" s="6">
        <v>16178.689999999999</v>
      </c>
      <c r="I52" s="2"/>
      <c r="J52" s="7">
        <f t="shared" si="29"/>
        <v>1.0803971086713202E-2</v>
      </c>
      <c r="K52" s="2"/>
      <c r="L52" s="6">
        <f t="shared" si="30"/>
        <v>2637.3100000000013</v>
      </c>
      <c r="M52" s="2"/>
      <c r="N52" s="7">
        <f t="shared" si="31"/>
        <v>0.16301134393452138</v>
      </c>
      <c r="O52" s="11"/>
      <c r="P52" s="6">
        <v>26596.75</v>
      </c>
      <c r="Q52" s="2"/>
      <c r="R52" s="7">
        <f t="shared" si="32"/>
        <v>1.0744780814147172E-2</v>
      </c>
      <c r="S52" s="2"/>
      <c r="T52" s="6">
        <v>22733.289999999997</v>
      </c>
      <c r="U52" s="2"/>
      <c r="V52" s="7">
        <f t="shared" si="33"/>
        <v>9.2105640487516981E-3</v>
      </c>
      <c r="W52" s="2"/>
      <c r="X52" s="6">
        <f t="shared" si="34"/>
        <v>3863.4600000000028</v>
      </c>
      <c r="Y52" s="2"/>
      <c r="Z52" s="7">
        <f t="shared" si="35"/>
        <v>0.1699472447674755</v>
      </c>
    </row>
    <row r="53" spans="1:26" s="29" customFormat="1" outlineLevel="1" collapsed="1" x14ac:dyDescent="0.25">
      <c r="A53" s="27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SUM(OSRRefD22_6x_0)</f>
        <v>735.24</v>
      </c>
      <c r="E53" s="1"/>
      <c r="F53" s="5">
        <f t="shared" si="28"/>
        <v>5.03836507643583E-4</v>
      </c>
      <c r="G53" s="1"/>
      <c r="H53" s="1">
        <f>SUM(OSRRefH22_6x_0)</f>
        <v>0</v>
      </c>
      <c r="I53" s="1"/>
      <c r="J53" s="5">
        <f t="shared" si="29"/>
        <v>0</v>
      </c>
      <c r="K53" s="1"/>
      <c r="L53" s="1">
        <f t="shared" si="30"/>
        <v>735.24</v>
      </c>
      <c r="M53" s="1"/>
      <c r="N53" s="5">
        <f t="shared" si="31"/>
        <v>0</v>
      </c>
      <c r="O53" s="14"/>
      <c r="P53" s="1">
        <f>SUM(OSRRefP22_6x_0)</f>
        <v>848.3</v>
      </c>
      <c r="Q53" s="1"/>
      <c r="R53" s="5">
        <f t="shared" si="32"/>
        <v>3.4270343424068901E-4</v>
      </c>
      <c r="S53" s="1"/>
      <c r="T53" s="1">
        <f>SUM(OSRRefT22_6x_0)</f>
        <v>143.11000000000001</v>
      </c>
      <c r="U53" s="1"/>
      <c r="V53" s="5">
        <f t="shared" si="33"/>
        <v>5.7982096784796914E-5</v>
      </c>
      <c r="W53" s="1"/>
      <c r="X53" s="1">
        <f t="shared" si="34"/>
        <v>705.18999999999994</v>
      </c>
      <c r="Y53" s="1"/>
      <c r="Z53" s="5">
        <f t="shared" si="35"/>
        <v>4.9276081336035205</v>
      </c>
    </row>
    <row r="54" spans="1:26" s="24" customFormat="1" hidden="1" outlineLevel="2" x14ac:dyDescent="0.25">
      <c r="A54" s="28"/>
      <c r="B54" s="11" t="str">
        <f>CONCATENATE("          ", "6277", " - ", "EMPLOYEE APPRECIATION")</f>
        <v xml:space="preserve">          6277 - EMPLOYEE APPRECIATION</v>
      </c>
      <c r="C54" s="11"/>
      <c r="D54" s="6">
        <v>735.24</v>
      </c>
      <c r="E54" s="2"/>
      <c r="F54" s="7">
        <f t="shared" si="28"/>
        <v>5.03836507643583E-4</v>
      </c>
      <c r="G54" s="2"/>
      <c r="H54" s="6"/>
      <c r="I54" s="2"/>
      <c r="J54" s="7">
        <f t="shared" si="29"/>
        <v>0</v>
      </c>
      <c r="K54" s="2"/>
      <c r="L54" s="6">
        <f t="shared" si="30"/>
        <v>735.24</v>
      </c>
      <c r="M54" s="2"/>
      <c r="N54" s="7">
        <f t="shared" si="31"/>
        <v>0</v>
      </c>
      <c r="O54" s="11"/>
      <c r="P54" s="6">
        <v>848.3</v>
      </c>
      <c r="Q54" s="2"/>
      <c r="R54" s="7">
        <f t="shared" si="32"/>
        <v>3.4270343424068901E-4</v>
      </c>
      <c r="S54" s="2"/>
      <c r="T54" s="6">
        <v>143.11000000000001</v>
      </c>
      <c r="U54" s="2"/>
      <c r="V54" s="7">
        <f t="shared" si="33"/>
        <v>5.7982096784796914E-5</v>
      </c>
      <c r="W54" s="2"/>
      <c r="X54" s="6">
        <f t="shared" si="34"/>
        <v>705.18999999999994</v>
      </c>
      <c r="Y54" s="2"/>
      <c r="Z54" s="7">
        <f t="shared" si="35"/>
        <v>4.9276081336035205</v>
      </c>
    </row>
    <row r="55" spans="1:26" s="29" customFormat="1" outlineLevel="1" collapsed="1" x14ac:dyDescent="0.25">
      <c r="A55" s="27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SUM(OSRRefD22_7x_0)</f>
        <v>-1455.85</v>
      </c>
      <c r="E55" s="1"/>
      <c r="F55" s="5">
        <f t="shared" si="28"/>
        <v>-9.9764754318713649E-4</v>
      </c>
      <c r="G55" s="1"/>
      <c r="H55" s="1">
        <f>SUM(OSRRefH22_7x_0)</f>
        <v>517.17999999999995</v>
      </c>
      <c r="I55" s="1"/>
      <c r="J55" s="5">
        <f t="shared" si="29"/>
        <v>3.4536775020884466E-4</v>
      </c>
      <c r="K55" s="1"/>
      <c r="L55" s="1">
        <f t="shared" si="30"/>
        <v>-1973.0299999999997</v>
      </c>
      <c r="M55" s="1"/>
      <c r="N55" s="5">
        <f t="shared" si="31"/>
        <v>-3.8149773773154414</v>
      </c>
      <c r="O55" s="14"/>
      <c r="P55" s="1">
        <f>SUM(OSRRefP22_7x_0)</f>
        <v>1245.22</v>
      </c>
      <c r="Q55" s="1"/>
      <c r="R55" s="5">
        <f t="shared" si="32"/>
        <v>5.0305454483695719E-4</v>
      </c>
      <c r="S55" s="1"/>
      <c r="T55" s="1">
        <f>SUM(OSRRefT22_7x_0)</f>
        <v>1431.51</v>
      </c>
      <c r="U55" s="1"/>
      <c r="V55" s="5">
        <f t="shared" si="33"/>
        <v>5.7998708244290842E-4</v>
      </c>
      <c r="W55" s="1"/>
      <c r="X55" s="1">
        <f t="shared" si="34"/>
        <v>-186.28999999999996</v>
      </c>
      <c r="Y55" s="1"/>
      <c r="Z55" s="5">
        <f t="shared" si="35"/>
        <v>-0.13013531166390732</v>
      </c>
    </row>
    <row r="56" spans="1:26" s="24" customFormat="1" hidden="1" outlineLevel="2" x14ac:dyDescent="0.25">
      <c r="A56" s="28"/>
      <c r="B56" s="11" t="str">
        <f>CONCATENATE("          ", "6351", " - ", "EQUIPMENT RENTAL")</f>
        <v xml:space="preserve">          6351 - EQUIPMENT RENTAL</v>
      </c>
      <c r="C56" s="11"/>
      <c r="D56" s="6">
        <v>-1455.85</v>
      </c>
      <c r="E56" s="2"/>
      <c r="F56" s="7">
        <f t="shared" si="28"/>
        <v>-9.9764754318713649E-4</v>
      </c>
      <c r="G56" s="2"/>
      <c r="H56" s="6">
        <v>517.17999999999995</v>
      </c>
      <c r="I56" s="2"/>
      <c r="J56" s="7">
        <f t="shared" si="29"/>
        <v>3.4536775020884466E-4</v>
      </c>
      <c r="K56" s="2"/>
      <c r="L56" s="6">
        <f t="shared" si="30"/>
        <v>-1973.0299999999997</v>
      </c>
      <c r="M56" s="2"/>
      <c r="N56" s="7">
        <f t="shared" si="31"/>
        <v>-3.8149773773154414</v>
      </c>
      <c r="O56" s="11"/>
      <c r="P56" s="6">
        <v>1245.22</v>
      </c>
      <c r="Q56" s="2"/>
      <c r="R56" s="7">
        <f t="shared" si="32"/>
        <v>5.0305454483695719E-4</v>
      </c>
      <c r="S56" s="2"/>
      <c r="T56" s="6">
        <v>1431.51</v>
      </c>
      <c r="U56" s="2"/>
      <c r="V56" s="7">
        <f t="shared" si="33"/>
        <v>5.7998708244290842E-4</v>
      </c>
      <c r="W56" s="2"/>
      <c r="X56" s="6">
        <f t="shared" si="34"/>
        <v>-186.28999999999996</v>
      </c>
      <c r="Y56" s="2"/>
      <c r="Z56" s="7">
        <f t="shared" si="35"/>
        <v>-0.13013531166390732</v>
      </c>
    </row>
    <row r="57" spans="1:26" s="29" customFormat="1" outlineLevel="1" collapsed="1" x14ac:dyDescent="0.25">
      <c r="A57" s="27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SUM(OSRRefD22_8x_0)</f>
        <v>0</v>
      </c>
      <c r="E57" s="1"/>
      <c r="F57" s="5">
        <f t="shared" si="28"/>
        <v>0</v>
      </c>
      <c r="G57" s="1"/>
      <c r="H57" s="1">
        <f>SUM(OSRRefH22_8x_0)</f>
        <v>3.7</v>
      </c>
      <c r="I57" s="1"/>
      <c r="J57" s="5">
        <f t="shared" si="29"/>
        <v>2.470823844256788E-6</v>
      </c>
      <c r="K57" s="1"/>
      <c r="L57" s="1">
        <f t="shared" si="30"/>
        <v>-3.7</v>
      </c>
      <c r="M57" s="1"/>
      <c r="N57" s="5">
        <f t="shared" si="31"/>
        <v>-1</v>
      </c>
      <c r="O57" s="14"/>
      <c r="P57" s="1">
        <f>SUM(OSRRefP22_8x_0)</f>
        <v>0</v>
      </c>
      <c r="Q57" s="1"/>
      <c r="R57" s="5">
        <f t="shared" si="32"/>
        <v>0</v>
      </c>
      <c r="S57" s="1"/>
      <c r="T57" s="1">
        <f>SUM(OSRRefT22_8x_0)</f>
        <v>3.7</v>
      </c>
      <c r="U57" s="1"/>
      <c r="V57" s="5">
        <f t="shared" si="33"/>
        <v>1.4990829299402457E-6</v>
      </c>
      <c r="W57" s="1"/>
      <c r="X57" s="1">
        <f t="shared" si="34"/>
        <v>-3.7</v>
      </c>
      <c r="Y57" s="1"/>
      <c r="Z57" s="5">
        <f t="shared" si="35"/>
        <v>-1</v>
      </c>
    </row>
    <row r="58" spans="1:26" s="24" customFormat="1" hidden="1" outlineLevel="2" x14ac:dyDescent="0.25">
      <c r="A58" s="28"/>
      <c r="B58" s="11" t="str">
        <f>CONCATENATE("          ", "6307", " - ", "POSTAGE")</f>
        <v xml:space="preserve">          6307 - POSTAGE</v>
      </c>
      <c r="C58" s="11"/>
      <c r="D58" s="6"/>
      <c r="E58" s="2"/>
      <c r="F58" s="7">
        <f t="shared" si="28"/>
        <v>0</v>
      </c>
      <c r="G58" s="2"/>
      <c r="H58" s="6">
        <v>3.7</v>
      </c>
      <c r="I58" s="2"/>
      <c r="J58" s="7">
        <f t="shared" si="29"/>
        <v>2.470823844256788E-6</v>
      </c>
      <c r="K58" s="2"/>
      <c r="L58" s="6">
        <f t="shared" si="30"/>
        <v>-3.7</v>
      </c>
      <c r="M58" s="2"/>
      <c r="N58" s="7">
        <f t="shared" si="31"/>
        <v>-1</v>
      </c>
      <c r="O58" s="11"/>
      <c r="P58" s="6"/>
      <c r="Q58" s="2"/>
      <c r="R58" s="7">
        <f t="shared" si="32"/>
        <v>0</v>
      </c>
      <c r="S58" s="2"/>
      <c r="T58" s="6">
        <v>3.7</v>
      </c>
      <c r="U58" s="2"/>
      <c r="V58" s="7">
        <f t="shared" si="33"/>
        <v>1.4990829299402457E-6</v>
      </c>
      <c r="W58" s="2"/>
      <c r="X58" s="6">
        <f t="shared" si="34"/>
        <v>-3.7</v>
      </c>
      <c r="Y58" s="2"/>
      <c r="Z58" s="7">
        <f t="shared" si="35"/>
        <v>-1</v>
      </c>
    </row>
    <row r="59" spans="1:26" s="29" customFormat="1" outlineLevel="1" collapsed="1" x14ac:dyDescent="0.25">
      <c r="A59" s="27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SUM(OSRRefD22_9x_0)</f>
        <v>84</v>
      </c>
      <c r="E59" s="1"/>
      <c r="F59" s="5">
        <f t="shared" si="28"/>
        <v>5.7562519234618587E-5</v>
      </c>
      <c r="G59" s="1"/>
      <c r="H59" s="1">
        <f>SUM(OSRRefH22_9x_0)</f>
        <v>5.95</v>
      </c>
      <c r="I59" s="1"/>
      <c r="J59" s="5">
        <f t="shared" si="29"/>
        <v>3.9733518576561855E-6</v>
      </c>
      <c r="K59" s="1"/>
      <c r="L59" s="1">
        <f t="shared" si="30"/>
        <v>78.05</v>
      </c>
      <c r="M59" s="1"/>
      <c r="N59" s="5">
        <f t="shared" si="31"/>
        <v>13.117647058823529</v>
      </c>
      <c r="O59" s="14"/>
      <c r="P59" s="1">
        <f>SUM(OSRRefP22_9x_0)</f>
        <v>6194.86</v>
      </c>
      <c r="Q59" s="1"/>
      <c r="R59" s="5">
        <f t="shared" si="32"/>
        <v>2.5026521238244426E-3</v>
      </c>
      <c r="S59" s="1"/>
      <c r="T59" s="1">
        <f>SUM(OSRRefT22_9x_0)</f>
        <v>7034.22</v>
      </c>
      <c r="U59" s="1"/>
      <c r="V59" s="5">
        <f t="shared" si="33"/>
        <v>2.8499673317416963E-3</v>
      </c>
      <c r="W59" s="1"/>
      <c r="X59" s="1">
        <f t="shared" si="34"/>
        <v>-839.36000000000058</v>
      </c>
      <c r="Y59" s="1"/>
      <c r="Z59" s="5">
        <f t="shared" si="35"/>
        <v>-0.11932524146245078</v>
      </c>
    </row>
    <row r="60" spans="1:26" s="24" customFormat="1" hidden="1" outlineLevel="2" x14ac:dyDescent="0.25">
      <c r="A60" s="28"/>
      <c r="B60" s="11" t="str">
        <f>CONCATENATE("          ", "6279", " - ", "GENERAL EXPENSE")</f>
        <v xml:space="preserve">          6279 - GENERAL EXPENSE</v>
      </c>
      <c r="C60" s="11"/>
      <c r="D60" s="6">
        <v>84</v>
      </c>
      <c r="E60" s="2"/>
      <c r="F60" s="7">
        <f t="shared" si="28"/>
        <v>5.7562519234618587E-5</v>
      </c>
      <c r="G60" s="2"/>
      <c r="H60" s="6">
        <v>5.95</v>
      </c>
      <c r="I60" s="2"/>
      <c r="J60" s="7">
        <f t="shared" si="29"/>
        <v>3.9733518576561855E-6</v>
      </c>
      <c r="K60" s="2"/>
      <c r="L60" s="6">
        <f t="shared" si="30"/>
        <v>78.05</v>
      </c>
      <c r="M60" s="2"/>
      <c r="N60" s="7">
        <f t="shared" si="31"/>
        <v>13.117647058823529</v>
      </c>
      <c r="O60" s="11"/>
      <c r="P60" s="6">
        <v>6194.86</v>
      </c>
      <c r="Q60" s="2"/>
      <c r="R60" s="7">
        <f t="shared" si="32"/>
        <v>2.5026521238244426E-3</v>
      </c>
      <c r="S60" s="2"/>
      <c r="T60" s="6">
        <v>7034.22</v>
      </c>
      <c r="U60" s="2"/>
      <c r="V60" s="7">
        <f t="shared" si="33"/>
        <v>2.8499673317416963E-3</v>
      </c>
      <c r="W60" s="2"/>
      <c r="X60" s="6">
        <f t="shared" si="34"/>
        <v>-839.36000000000058</v>
      </c>
      <c r="Y60" s="2"/>
      <c r="Z60" s="7">
        <f t="shared" si="35"/>
        <v>-0.11932524146245078</v>
      </c>
    </row>
    <row r="61" spans="1:26" s="29" customFormat="1" outlineLevel="1" collapsed="1" x14ac:dyDescent="0.25">
      <c r="A61" s="27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SUM(OSRRefD22_10x_0)</f>
        <v>5.9</v>
      </c>
      <c r="E61" s="1"/>
      <c r="F61" s="5">
        <f t="shared" si="28"/>
        <v>4.0430817081458299E-6</v>
      </c>
      <c r="G61" s="1"/>
      <c r="H61" s="1">
        <f>SUM(OSRRefH22_10x_0)</f>
        <v>4.93</v>
      </c>
      <c r="I61" s="1"/>
      <c r="J61" s="5">
        <f t="shared" si="29"/>
        <v>3.292205824915125E-6</v>
      </c>
      <c r="K61" s="1"/>
      <c r="L61" s="1">
        <f t="shared" si="30"/>
        <v>0.97000000000000064</v>
      </c>
      <c r="M61" s="1"/>
      <c r="N61" s="5">
        <f t="shared" si="31"/>
        <v>0.19675456389452348</v>
      </c>
      <c r="O61" s="14"/>
      <c r="P61" s="1">
        <f>SUM(OSRRefP22_10x_0)</f>
        <v>17.7</v>
      </c>
      <c r="Q61" s="1"/>
      <c r="R61" s="5">
        <f t="shared" si="32"/>
        <v>7.1505962348935472E-6</v>
      </c>
      <c r="S61" s="1"/>
      <c r="T61" s="1">
        <f>SUM(OSRRefT22_10x_0)</f>
        <v>14.79</v>
      </c>
      <c r="U61" s="1"/>
      <c r="V61" s="5">
        <f t="shared" si="33"/>
        <v>5.9922801442746574E-6</v>
      </c>
      <c r="W61" s="1"/>
      <c r="X61" s="1">
        <f t="shared" si="34"/>
        <v>2.91</v>
      </c>
      <c r="Y61" s="1"/>
      <c r="Z61" s="5">
        <f t="shared" si="35"/>
        <v>0.19675456389452334</v>
      </c>
    </row>
    <row r="62" spans="1:26" s="24" customFormat="1" hidden="1" outlineLevel="2" x14ac:dyDescent="0.25">
      <c r="A62" s="28"/>
      <c r="B62" s="11" t="str">
        <f>CONCATENATE("          ", "6314", " - ", "LIABILITY INSURANCE")</f>
        <v xml:space="preserve">          6314 - LIABILITY INSURANCE</v>
      </c>
      <c r="C62" s="11"/>
      <c r="D62" s="6">
        <v>5.9</v>
      </c>
      <c r="E62" s="2"/>
      <c r="F62" s="7">
        <f t="shared" si="28"/>
        <v>4.0430817081458299E-6</v>
      </c>
      <c r="G62" s="2"/>
      <c r="H62" s="6">
        <v>4.93</v>
      </c>
      <c r="I62" s="2"/>
      <c r="J62" s="7">
        <f t="shared" si="29"/>
        <v>3.292205824915125E-6</v>
      </c>
      <c r="K62" s="2"/>
      <c r="L62" s="6">
        <f t="shared" si="30"/>
        <v>0.97000000000000064</v>
      </c>
      <c r="M62" s="2"/>
      <c r="N62" s="7">
        <f t="shared" si="31"/>
        <v>0.19675456389452348</v>
      </c>
      <c r="O62" s="11"/>
      <c r="P62" s="6">
        <v>17.7</v>
      </c>
      <c r="Q62" s="2"/>
      <c r="R62" s="7">
        <f t="shared" si="32"/>
        <v>7.1505962348935472E-6</v>
      </c>
      <c r="S62" s="2"/>
      <c r="T62" s="6">
        <v>14.79</v>
      </c>
      <c r="U62" s="2"/>
      <c r="V62" s="7">
        <f t="shared" si="33"/>
        <v>5.9922801442746574E-6</v>
      </c>
      <c r="W62" s="2"/>
      <c r="X62" s="6">
        <f t="shared" si="34"/>
        <v>2.91</v>
      </c>
      <c r="Y62" s="2"/>
      <c r="Z62" s="7">
        <f t="shared" si="35"/>
        <v>0.19675456389452334</v>
      </c>
    </row>
    <row r="63" spans="1:26" s="29" customFormat="1" outlineLevel="1" collapsed="1" x14ac:dyDescent="0.25">
      <c r="A63" s="27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SUM(OSRRefD22_11x_0)</f>
        <v>115888.45000000001</v>
      </c>
      <c r="E63" s="1"/>
      <c r="F63" s="5">
        <f t="shared" si="28"/>
        <v>7.9414656335656364E-2</v>
      </c>
      <c r="G63" s="1"/>
      <c r="H63" s="1">
        <f>SUM(OSRRefH22_11x_0)</f>
        <v>105703.8</v>
      </c>
      <c r="I63" s="1"/>
      <c r="J63" s="5">
        <f t="shared" si="29"/>
        <v>7.0587964721229898E-2</v>
      </c>
      <c r="K63" s="1"/>
      <c r="L63" s="1">
        <f t="shared" si="30"/>
        <v>10184.650000000009</v>
      </c>
      <c r="M63" s="1"/>
      <c r="N63" s="5">
        <f t="shared" si="31"/>
        <v>9.6350840745555111E-2</v>
      </c>
      <c r="O63" s="14"/>
      <c r="P63" s="1">
        <f>SUM(OSRRefP22_11x_0)</f>
        <v>187921.28</v>
      </c>
      <c r="Q63" s="1"/>
      <c r="R63" s="5">
        <f t="shared" si="32"/>
        <v>7.5918033741490171E-2</v>
      </c>
      <c r="S63" s="1"/>
      <c r="T63" s="1">
        <f>SUM(OSRRefT22_11x_0)</f>
        <v>182904.8</v>
      </c>
      <c r="U63" s="1"/>
      <c r="V63" s="5">
        <f t="shared" si="33"/>
        <v>7.4105260401117465E-2</v>
      </c>
      <c r="W63" s="1"/>
      <c r="X63" s="1">
        <f t="shared" si="34"/>
        <v>5016.4800000000105</v>
      </c>
      <c r="Y63" s="1"/>
      <c r="Z63" s="5">
        <f t="shared" si="35"/>
        <v>2.7426726909299322E-2</v>
      </c>
    </row>
    <row r="64" spans="1:26" s="24" customFormat="1" hidden="1" outlineLevel="2" x14ac:dyDescent="0.25">
      <c r="A64" s="28"/>
      <c r="B64" s="11" t="str">
        <f>CONCATENATE("          ", "6387", " - ", "COMMISSION DUE HOUSING")</f>
        <v xml:space="preserve">          6387 - COMMISSION DUE HOUSING</v>
      </c>
      <c r="C64" s="11"/>
      <c r="D64" s="6">
        <v>115888.45000000001</v>
      </c>
      <c r="E64" s="2"/>
      <c r="F64" s="7">
        <f t="shared" si="28"/>
        <v>7.9414656335656364E-2</v>
      </c>
      <c r="G64" s="2"/>
      <c r="H64" s="6">
        <v>105703.8</v>
      </c>
      <c r="I64" s="2"/>
      <c r="J64" s="7">
        <f t="shared" si="29"/>
        <v>7.0587964721229898E-2</v>
      </c>
      <c r="K64" s="2"/>
      <c r="L64" s="6">
        <f t="shared" si="30"/>
        <v>10184.650000000009</v>
      </c>
      <c r="M64" s="2"/>
      <c r="N64" s="7">
        <f t="shared" si="31"/>
        <v>9.6350840745555111E-2</v>
      </c>
      <c r="O64" s="11"/>
      <c r="P64" s="6">
        <v>187921.28</v>
      </c>
      <c r="Q64" s="2"/>
      <c r="R64" s="7">
        <f t="shared" si="32"/>
        <v>7.5918033741490171E-2</v>
      </c>
      <c r="S64" s="2"/>
      <c r="T64" s="6">
        <v>182904.8</v>
      </c>
      <c r="U64" s="2"/>
      <c r="V64" s="7">
        <f t="shared" si="33"/>
        <v>7.4105260401117465E-2</v>
      </c>
      <c r="W64" s="2"/>
      <c r="X64" s="6">
        <f t="shared" si="34"/>
        <v>5016.4800000000105</v>
      </c>
      <c r="Y64" s="2"/>
      <c r="Z64" s="7">
        <f t="shared" si="35"/>
        <v>2.7426726909299322E-2</v>
      </c>
    </row>
    <row r="65" spans="1:26" s="29" customFormat="1" outlineLevel="1" collapsed="1" x14ac:dyDescent="0.25">
      <c r="A65" s="27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SUM(OSRRefD22_12x_0)</f>
        <v>6454.72</v>
      </c>
      <c r="E65" s="1"/>
      <c r="F65" s="5">
        <f t="shared" si="28"/>
        <v>4.4232136208818724E-3</v>
      </c>
      <c r="G65" s="1"/>
      <c r="H65" s="1">
        <f>SUM(OSRRefH22_12x_0)</f>
        <v>-7697.9</v>
      </c>
      <c r="I65" s="1"/>
      <c r="J65" s="5">
        <f t="shared" si="29"/>
        <v>-5.1405823974876551E-3</v>
      </c>
      <c r="K65" s="1"/>
      <c r="L65" s="1">
        <f t="shared" si="30"/>
        <v>14152.619999999999</v>
      </c>
      <c r="M65" s="1"/>
      <c r="N65" s="5">
        <f t="shared" si="31"/>
        <v>-1.8385040075864847</v>
      </c>
      <c r="O65" s="14"/>
      <c r="P65" s="1">
        <f>SUM(OSRRefP22_12x_0)</f>
        <v>6483.93</v>
      </c>
      <c r="Q65" s="1"/>
      <c r="R65" s="5">
        <f t="shared" si="32"/>
        <v>2.6194330760064021E-3</v>
      </c>
      <c r="S65" s="1"/>
      <c r="T65" s="1">
        <f>SUM(OSRRefT22_12x_0)</f>
        <v>-5857.73</v>
      </c>
      <c r="U65" s="1"/>
      <c r="V65" s="5">
        <f t="shared" si="33"/>
        <v>-2.3733035273510472E-3</v>
      </c>
      <c r="W65" s="1"/>
      <c r="X65" s="1">
        <f t="shared" si="34"/>
        <v>12341.66</v>
      </c>
      <c r="Y65" s="1"/>
      <c r="Z65" s="5">
        <f t="shared" si="35"/>
        <v>-2.10690147890053</v>
      </c>
    </row>
    <row r="66" spans="1:26" s="24" customFormat="1" hidden="1" outlineLevel="2" x14ac:dyDescent="0.25">
      <c r="A66" s="28"/>
      <c r="B66" s="11" t="str">
        <f>CONCATENATE("          ", "6371", " - ", "COMPUTER SOFTWARE MAINTENANCE")</f>
        <v xml:space="preserve">          6371 - COMPUTER SOFTWARE MAINTENANCE</v>
      </c>
      <c r="C66" s="11"/>
      <c r="D66" s="6">
        <v>6340.43</v>
      </c>
      <c r="E66" s="2"/>
      <c r="F66" s="7">
        <f t="shared" si="28"/>
        <v>4.344894331318485E-3</v>
      </c>
      <c r="G66" s="2"/>
      <c r="H66" s="6">
        <v>-7911.5</v>
      </c>
      <c r="I66" s="2"/>
      <c r="J66" s="7">
        <f t="shared" si="29"/>
        <v>-5.2832223902263718E-3</v>
      </c>
      <c r="K66" s="2"/>
      <c r="L66" s="6">
        <f t="shared" si="30"/>
        <v>14251.93</v>
      </c>
      <c r="M66" s="2"/>
      <c r="N66" s="7">
        <f t="shared" si="31"/>
        <v>-1.8014194526954435</v>
      </c>
      <c r="O66" s="11"/>
      <c r="P66" s="6">
        <v>6340.43</v>
      </c>
      <c r="Q66" s="2"/>
      <c r="R66" s="7">
        <f t="shared" si="32"/>
        <v>2.5614607280003442E-3</v>
      </c>
      <c r="S66" s="2"/>
      <c r="T66" s="6">
        <v>-7911.5</v>
      </c>
      <c r="U66" s="2"/>
      <c r="V66" s="7">
        <f t="shared" si="33"/>
        <v>-3.2054039460060147E-3</v>
      </c>
      <c r="W66" s="2"/>
      <c r="X66" s="6">
        <f t="shared" si="34"/>
        <v>14251.93</v>
      </c>
      <c r="Y66" s="2"/>
      <c r="Z66" s="7">
        <f t="shared" si="35"/>
        <v>-1.8014194526954435</v>
      </c>
    </row>
    <row r="67" spans="1:26" s="24" customFormat="1" hidden="1" outlineLevel="2" x14ac:dyDescent="0.25">
      <c r="A67" s="28"/>
      <c r="B67" s="11" t="str">
        <f>CONCATENATE("          ", "6373", " - ", "MAINTENANCE CONTRACTS")</f>
        <v xml:space="preserve">          6373 - MAINTENANCE CONTRACTS</v>
      </c>
      <c r="C67" s="11"/>
      <c r="D67" s="6">
        <v>8.8000000000000007</v>
      </c>
      <c r="E67" s="2"/>
      <c r="F67" s="7">
        <f t="shared" si="28"/>
        <v>6.0303591579124238E-6</v>
      </c>
      <c r="G67" s="2"/>
      <c r="H67" s="6">
        <v>213.6</v>
      </c>
      <c r="I67" s="2"/>
      <c r="J67" s="7">
        <f t="shared" si="29"/>
        <v>1.4263999273871617E-4</v>
      </c>
      <c r="K67" s="2"/>
      <c r="L67" s="6">
        <f t="shared" si="30"/>
        <v>-204.79999999999998</v>
      </c>
      <c r="M67" s="2"/>
      <c r="N67" s="7">
        <f t="shared" si="31"/>
        <v>-0.95880149812734072</v>
      </c>
      <c r="O67" s="11"/>
      <c r="P67" s="6">
        <v>38.01</v>
      </c>
      <c r="Q67" s="2"/>
      <c r="R67" s="7">
        <f t="shared" si="32"/>
        <v>1.5355602423068005E-5</v>
      </c>
      <c r="S67" s="2"/>
      <c r="T67" s="6">
        <v>245.17</v>
      </c>
      <c r="U67" s="2"/>
      <c r="V67" s="7">
        <f t="shared" si="33"/>
        <v>9.9332476198229737E-5</v>
      </c>
      <c r="W67" s="2"/>
      <c r="X67" s="6">
        <f t="shared" si="34"/>
        <v>-207.16</v>
      </c>
      <c r="Y67" s="2"/>
      <c r="Z67" s="7">
        <f t="shared" si="35"/>
        <v>-0.84496471835868991</v>
      </c>
    </row>
    <row r="68" spans="1:26" s="24" customFormat="1" hidden="1" outlineLevel="2" x14ac:dyDescent="0.25">
      <c r="A68" s="28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105.49</v>
      </c>
      <c r="E68" s="2"/>
      <c r="F68" s="7">
        <f t="shared" si="28"/>
        <v>7.2288930405475167E-5</v>
      </c>
      <c r="G68" s="2"/>
      <c r="H68" s="6"/>
      <c r="I68" s="2"/>
      <c r="J68" s="7">
        <f t="shared" si="29"/>
        <v>0</v>
      </c>
      <c r="K68" s="2"/>
      <c r="L68" s="6">
        <f t="shared" si="30"/>
        <v>105.49</v>
      </c>
      <c r="M68" s="2"/>
      <c r="N68" s="7">
        <f t="shared" si="31"/>
        <v>0</v>
      </c>
      <c r="O68" s="11"/>
      <c r="P68" s="6">
        <v>105.49</v>
      </c>
      <c r="Q68" s="2"/>
      <c r="R68" s="7">
        <f t="shared" si="32"/>
        <v>4.2616745582989845E-5</v>
      </c>
      <c r="S68" s="2"/>
      <c r="T68" s="6">
        <v>1808.6</v>
      </c>
      <c r="U68" s="2"/>
      <c r="V68" s="7">
        <f t="shared" si="33"/>
        <v>7.3276794245673738E-4</v>
      </c>
      <c r="W68" s="2"/>
      <c r="X68" s="6">
        <f t="shared" si="34"/>
        <v>-1703.11</v>
      </c>
      <c r="Y68" s="2"/>
      <c r="Z68" s="7">
        <f t="shared" si="35"/>
        <v>-0.94167311732832026</v>
      </c>
    </row>
    <row r="69" spans="1:26" s="29" customFormat="1" outlineLevel="1" collapsed="1" x14ac:dyDescent="0.25">
      <c r="A69" s="27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SUM(OSRRefD22_13x_0)</f>
        <v>21528.89</v>
      </c>
      <c r="E69" s="1"/>
      <c r="F69" s="5">
        <f t="shared" ref="F69:F72" si="36">IF(D$12=0,0,D69/D$12)</f>
        <v>1.4753061246726044E-2</v>
      </c>
      <c r="G69" s="1"/>
      <c r="H69" s="1">
        <f>SUM(OSRRefH22_13x_0)</f>
        <v>16359.109999999999</v>
      </c>
      <c r="I69" s="1"/>
      <c r="J69" s="5">
        <f t="shared" ref="J69:J72" si="37">IF(H$12=0,0,H69/H$12)</f>
        <v>1.0924453799680987E-2</v>
      </c>
      <c r="K69" s="1"/>
      <c r="L69" s="1">
        <f t="shared" ref="L69:L72" si="38">+D69-H69</f>
        <v>5169.7800000000007</v>
      </c>
      <c r="M69" s="1"/>
      <c r="N69" s="5">
        <f t="shared" ref="N69:N72" si="39">IF(H69=0,0,L69/H69)</f>
        <v>0.31601841420468479</v>
      </c>
      <c r="O69" s="14"/>
      <c r="P69" s="1">
        <f>SUM(OSRRefP22_13x_0)</f>
        <v>59206.070000000007</v>
      </c>
      <c r="Q69" s="1"/>
      <c r="R69" s="5">
        <f t="shared" ref="R69:R72" si="40">IF(P$12=0,0,P69/P$12)</f>
        <v>2.3918570690669144E-2</v>
      </c>
      <c r="S69" s="1"/>
      <c r="T69" s="1">
        <f>SUM(OSRRefT22_13x_0)</f>
        <v>38658.35</v>
      </c>
      <c r="U69" s="1"/>
      <c r="V69" s="5">
        <f t="shared" ref="V69:V72" si="41">IF(T$12=0,0,T69/T$12)</f>
        <v>1.566272232017716E-2</v>
      </c>
      <c r="W69" s="1"/>
      <c r="X69" s="1">
        <f t="shared" ref="X69:X72" si="42">+P69-T69</f>
        <v>20547.720000000008</v>
      </c>
      <c r="Y69" s="1"/>
      <c r="Z69" s="5">
        <f t="shared" ref="Z69:Z72" si="43">IF(T69=0,0,X69/T69)</f>
        <v>0.53152087453292785</v>
      </c>
    </row>
    <row r="70" spans="1:26" s="24" customFormat="1" hidden="1" outlineLevel="2" x14ac:dyDescent="0.25">
      <c r="A70" s="28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1628.3</v>
      </c>
      <c r="E70" s="2"/>
      <c r="F70" s="7">
        <f t="shared" si="36"/>
        <v>1.1158220246396363E-3</v>
      </c>
      <c r="G70" s="2"/>
      <c r="H70" s="6">
        <v>1508.3</v>
      </c>
      <c r="I70" s="2"/>
      <c r="J70" s="7">
        <f t="shared" si="37"/>
        <v>1.0072280011601386E-3</v>
      </c>
      <c r="K70" s="2"/>
      <c r="L70" s="6">
        <f t="shared" si="38"/>
        <v>120</v>
      </c>
      <c r="M70" s="2"/>
      <c r="N70" s="7">
        <f t="shared" si="39"/>
        <v>7.9559769276669107E-2</v>
      </c>
      <c r="O70" s="11"/>
      <c r="P70" s="6">
        <v>4794.8999999999996</v>
      </c>
      <c r="Q70" s="2"/>
      <c r="R70" s="7">
        <f t="shared" si="40"/>
        <v>1.9370844003780265E-3</v>
      </c>
      <c r="S70" s="2"/>
      <c r="T70" s="6">
        <v>4524.8999999999996</v>
      </c>
      <c r="U70" s="2"/>
      <c r="V70" s="7">
        <f t="shared" si="41"/>
        <v>1.8332973918071939E-3</v>
      </c>
      <c r="W70" s="2"/>
      <c r="X70" s="6">
        <f t="shared" si="42"/>
        <v>270</v>
      </c>
      <c r="Y70" s="2"/>
      <c r="Z70" s="7">
        <f t="shared" si="43"/>
        <v>5.966982695750183E-2</v>
      </c>
    </row>
    <row r="71" spans="1:26" s="24" customFormat="1" hidden="1" outlineLevel="2" x14ac:dyDescent="0.25">
      <c r="A71" s="28"/>
      <c r="B71" s="11" t="str">
        <f>CONCATENATE("          ", "6285", " - ", "JANITORIAL SERVICES")</f>
        <v xml:space="preserve">          6285 - JANITORIAL SERVICES</v>
      </c>
      <c r="C71" s="11"/>
      <c r="D71" s="6">
        <v>15099.009999999998</v>
      </c>
      <c r="E71" s="2"/>
      <c r="F71" s="7">
        <f t="shared" si="36"/>
        <v>1.0346869685103552E-2</v>
      </c>
      <c r="G71" s="2"/>
      <c r="H71" s="6">
        <v>10617.57</v>
      </c>
      <c r="I71" s="2"/>
      <c r="J71" s="7">
        <f t="shared" si="37"/>
        <v>7.0903094929906868E-3</v>
      </c>
      <c r="K71" s="2"/>
      <c r="L71" s="6">
        <f t="shared" si="38"/>
        <v>4481.4399999999987</v>
      </c>
      <c r="M71" s="2"/>
      <c r="N71" s="7">
        <f t="shared" si="39"/>
        <v>0.42207774471936599</v>
      </c>
      <c r="O71" s="11"/>
      <c r="P71" s="6">
        <v>39770.990000000005</v>
      </c>
      <c r="Q71" s="2"/>
      <c r="R71" s="7">
        <f t="shared" si="40"/>
        <v>1.606702211028186E-2</v>
      </c>
      <c r="S71" s="2"/>
      <c r="T71" s="6">
        <v>23461.62</v>
      </c>
      <c r="U71" s="2"/>
      <c r="V71" s="7">
        <f t="shared" si="41"/>
        <v>9.5056524461472076E-3</v>
      </c>
      <c r="W71" s="2"/>
      <c r="X71" s="6">
        <f t="shared" si="42"/>
        <v>16309.370000000006</v>
      </c>
      <c r="Y71" s="2"/>
      <c r="Z71" s="7">
        <f t="shared" si="43"/>
        <v>0.69515105947500666</v>
      </c>
    </row>
    <row r="72" spans="1:26" s="24" customFormat="1" hidden="1" outlineLevel="2" x14ac:dyDescent="0.25">
      <c r="A72" s="28"/>
      <c r="B72" s="11" t="str">
        <f>CONCATENATE("          ", "6286", " - ", "LAUNDRY EXPENSE")</f>
        <v xml:space="preserve">          6286 - LAUNDRY EXPENSE</v>
      </c>
      <c r="C72" s="11"/>
      <c r="D72" s="6">
        <v>4801.58</v>
      </c>
      <c r="E72" s="2"/>
      <c r="F72" s="7">
        <f t="shared" si="36"/>
        <v>3.2903695369828562E-3</v>
      </c>
      <c r="G72" s="2"/>
      <c r="H72" s="6">
        <v>4233.24</v>
      </c>
      <c r="I72" s="2"/>
      <c r="J72" s="7">
        <f t="shared" si="37"/>
        <v>2.8269163055301629E-3</v>
      </c>
      <c r="K72" s="2"/>
      <c r="L72" s="6">
        <f t="shared" si="38"/>
        <v>568.34000000000015</v>
      </c>
      <c r="M72" s="2"/>
      <c r="N72" s="7">
        <f t="shared" si="39"/>
        <v>0.13425650329298602</v>
      </c>
      <c r="O72" s="11"/>
      <c r="P72" s="6">
        <v>14640.18</v>
      </c>
      <c r="Q72" s="2"/>
      <c r="R72" s="7">
        <f t="shared" si="40"/>
        <v>5.9144641800092553E-3</v>
      </c>
      <c r="S72" s="2"/>
      <c r="T72" s="6">
        <v>10671.83</v>
      </c>
      <c r="U72" s="2"/>
      <c r="V72" s="7">
        <f t="shared" si="41"/>
        <v>4.32377248222276E-3</v>
      </c>
      <c r="W72" s="2"/>
      <c r="X72" s="6">
        <f t="shared" si="42"/>
        <v>3968.3500000000004</v>
      </c>
      <c r="Y72" s="2"/>
      <c r="Z72" s="7">
        <f t="shared" si="43"/>
        <v>0.37185281249795027</v>
      </c>
    </row>
    <row r="73" spans="1:26" s="29" customFormat="1" outlineLevel="1" collapsed="1" x14ac:dyDescent="0.25">
      <c r="A73" s="27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SUM(OSRRefD22_14x_0)</f>
        <v>24794.589999999997</v>
      </c>
      <c r="E73" s="1"/>
      <c r="F73" s="5">
        <f t="shared" ref="F73:F80" si="44">IF(D$12=0,0,D73/D$12)</f>
        <v>1.6990941235589065E-2</v>
      </c>
      <c r="G73" s="1"/>
      <c r="H73" s="1">
        <f>SUM(OSRRefH22_14x_0)</f>
        <v>25701.16</v>
      </c>
      <c r="I73" s="1"/>
      <c r="J73" s="5">
        <f t="shared" ref="J73:J80" si="45">IF(H$12=0,0,H73/H$12)</f>
        <v>1.7162983500826699E-2</v>
      </c>
      <c r="K73" s="1"/>
      <c r="L73" s="1">
        <f t="shared" ref="L73:L80" si="46">+D73-H73</f>
        <v>-906.57000000000335</v>
      </c>
      <c r="M73" s="1"/>
      <c r="N73" s="5">
        <f t="shared" ref="N73:N80" si="47">IF(H73=0,0,L73/H73)</f>
        <v>-3.5273505164747559E-2</v>
      </c>
      <c r="O73" s="14"/>
      <c r="P73" s="1">
        <f>SUM(OSRRefP22_14x_0)</f>
        <v>75568.78</v>
      </c>
      <c r="Q73" s="1"/>
      <c r="R73" s="5">
        <f t="shared" ref="R73:R80" si="48">IF(P$12=0,0,P73/P$12)</f>
        <v>3.0528917160649649E-2</v>
      </c>
      <c r="S73" s="1"/>
      <c r="T73" s="1">
        <f>SUM(OSRRefT22_14x_0)</f>
        <v>72546.44</v>
      </c>
      <c r="U73" s="1"/>
      <c r="V73" s="5">
        <f t="shared" ref="V73:V80" si="49">IF(T$12=0,0,T73/T$12)</f>
        <v>2.939273779241466E-2</v>
      </c>
      <c r="W73" s="1"/>
      <c r="X73" s="1">
        <f t="shared" ref="X73:X80" si="50">+P73-T73</f>
        <v>3022.3399999999965</v>
      </c>
      <c r="Y73" s="1"/>
      <c r="Z73" s="5">
        <f t="shared" ref="Z73:Z80" si="51">IF(T73=0,0,X73/T73)</f>
        <v>4.1660762402676084E-2</v>
      </c>
    </row>
    <row r="74" spans="1:26" s="24" customFormat="1" hidden="1" outlineLevel="2" x14ac:dyDescent="0.25">
      <c r="A74" s="28"/>
      <c r="B74" s="11" t="str">
        <f>CONCATENATE("          ", "6237", " - ", "JANITORIAL SUPPLIES")</f>
        <v xml:space="preserve">          6237 - JANITORIAL SUPPLIES</v>
      </c>
      <c r="C74" s="11"/>
      <c r="D74" s="6">
        <v>7155.63</v>
      </c>
      <c r="E74" s="2"/>
      <c r="F74" s="7">
        <f t="shared" si="44"/>
        <v>4.9035248751287354E-3</v>
      </c>
      <c r="G74" s="2"/>
      <c r="H74" s="6">
        <v>12173.49</v>
      </c>
      <c r="I74" s="2"/>
      <c r="J74" s="7">
        <f t="shared" si="45"/>
        <v>8.1293376648166379E-3</v>
      </c>
      <c r="K74" s="2"/>
      <c r="L74" s="6">
        <f t="shared" si="46"/>
        <v>-5017.8599999999997</v>
      </c>
      <c r="M74" s="2"/>
      <c r="N74" s="7">
        <f t="shared" si="47"/>
        <v>-0.41219568094276987</v>
      </c>
      <c r="O74" s="11"/>
      <c r="P74" s="6">
        <v>23089.040000000001</v>
      </c>
      <c r="Q74" s="2"/>
      <c r="R74" s="7">
        <f t="shared" si="48"/>
        <v>9.3277063554410462E-3</v>
      </c>
      <c r="S74" s="2"/>
      <c r="T74" s="6">
        <v>27403.98</v>
      </c>
      <c r="U74" s="2"/>
      <c r="V74" s="7">
        <f t="shared" si="49"/>
        <v>1.1102929359574026E-2</v>
      </c>
      <c r="W74" s="2"/>
      <c r="X74" s="6">
        <f t="shared" si="50"/>
        <v>-4314.9399999999987</v>
      </c>
      <c r="Y74" s="2"/>
      <c r="Z74" s="7">
        <f t="shared" si="51"/>
        <v>-0.15745669059749712</v>
      </c>
    </row>
    <row r="75" spans="1:26" s="24" customFormat="1" hidden="1" outlineLevel="2" x14ac:dyDescent="0.25">
      <c r="A75" s="28"/>
      <c r="B75" s="11" t="str">
        <f>CONCATENATE("          ", "6239", " - ", "KITCHEN SUPPLIES")</f>
        <v xml:space="preserve">          6239 - KITCHEN SUPPLIES</v>
      </c>
      <c r="C75" s="11"/>
      <c r="D75" s="6">
        <v>9388.08</v>
      </c>
      <c r="E75" s="2"/>
      <c r="F75" s="7">
        <f t="shared" si="44"/>
        <v>6.4333516140016433E-3</v>
      </c>
      <c r="G75" s="2"/>
      <c r="H75" s="6">
        <v>2366.16</v>
      </c>
      <c r="I75" s="2"/>
      <c r="J75" s="7">
        <f t="shared" si="45"/>
        <v>1.5800985263044974E-3</v>
      </c>
      <c r="K75" s="2"/>
      <c r="L75" s="6">
        <f t="shared" si="46"/>
        <v>7021.92</v>
      </c>
      <c r="M75" s="2"/>
      <c r="N75" s="7">
        <f t="shared" si="47"/>
        <v>2.9676437772593571</v>
      </c>
      <c r="O75" s="11"/>
      <c r="P75" s="6">
        <v>15180.769999999999</v>
      </c>
      <c r="Q75" s="2"/>
      <c r="R75" s="7">
        <f t="shared" si="48"/>
        <v>6.1328563166545141E-3</v>
      </c>
      <c r="S75" s="2"/>
      <c r="T75" s="6">
        <v>8521.51</v>
      </c>
      <c r="U75" s="2"/>
      <c r="V75" s="7">
        <f t="shared" si="49"/>
        <v>3.4525541022473252E-3</v>
      </c>
      <c r="W75" s="2"/>
      <c r="X75" s="6">
        <f t="shared" si="50"/>
        <v>6659.2599999999984</v>
      </c>
      <c r="Y75" s="2"/>
      <c r="Z75" s="7">
        <f t="shared" si="51"/>
        <v>0.7814647873440268</v>
      </c>
    </row>
    <row r="76" spans="1:26" s="24" customFormat="1" hidden="1" outlineLevel="2" x14ac:dyDescent="0.25">
      <c r="A76" s="28"/>
      <c r="B76" s="11" t="str">
        <f>CONCATENATE("          ", "6241", " - ", "OFFICE EXPENSE")</f>
        <v xml:space="preserve">          6241 - OFFICE EXPENSE</v>
      </c>
      <c r="C76" s="11"/>
      <c r="D76" s="6">
        <v>1783.8</v>
      </c>
      <c r="E76" s="2"/>
      <c r="F76" s="7">
        <f t="shared" si="44"/>
        <v>1.2223812120322932E-3</v>
      </c>
      <c r="G76" s="2"/>
      <c r="H76" s="6">
        <v>1144.3499999999999</v>
      </c>
      <c r="I76" s="2"/>
      <c r="J76" s="7">
        <f t="shared" si="45"/>
        <v>7.6418574761493374E-4</v>
      </c>
      <c r="K76" s="2"/>
      <c r="L76" s="6">
        <f t="shared" si="46"/>
        <v>639.45000000000005</v>
      </c>
      <c r="M76" s="2"/>
      <c r="N76" s="7">
        <f t="shared" si="47"/>
        <v>0.55878883208808505</v>
      </c>
      <c r="O76" s="11"/>
      <c r="P76" s="6">
        <v>23666.42</v>
      </c>
      <c r="Q76" s="2"/>
      <c r="R76" s="7">
        <f t="shared" si="48"/>
        <v>9.5609612285541996E-3</v>
      </c>
      <c r="S76" s="2"/>
      <c r="T76" s="6">
        <v>5029.79</v>
      </c>
      <c r="U76" s="2"/>
      <c r="V76" s="7">
        <f t="shared" si="49"/>
        <v>2.0378573865362563E-3</v>
      </c>
      <c r="W76" s="2"/>
      <c r="X76" s="6">
        <f t="shared" si="50"/>
        <v>18636.629999999997</v>
      </c>
      <c r="Y76" s="2"/>
      <c r="Z76" s="7">
        <f t="shared" si="51"/>
        <v>3.7052501197863128</v>
      </c>
    </row>
    <row r="77" spans="1:26" s="24" customFormat="1" hidden="1" outlineLevel="2" x14ac:dyDescent="0.25">
      <c r="A77" s="28"/>
      <c r="B77" s="11" t="str">
        <f>CONCATENATE("          ", "6243", " - ", "PAPER SUPPLIES")</f>
        <v xml:space="preserve">          6243 - PAPER SUPPLIES</v>
      </c>
      <c r="C77" s="11"/>
      <c r="D77" s="6">
        <v>6437.08</v>
      </c>
      <c r="E77" s="2"/>
      <c r="F77" s="7">
        <f t="shared" si="44"/>
        <v>4.4111254918426024E-3</v>
      </c>
      <c r="G77" s="2"/>
      <c r="H77" s="6">
        <v>8559.4599999999991</v>
      </c>
      <c r="I77" s="2"/>
      <c r="J77" s="7">
        <f t="shared" si="45"/>
        <v>5.7159237464762709E-3</v>
      </c>
      <c r="K77" s="2"/>
      <c r="L77" s="6">
        <f t="shared" si="46"/>
        <v>-2122.3799999999992</v>
      </c>
      <c r="M77" s="2"/>
      <c r="N77" s="7">
        <f t="shared" si="47"/>
        <v>-0.24795723094681199</v>
      </c>
      <c r="O77" s="11"/>
      <c r="P77" s="6">
        <v>16358.950000000003</v>
      </c>
      <c r="Q77" s="2"/>
      <c r="R77" s="7">
        <f t="shared" si="48"/>
        <v>6.6088274732662043E-3</v>
      </c>
      <c r="S77" s="2"/>
      <c r="T77" s="6">
        <v>20340.25</v>
      </c>
      <c r="U77" s="2"/>
      <c r="V77" s="7">
        <f t="shared" si="49"/>
        <v>8.241005828572184E-3</v>
      </c>
      <c r="W77" s="2"/>
      <c r="X77" s="6">
        <f t="shared" si="50"/>
        <v>-3981.2999999999975</v>
      </c>
      <c r="Y77" s="2"/>
      <c r="Z77" s="7">
        <f t="shared" si="51"/>
        <v>-0.19573505733705326</v>
      </c>
    </row>
    <row r="78" spans="1:26" s="24" customFormat="1" hidden="1" outlineLevel="2" x14ac:dyDescent="0.25">
      <c r="A78" s="28"/>
      <c r="B78" s="11" t="str">
        <f>CONCATENATE("          ", "6245", " - ", "PRINTING")</f>
        <v xml:space="preserve">          6245 - PRINTING</v>
      </c>
      <c r="C78" s="11"/>
      <c r="D78" s="6"/>
      <c r="E78" s="2"/>
      <c r="F78" s="7">
        <f t="shared" si="44"/>
        <v>0</v>
      </c>
      <c r="G78" s="2"/>
      <c r="H78" s="6">
        <v>1376.99</v>
      </c>
      <c r="I78" s="2"/>
      <c r="J78" s="7">
        <f t="shared" si="45"/>
        <v>9.1954046629814977E-4</v>
      </c>
      <c r="K78" s="2"/>
      <c r="L78" s="6">
        <f t="shared" si="46"/>
        <v>-1376.99</v>
      </c>
      <c r="M78" s="2"/>
      <c r="N78" s="7">
        <f t="shared" si="47"/>
        <v>-1</v>
      </c>
      <c r="O78" s="11"/>
      <c r="P78" s="6">
        <v>1323</v>
      </c>
      <c r="Q78" s="2"/>
      <c r="R78" s="7">
        <f t="shared" si="48"/>
        <v>5.3447676942170418E-4</v>
      </c>
      <c r="S78" s="2"/>
      <c r="T78" s="6">
        <v>1683.78</v>
      </c>
      <c r="U78" s="2"/>
      <c r="V78" s="7">
        <f t="shared" si="49"/>
        <v>6.8219617723642891E-4</v>
      </c>
      <c r="W78" s="2"/>
      <c r="X78" s="6">
        <f t="shared" si="50"/>
        <v>-360.78</v>
      </c>
      <c r="Y78" s="2"/>
      <c r="Z78" s="7">
        <f t="shared" si="51"/>
        <v>-0.21426789723122971</v>
      </c>
    </row>
    <row r="79" spans="1:26" s="24" customFormat="1" hidden="1" outlineLevel="2" x14ac:dyDescent="0.25">
      <c r="A79" s="28"/>
      <c r="B79" s="11" t="str">
        <f>CONCATENATE("          ", "6247", " - ", "STORE SUPPLIES")</f>
        <v xml:space="preserve">          6247 - STORE SUPPLIES</v>
      </c>
      <c r="C79" s="11"/>
      <c r="D79" s="6">
        <v>30</v>
      </c>
      <c r="E79" s="2"/>
      <c r="F79" s="7">
        <f t="shared" si="44"/>
        <v>2.0558042583792353E-5</v>
      </c>
      <c r="G79" s="2"/>
      <c r="H79" s="6">
        <v>80.709999999999994</v>
      </c>
      <c r="I79" s="2"/>
      <c r="J79" s="7">
        <f t="shared" si="45"/>
        <v>5.3897349316206842E-5</v>
      </c>
      <c r="K79" s="2"/>
      <c r="L79" s="6">
        <f t="shared" si="46"/>
        <v>-50.709999999999994</v>
      </c>
      <c r="M79" s="2"/>
      <c r="N79" s="7">
        <f t="shared" si="47"/>
        <v>-0.62829884772642797</v>
      </c>
      <c r="O79" s="11"/>
      <c r="P79" s="6">
        <v>406.35</v>
      </c>
      <c r="Q79" s="2"/>
      <c r="R79" s="7">
        <f t="shared" si="48"/>
        <v>1.6416072203666627E-4</v>
      </c>
      <c r="S79" s="2"/>
      <c r="T79" s="6">
        <v>60.71</v>
      </c>
      <c r="U79" s="2"/>
      <c r="V79" s="7">
        <f t="shared" si="49"/>
        <v>2.4597114777479007E-5</v>
      </c>
      <c r="W79" s="2"/>
      <c r="X79" s="6">
        <f t="shared" si="50"/>
        <v>345.64000000000004</v>
      </c>
      <c r="Y79" s="2"/>
      <c r="Z79" s="7">
        <f t="shared" si="51"/>
        <v>5.6932959973645207</v>
      </c>
    </row>
    <row r="80" spans="1:26" s="24" customFormat="1" hidden="1" outlineLevel="2" x14ac:dyDescent="0.25">
      <c r="A80" s="28"/>
      <c r="B80" s="11" t="str">
        <f>CONCATENATE("          ", "6248", " - ", "UNIFORMS")</f>
        <v xml:space="preserve">          6248 - UNIFORMS</v>
      </c>
      <c r="C80" s="11"/>
      <c r="D80" s="6"/>
      <c r="E80" s="2"/>
      <c r="F80" s="7">
        <f t="shared" si="44"/>
        <v>0</v>
      </c>
      <c r="G80" s="2"/>
      <c r="H80" s="6"/>
      <c r="I80" s="2"/>
      <c r="J80" s="7">
        <f t="shared" si="45"/>
        <v>0</v>
      </c>
      <c r="K80" s="2"/>
      <c r="L80" s="6">
        <f t="shared" si="46"/>
        <v>0</v>
      </c>
      <c r="M80" s="2"/>
      <c r="N80" s="7">
        <f t="shared" si="47"/>
        <v>0</v>
      </c>
      <c r="O80" s="11"/>
      <c r="P80" s="6">
        <v>-4455.75</v>
      </c>
      <c r="Q80" s="2"/>
      <c r="R80" s="7">
        <f t="shared" si="48"/>
        <v>-1.800071704724685E-3</v>
      </c>
      <c r="S80" s="2"/>
      <c r="T80" s="6">
        <v>9506.42</v>
      </c>
      <c r="U80" s="2"/>
      <c r="V80" s="7">
        <f t="shared" si="49"/>
        <v>3.8515978234709598E-3</v>
      </c>
      <c r="W80" s="2"/>
      <c r="X80" s="6">
        <f t="shared" si="50"/>
        <v>-13962.17</v>
      </c>
      <c r="Y80" s="2"/>
      <c r="Z80" s="7">
        <f t="shared" si="51"/>
        <v>-1.4687095667980166</v>
      </c>
    </row>
    <row r="81" spans="1:26" s="29" customFormat="1" outlineLevel="1" collapsed="1" x14ac:dyDescent="0.25">
      <c r="A81" s="27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SUM(OSRRefD22_15x_0)</f>
        <v>1143</v>
      </c>
      <c r="E81" s="1"/>
      <c r="F81" s="5">
        <f t="shared" ref="F81:F87" si="52">IF(D$12=0,0,D81/D$12)</f>
        <v>7.8326142244248859E-4</v>
      </c>
      <c r="G81" s="1"/>
      <c r="H81" s="1">
        <f>SUM(OSRRefH22_15x_0)</f>
        <v>975</v>
      </c>
      <c r="I81" s="1"/>
      <c r="J81" s="5">
        <f t="shared" ref="J81:J87" si="53">IF(H$12=0,0,H81/H$12)</f>
        <v>6.5109547247307247E-4</v>
      </c>
      <c r="K81" s="1"/>
      <c r="L81" s="1">
        <f t="shared" ref="L81:L87" si="54">+D81-H81</f>
        <v>168</v>
      </c>
      <c r="M81" s="1"/>
      <c r="N81" s="5">
        <f t="shared" ref="N81:N87" si="55">IF(H81=0,0,L81/H81)</f>
        <v>0.1723076923076923</v>
      </c>
      <c r="O81" s="14"/>
      <c r="P81" s="1">
        <f>SUM(OSRRefP22_15x_0)</f>
        <v>1467.15</v>
      </c>
      <c r="Q81" s="1"/>
      <c r="R81" s="5">
        <f t="shared" ref="R81:R87" si="56">IF(P$12=0,0,P81/P$12)</f>
        <v>5.9271170994486266E-4</v>
      </c>
      <c r="S81" s="1"/>
      <c r="T81" s="1">
        <f>SUM(OSRRefT22_15x_0)</f>
        <v>1975.35</v>
      </c>
      <c r="U81" s="1"/>
      <c r="V81" s="5">
        <f t="shared" ref="V81:V87" si="57">IF(T$12=0,0,T81/T$12)</f>
        <v>8.0032796369120657E-4</v>
      </c>
      <c r="W81" s="1"/>
      <c r="X81" s="1">
        <f t="shared" ref="X81:X87" si="58">+P81-T81</f>
        <v>-508.19999999999982</v>
      </c>
      <c r="Y81" s="1"/>
      <c r="Z81" s="5">
        <f t="shared" ref="Z81:Z87" si="59">IF(T81=0,0,X81/T81)</f>
        <v>-0.25727086339129768</v>
      </c>
    </row>
    <row r="82" spans="1:26" s="24" customFormat="1" hidden="1" outlineLevel="2" x14ac:dyDescent="0.25">
      <c r="A82" s="28"/>
      <c r="B82" s="11" t="str">
        <f>CONCATENATE("          ", "6309", " - ", "TELEPHONE")</f>
        <v xml:space="preserve">          6309 - TELEPHONE</v>
      </c>
      <c r="C82" s="11"/>
      <c r="D82" s="6">
        <v>1143</v>
      </c>
      <c r="E82" s="2"/>
      <c r="F82" s="7">
        <f t="shared" si="52"/>
        <v>7.8326142244248859E-4</v>
      </c>
      <c r="G82" s="2"/>
      <c r="H82" s="6">
        <v>975</v>
      </c>
      <c r="I82" s="2"/>
      <c r="J82" s="7">
        <f t="shared" si="53"/>
        <v>6.5109547247307247E-4</v>
      </c>
      <c r="K82" s="2"/>
      <c r="L82" s="6">
        <f t="shared" si="54"/>
        <v>168</v>
      </c>
      <c r="M82" s="2"/>
      <c r="N82" s="7">
        <f t="shared" si="55"/>
        <v>0.1723076923076923</v>
      </c>
      <c r="O82" s="11"/>
      <c r="P82" s="6">
        <v>1467.15</v>
      </c>
      <c r="Q82" s="2"/>
      <c r="R82" s="7">
        <f t="shared" si="56"/>
        <v>5.9271170994486266E-4</v>
      </c>
      <c r="S82" s="2"/>
      <c r="T82" s="6">
        <v>1975.35</v>
      </c>
      <c r="U82" s="2"/>
      <c r="V82" s="7">
        <f t="shared" si="57"/>
        <v>8.0032796369120657E-4</v>
      </c>
      <c r="W82" s="2"/>
      <c r="X82" s="6">
        <f t="shared" si="58"/>
        <v>-508.19999999999982</v>
      </c>
      <c r="Y82" s="2"/>
      <c r="Z82" s="7">
        <f t="shared" si="59"/>
        <v>-0.25727086339129768</v>
      </c>
    </row>
    <row r="83" spans="1:26" s="29" customFormat="1" outlineLevel="1" collapsed="1" x14ac:dyDescent="0.25">
      <c r="A83" s="27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SUM(OSRRefD22_16x_0)</f>
        <v>192</v>
      </c>
      <c r="E83" s="1"/>
      <c r="F83" s="5">
        <f t="shared" si="52"/>
        <v>1.3157147253627105E-4</v>
      </c>
      <c r="G83" s="1"/>
      <c r="H83" s="1">
        <f>SUM(OSRRefH22_16x_0)</f>
        <v>763.02</v>
      </c>
      <c r="I83" s="1"/>
      <c r="J83" s="5">
        <f t="shared" si="53"/>
        <v>5.0953729990400377E-4</v>
      </c>
      <c r="K83" s="1"/>
      <c r="L83" s="1">
        <f t="shared" si="54"/>
        <v>-571.02</v>
      </c>
      <c r="M83" s="1"/>
      <c r="N83" s="5">
        <f t="shared" si="55"/>
        <v>-0.74836832586301805</v>
      </c>
      <c r="O83" s="14"/>
      <c r="P83" s="1">
        <f>SUM(OSRRefP22_16x_0)</f>
        <v>3588.27</v>
      </c>
      <c r="Q83" s="1"/>
      <c r="R83" s="5">
        <f t="shared" si="56"/>
        <v>1.4496197712870885E-3</v>
      </c>
      <c r="S83" s="1"/>
      <c r="T83" s="1">
        <f>SUM(OSRRefT22_16x_0)</f>
        <v>5697.89</v>
      </c>
      <c r="U83" s="1"/>
      <c r="V83" s="5">
        <f t="shared" si="57"/>
        <v>2.3085431447776288E-3</v>
      </c>
      <c r="W83" s="1"/>
      <c r="X83" s="1">
        <f t="shared" si="58"/>
        <v>-2109.6200000000003</v>
      </c>
      <c r="Y83" s="1"/>
      <c r="Z83" s="5">
        <f t="shared" si="59"/>
        <v>-0.37024582784153437</v>
      </c>
    </row>
    <row r="84" spans="1:26" s="24" customFormat="1" hidden="1" outlineLevel="2" x14ac:dyDescent="0.25">
      <c r="A84" s="28"/>
      <c r="B84" s="11" t="str">
        <f>CONCATENATE("          ", "6376", " - ", "TRAINING")</f>
        <v xml:space="preserve">          6376 - TRAINING</v>
      </c>
      <c r="C84" s="11"/>
      <c r="D84" s="6">
        <v>192</v>
      </c>
      <c r="E84" s="2"/>
      <c r="F84" s="7">
        <f t="shared" si="52"/>
        <v>1.3157147253627105E-4</v>
      </c>
      <c r="G84" s="2"/>
      <c r="H84" s="6">
        <v>763.02</v>
      </c>
      <c r="I84" s="2"/>
      <c r="J84" s="7">
        <f t="shared" si="53"/>
        <v>5.0953729990400377E-4</v>
      </c>
      <c r="K84" s="2"/>
      <c r="L84" s="6">
        <f t="shared" si="54"/>
        <v>-571.02</v>
      </c>
      <c r="M84" s="2"/>
      <c r="N84" s="7">
        <f t="shared" si="55"/>
        <v>-0.74836832586301805</v>
      </c>
      <c r="O84" s="11"/>
      <c r="P84" s="6">
        <v>3588.27</v>
      </c>
      <c r="Q84" s="2"/>
      <c r="R84" s="7">
        <f t="shared" si="56"/>
        <v>1.4496197712870885E-3</v>
      </c>
      <c r="S84" s="2"/>
      <c r="T84" s="6">
        <v>5697.89</v>
      </c>
      <c r="U84" s="2"/>
      <c r="V84" s="7">
        <f t="shared" si="57"/>
        <v>2.3085431447776288E-3</v>
      </c>
      <c r="W84" s="2"/>
      <c r="X84" s="6">
        <f t="shared" si="58"/>
        <v>-2109.6200000000003</v>
      </c>
      <c r="Y84" s="2"/>
      <c r="Z84" s="7">
        <f t="shared" si="59"/>
        <v>-0.37024582784153437</v>
      </c>
    </row>
    <row r="85" spans="1:26" s="29" customFormat="1" outlineLevel="1" collapsed="1" x14ac:dyDescent="0.25">
      <c r="A85" s="27"/>
      <c r="B85" s="14" t="str">
        <f>CONCATENATE("     ","Travel                                            ")</f>
        <v xml:space="preserve">     Travel                                            </v>
      </c>
      <c r="C85" s="14"/>
      <c r="D85" s="1">
        <f>SUM(OSRRefD22_17x_0)</f>
        <v>0</v>
      </c>
      <c r="E85" s="1"/>
      <c r="F85" s="5">
        <f t="shared" si="52"/>
        <v>0</v>
      </c>
      <c r="G85" s="1"/>
      <c r="H85" s="1">
        <f>SUM(OSRRefH22_17x_0)</f>
        <v>50</v>
      </c>
      <c r="I85" s="1"/>
      <c r="J85" s="5">
        <f t="shared" si="53"/>
        <v>3.3389511408875509E-5</v>
      </c>
      <c r="K85" s="1"/>
      <c r="L85" s="1">
        <f t="shared" si="54"/>
        <v>-50</v>
      </c>
      <c r="M85" s="1"/>
      <c r="N85" s="5">
        <f t="shared" si="55"/>
        <v>-1</v>
      </c>
      <c r="O85" s="14"/>
      <c r="P85" s="1">
        <f>SUM(OSRRefP22_17x_0)</f>
        <v>1688.41</v>
      </c>
      <c r="Q85" s="1"/>
      <c r="R85" s="5">
        <f t="shared" si="56"/>
        <v>6.8209820276591041E-4</v>
      </c>
      <c r="S85" s="1"/>
      <c r="T85" s="1">
        <f>SUM(OSRRefT22_17x_0)</f>
        <v>1264.33</v>
      </c>
      <c r="U85" s="1"/>
      <c r="V85" s="5">
        <f t="shared" si="57"/>
        <v>5.1225284346252719E-4</v>
      </c>
      <c r="W85" s="1"/>
      <c r="X85" s="1">
        <f t="shared" si="58"/>
        <v>424.08000000000015</v>
      </c>
      <c r="Y85" s="1"/>
      <c r="Z85" s="5">
        <f t="shared" si="59"/>
        <v>0.33541875934289322</v>
      </c>
    </row>
    <row r="86" spans="1:26" s="24" customFormat="1" hidden="1" outlineLevel="2" x14ac:dyDescent="0.25">
      <c r="A86" s="28"/>
      <c r="B86" s="11" t="str">
        <f>CONCATENATE("          ", "6292", " - ", "TRAVEL/CONFERENCE")</f>
        <v xml:space="preserve">          6292 - TRAVEL/CONFERENCE</v>
      </c>
      <c r="C86" s="11"/>
      <c r="D86" s="6"/>
      <c r="E86" s="2"/>
      <c r="F86" s="7">
        <f t="shared" si="52"/>
        <v>0</v>
      </c>
      <c r="G86" s="2"/>
      <c r="H86" s="6"/>
      <c r="I86" s="2"/>
      <c r="J86" s="7">
        <f t="shared" si="53"/>
        <v>0</v>
      </c>
      <c r="K86" s="2"/>
      <c r="L86" s="6">
        <f t="shared" si="54"/>
        <v>0</v>
      </c>
      <c r="M86" s="2"/>
      <c r="N86" s="7">
        <f t="shared" si="55"/>
        <v>0</v>
      </c>
      <c r="O86" s="11"/>
      <c r="P86" s="6">
        <v>1688.41</v>
      </c>
      <c r="Q86" s="2"/>
      <c r="R86" s="7">
        <f t="shared" si="56"/>
        <v>6.8209820276591041E-4</v>
      </c>
      <c r="S86" s="2"/>
      <c r="T86" s="6">
        <v>987.5</v>
      </c>
      <c r="U86" s="2"/>
      <c r="V86" s="7">
        <f t="shared" si="57"/>
        <v>4.0009307927459261E-4</v>
      </c>
      <c r="W86" s="2"/>
      <c r="X86" s="6">
        <f t="shared" si="58"/>
        <v>700.91000000000008</v>
      </c>
      <c r="Y86" s="2"/>
      <c r="Z86" s="7">
        <f t="shared" si="59"/>
        <v>0.70978227848101272</v>
      </c>
    </row>
    <row r="87" spans="1:26" s="24" customFormat="1" hidden="1" outlineLevel="2" x14ac:dyDescent="0.25">
      <c r="A87" s="28"/>
      <c r="B87" s="11" t="str">
        <f>CONCATENATE("          ", "6294", " - ", "TRAVEL OPERATIONAL")</f>
        <v xml:space="preserve">          6294 - TRAVEL OPERATIONAL</v>
      </c>
      <c r="C87" s="11"/>
      <c r="D87" s="6"/>
      <c r="E87" s="2"/>
      <c r="F87" s="7">
        <f t="shared" si="52"/>
        <v>0</v>
      </c>
      <c r="G87" s="2"/>
      <c r="H87" s="6">
        <v>50</v>
      </c>
      <c r="I87" s="2"/>
      <c r="J87" s="7">
        <f t="shared" si="53"/>
        <v>3.3389511408875509E-5</v>
      </c>
      <c r="K87" s="2"/>
      <c r="L87" s="6">
        <f t="shared" si="54"/>
        <v>-50</v>
      </c>
      <c r="M87" s="2"/>
      <c r="N87" s="7">
        <f t="shared" si="55"/>
        <v>-1</v>
      </c>
      <c r="O87" s="11"/>
      <c r="P87" s="6"/>
      <c r="Q87" s="2"/>
      <c r="R87" s="7">
        <f t="shared" si="56"/>
        <v>0</v>
      </c>
      <c r="S87" s="2"/>
      <c r="T87" s="6">
        <v>276.83</v>
      </c>
      <c r="U87" s="2"/>
      <c r="V87" s="7">
        <f t="shared" si="57"/>
        <v>1.1215976418793465E-4</v>
      </c>
      <c r="W87" s="2"/>
      <c r="X87" s="6">
        <f t="shared" si="58"/>
        <v>-276.83</v>
      </c>
      <c r="Y87" s="2"/>
      <c r="Z87" s="7">
        <f t="shared" si="59"/>
        <v>-1</v>
      </c>
    </row>
    <row r="88" spans="1:26" s="53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5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6" t="s">
        <v>3</v>
      </c>
      <c r="C91" s="26"/>
      <c r="D91" s="21">
        <f>+D24-D26+D89</f>
        <v>582145.55000000028</v>
      </c>
      <c r="E91" s="13"/>
      <c r="F91" s="20">
        <f>IF(D$12=0,0,D91/D$12)</f>
        <v>0.39892576689550752</v>
      </c>
      <c r="G91" s="13"/>
      <c r="H91" s="21">
        <f>+H24-H26+H89</f>
        <v>704036.83000000007</v>
      </c>
      <c r="I91" s="13"/>
      <c r="J91" s="20">
        <f>IF(H$12=0,0,H91/H$12)</f>
        <v>0.47014891535107101</v>
      </c>
      <c r="K91" s="15"/>
      <c r="L91" s="21">
        <f>+D91-H91</f>
        <v>-121891.2799999998</v>
      </c>
      <c r="M91" s="15"/>
      <c r="N91" s="20">
        <f>IF(H91=0,0,L91/H91)</f>
        <v>-0.17313196526948707</v>
      </c>
      <c r="O91" s="25"/>
      <c r="P91" s="21">
        <f>+P24-P26+P89</f>
        <v>521569.20000000042</v>
      </c>
      <c r="Q91" s="13"/>
      <c r="R91" s="20">
        <f>IF(P$12=0,0,P91/P$12)</f>
        <v>0.21070795241561821</v>
      </c>
      <c r="S91" s="13"/>
      <c r="T91" s="21">
        <f>+T24-T26+T89</f>
        <v>659296.96999999974</v>
      </c>
      <c r="U91" s="13"/>
      <c r="V91" s="20">
        <f>IF(T$12=0,0,T91/T$12)</f>
        <v>0.26711914418603405</v>
      </c>
      <c r="W91" s="15"/>
      <c r="X91" s="21">
        <f>+P91-T91</f>
        <v>-137727.76999999932</v>
      </c>
      <c r="Y91" s="15"/>
      <c r="Z91" s="20">
        <f>IF(T91=0,0,X91/T91)</f>
        <v>-0.20890096006356496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13</v>
      </c>
      <c r="C93" s="10"/>
      <c r="D93" s="4">
        <v>139200.93</v>
      </c>
      <c r="E93" s="4"/>
      <c r="F93" s="12">
        <f>IF(D$12=0,0,D93/D$12)</f>
        <v>9.5389954888116607E-2</v>
      </c>
      <c r="G93" s="4"/>
      <c r="H93" s="4">
        <v>120186.43999999999</v>
      </c>
      <c r="I93" s="4"/>
      <c r="J93" s="12">
        <f>IF(H$12=0,0,H93/H$12)</f>
        <v>8.0259330191442629E-2</v>
      </c>
      <c r="K93" s="4"/>
      <c r="L93" s="4">
        <f>+D93-H93</f>
        <v>19014.490000000005</v>
      </c>
      <c r="M93" s="4"/>
      <c r="N93" s="12">
        <f>IF(H93=0,0,L93/H93)</f>
        <v>0.15820828040168264</v>
      </c>
      <c r="O93" s="10"/>
      <c r="P93" s="4">
        <v>265881.95</v>
      </c>
      <c r="Q93" s="4"/>
      <c r="R93" s="12">
        <f>IF(P$12=0,0,P93/P$12)</f>
        <v>0.10741324692633641</v>
      </c>
      <c r="S93" s="4"/>
      <c r="T93" s="4">
        <v>219290.27000000002</v>
      </c>
      <c r="U93" s="4"/>
      <c r="V93" s="12">
        <f>IF(T$12=0,0,T93/T$12)</f>
        <v>8.8847108232158814E-2</v>
      </c>
      <c r="W93" s="4"/>
      <c r="X93" s="4">
        <f>+P93-T93</f>
        <v>46591.679999999993</v>
      </c>
      <c r="Y93" s="4"/>
      <c r="Z93" s="12">
        <f>IF(T93=0,0,X93/T93)</f>
        <v>0.21246578792574786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6" t="s">
        <v>4</v>
      </c>
      <c r="C95" s="26"/>
      <c r="D95" s="35">
        <f>+D91-D93</f>
        <v>442944.62000000029</v>
      </c>
      <c r="E95" s="13"/>
      <c r="F95" s="30">
        <f>IF(D$12=0,0,D95/D$12)</f>
        <v>0.30353581200739094</v>
      </c>
      <c r="G95" s="13"/>
      <c r="H95" s="35">
        <f>+H91-H93</f>
        <v>583850.39000000013</v>
      </c>
      <c r="I95" s="13"/>
      <c r="J95" s="30">
        <f>IF(H$12=0,0,H95/H$12)</f>
        <v>0.3898895851596284</v>
      </c>
      <c r="K95" s="15"/>
      <c r="L95" s="35">
        <f>D95-H95</f>
        <v>-140905.76999999984</v>
      </c>
      <c r="M95" s="15"/>
      <c r="N95" s="30">
        <f>IF(H95=0,0,L95/H95)</f>
        <v>-0.24133882996978012</v>
      </c>
      <c r="O95" s="25"/>
      <c r="P95" s="35">
        <f>+P91-P93</f>
        <v>255687.25000000041</v>
      </c>
      <c r="Q95" s="13"/>
      <c r="R95" s="30">
        <f>IF(P$12=0,0,P95/P$12)</f>
        <v>0.10329470548928181</v>
      </c>
      <c r="S95" s="13"/>
      <c r="T95" s="35">
        <f>+T91-T93</f>
        <v>440006.69999999972</v>
      </c>
      <c r="U95" s="13"/>
      <c r="V95" s="30">
        <f>IF(T$12=0,0,T95/T$12)</f>
        <v>0.17827203595387522</v>
      </c>
      <c r="W95" s="15"/>
      <c r="X95" s="35">
        <f>P95-T95</f>
        <v>-184319.44999999931</v>
      </c>
      <c r="Y95" s="15"/>
      <c r="Z95" s="30">
        <f>IF(T95=0,0,X95/T95)</f>
        <v>-0.41890146218227914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6" t="s">
        <v>5</v>
      </c>
      <c r="C98" s="26"/>
      <c r="D98" s="36">
        <f>SUM(D95:D97)</f>
        <v>442944.62000000029</v>
      </c>
      <c r="E98" s="13"/>
      <c r="F98" s="31">
        <f>IF(D$12=0,0,D98/D$12)</f>
        <v>0.30353581200739094</v>
      </c>
      <c r="G98" s="13"/>
      <c r="H98" s="36">
        <f>SUM(H95:H97)</f>
        <v>583850.39000000013</v>
      </c>
      <c r="I98" s="13"/>
      <c r="J98" s="31">
        <f>IF(H$12=0,0,H98/H$12)</f>
        <v>0.3898895851596284</v>
      </c>
      <c r="K98" s="15"/>
      <c r="L98" s="36">
        <f>+D98-H98</f>
        <v>-140905.76999999984</v>
      </c>
      <c r="M98" s="15"/>
      <c r="N98" s="31">
        <f>IF(H98=0,0,L98/H98)</f>
        <v>-0.24133882996978012</v>
      </c>
      <c r="O98" s="25"/>
      <c r="P98" s="36">
        <f>SUM(P95:P97)</f>
        <v>255687.25000000041</v>
      </c>
      <c r="Q98" s="13"/>
      <c r="R98" s="31">
        <f>IF(P$12=0,0,P98/P$12)</f>
        <v>0.10329470548928181</v>
      </c>
      <c r="S98" s="13"/>
      <c r="T98" s="36">
        <f>SUM(T95:T97)</f>
        <v>440006.69999999972</v>
      </c>
      <c r="U98" s="13"/>
      <c r="V98" s="31">
        <f>IF(T$12=0,0,T98/T$12)</f>
        <v>0.17827203595387522</v>
      </c>
      <c r="W98" s="15"/>
      <c r="X98" s="36">
        <f>+P98-T98</f>
        <v>-184319.44999999931</v>
      </c>
      <c r="Y98" s="15"/>
      <c r="Z98" s="31">
        <f>IF(T98=0,0,X98/T98)</f>
        <v>-0.41890146218227914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55">
        <v>43756.462664467595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6" t="s">
        <v>313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7"/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","430", " - ", "Res Hall Management")</f>
        <v>Department 430 - Res Hall Management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21665.649999999998</v>
      </c>
      <c r="E18" s="22"/>
      <c r="F18" s="34">
        <f t="shared" ref="F18:F27" si="0">IF(D$12=0,0,D18/D$12)</f>
        <v>0</v>
      </c>
      <c r="G18" s="22"/>
      <c r="H18" s="22">
        <f>SUM(OSRRefH22x_0)</f>
        <v>13299.81</v>
      </c>
      <c r="I18" s="22"/>
      <c r="J18" s="34">
        <f t="shared" ref="J18:J27" si="1">IF(H$12=0,0,H18/H$12)</f>
        <v>0</v>
      </c>
      <c r="K18" s="4"/>
      <c r="L18" s="22">
        <f t="shared" ref="L18:L27" si="2">+D18-H18</f>
        <v>8365.8399999999983</v>
      </c>
      <c r="M18" s="4"/>
      <c r="N18" s="34">
        <f t="shared" ref="N18:N27" si="3">IF(H18=0,0,L18/H18)</f>
        <v>0.62901951230882236</v>
      </c>
      <c r="O18" s="10"/>
      <c r="P18" s="22">
        <f>SUM(OSRRefP22x_0)</f>
        <v>47700.020000000004</v>
      </c>
      <c r="Q18" s="22"/>
      <c r="R18" s="34">
        <f t="shared" ref="R18:R27" si="4">IF(P$12=0,0,P18/P$12)</f>
        <v>0</v>
      </c>
      <c r="S18" s="22"/>
      <c r="T18" s="22">
        <f>SUM(OSRRefT22x_0)</f>
        <v>43742.09</v>
      </c>
      <c r="U18" s="22"/>
      <c r="V18" s="34">
        <f t="shared" ref="V18:V27" si="5">IF(T$12=0,0,T18/T$12)</f>
        <v>0</v>
      </c>
      <c r="W18" s="4"/>
      <c r="X18" s="22">
        <f t="shared" ref="X18:X27" si="6">+P18-T18</f>
        <v>3957.9300000000076</v>
      </c>
      <c r="Y18" s="4"/>
      <c r="Z18" s="34">
        <f t="shared" ref="Z18:Z27" si="7">IF(T18=0,0,X18/T18)</f>
        <v>9.0483330814782922E-2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5559.99</v>
      </c>
      <c r="E19" s="1"/>
      <c r="F19" s="5">
        <f t="shared" si="0"/>
        <v>0</v>
      </c>
      <c r="G19" s="1"/>
      <c r="H19" s="1">
        <f>SUM(OSRRefH22_0x_0)</f>
        <v>5335</v>
      </c>
      <c r="I19" s="1"/>
      <c r="J19" s="5">
        <f t="shared" si="1"/>
        <v>0</v>
      </c>
      <c r="K19" s="1"/>
      <c r="L19" s="1">
        <f t="shared" si="2"/>
        <v>224.98999999999978</v>
      </c>
      <c r="M19" s="1"/>
      <c r="N19" s="5">
        <f t="shared" si="3"/>
        <v>4.21724461105904E-2</v>
      </c>
      <c r="O19" s="14"/>
      <c r="P19" s="1">
        <f>SUM(OSRRefP22_0x_0)</f>
        <v>17159.629999999997</v>
      </c>
      <c r="Q19" s="1"/>
      <c r="R19" s="5">
        <f t="shared" si="4"/>
        <v>0</v>
      </c>
      <c r="S19" s="1"/>
      <c r="T19" s="1">
        <f>SUM(OSRRefT22_0x_0)</f>
        <v>14863.97</v>
      </c>
      <c r="U19" s="1"/>
      <c r="V19" s="5">
        <f t="shared" si="5"/>
        <v>0</v>
      </c>
      <c r="W19" s="1"/>
      <c r="X19" s="1">
        <f t="shared" si="6"/>
        <v>2295.659999999998</v>
      </c>
      <c r="Y19" s="1"/>
      <c r="Z19" s="5">
        <f t="shared" si="7"/>
        <v>0.15444460665622967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623.1</v>
      </c>
      <c r="E20" s="2"/>
      <c r="F20" s="7">
        <f t="shared" si="0"/>
        <v>0</v>
      </c>
      <c r="G20" s="2"/>
      <c r="H20" s="6">
        <v>604.94000000000005</v>
      </c>
      <c r="I20" s="2"/>
      <c r="J20" s="7">
        <f t="shared" si="1"/>
        <v>0</v>
      </c>
      <c r="K20" s="2"/>
      <c r="L20" s="6">
        <f t="shared" si="2"/>
        <v>18.159999999999968</v>
      </c>
      <c r="M20" s="2"/>
      <c r="N20" s="7">
        <f t="shared" si="3"/>
        <v>3.0019506066717307E-2</v>
      </c>
      <c r="O20" s="11"/>
      <c r="P20" s="6">
        <v>1869.3</v>
      </c>
      <c r="Q20" s="2"/>
      <c r="R20" s="7">
        <f t="shared" si="4"/>
        <v>0</v>
      </c>
      <c r="S20" s="2"/>
      <c r="T20" s="6">
        <v>1814.82</v>
      </c>
      <c r="U20" s="2"/>
      <c r="V20" s="7">
        <f t="shared" si="5"/>
        <v>0</v>
      </c>
      <c r="W20" s="2"/>
      <c r="X20" s="6">
        <f t="shared" si="6"/>
        <v>54.480000000000018</v>
      </c>
      <c r="Y20" s="2"/>
      <c r="Z20" s="7">
        <f t="shared" si="7"/>
        <v>3.0019506066717373E-2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316.02999999999997</v>
      </c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316.02999999999997</v>
      </c>
      <c r="M21" s="2"/>
      <c r="N21" s="7">
        <f t="shared" si="3"/>
        <v>0</v>
      </c>
      <c r="O21" s="11"/>
      <c r="P21" s="6">
        <v>948.09</v>
      </c>
      <c r="Q21" s="2"/>
      <c r="R21" s="7">
        <f t="shared" si="4"/>
        <v>0</v>
      </c>
      <c r="S21" s="2"/>
      <c r="T21" s="6">
        <v>687.9</v>
      </c>
      <c r="U21" s="2"/>
      <c r="V21" s="7">
        <f t="shared" si="5"/>
        <v>0</v>
      </c>
      <c r="W21" s="2"/>
      <c r="X21" s="6">
        <f t="shared" si="6"/>
        <v>260.19000000000005</v>
      </c>
      <c r="Y21" s="2"/>
      <c r="Z21" s="7">
        <f t="shared" si="7"/>
        <v>0.37823811600523344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2730.6</v>
      </c>
      <c r="E22" s="2"/>
      <c r="F22" s="7">
        <f t="shared" si="0"/>
        <v>0</v>
      </c>
      <c r="G22" s="2"/>
      <c r="H22" s="6">
        <v>2797.72</v>
      </c>
      <c r="I22" s="2"/>
      <c r="J22" s="7">
        <f t="shared" si="1"/>
        <v>0</v>
      </c>
      <c r="K22" s="2"/>
      <c r="L22" s="6">
        <f t="shared" si="2"/>
        <v>-67.119999999999891</v>
      </c>
      <c r="M22" s="2"/>
      <c r="N22" s="7">
        <f t="shared" si="3"/>
        <v>-2.3990964070743283E-2</v>
      </c>
      <c r="O22" s="11"/>
      <c r="P22" s="6">
        <v>8191.8</v>
      </c>
      <c r="Q22" s="2"/>
      <c r="R22" s="7">
        <f t="shared" si="4"/>
        <v>0</v>
      </c>
      <c r="S22" s="2"/>
      <c r="T22" s="6">
        <v>6645.71</v>
      </c>
      <c r="U22" s="2"/>
      <c r="V22" s="7">
        <f t="shared" si="5"/>
        <v>0</v>
      </c>
      <c r="W22" s="2"/>
      <c r="X22" s="6">
        <f t="shared" si="6"/>
        <v>1546.0900000000001</v>
      </c>
      <c r="Y22" s="2"/>
      <c r="Z22" s="7">
        <f t="shared" si="7"/>
        <v>0.23264481898849035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21.18</v>
      </c>
      <c r="E23" s="2"/>
      <c r="F23" s="7">
        <f t="shared" si="0"/>
        <v>0</v>
      </c>
      <c r="G23" s="2"/>
      <c r="H23" s="6">
        <v>20.56</v>
      </c>
      <c r="I23" s="2"/>
      <c r="J23" s="7">
        <f t="shared" si="1"/>
        <v>0</v>
      </c>
      <c r="K23" s="2"/>
      <c r="L23" s="6">
        <f t="shared" si="2"/>
        <v>0.62000000000000099</v>
      </c>
      <c r="M23" s="2"/>
      <c r="N23" s="7">
        <f t="shared" si="3"/>
        <v>3.0155642023346352E-2</v>
      </c>
      <c r="O23" s="11"/>
      <c r="P23" s="6">
        <v>63.54</v>
      </c>
      <c r="Q23" s="2"/>
      <c r="R23" s="7">
        <f t="shared" si="4"/>
        <v>0</v>
      </c>
      <c r="S23" s="2"/>
      <c r="T23" s="6">
        <v>71.66</v>
      </c>
      <c r="U23" s="2"/>
      <c r="V23" s="7">
        <f t="shared" si="5"/>
        <v>0</v>
      </c>
      <c r="W23" s="2"/>
      <c r="X23" s="6">
        <f t="shared" si="6"/>
        <v>-8.1199999999999974</v>
      </c>
      <c r="Y23" s="2"/>
      <c r="Z23" s="7">
        <f t="shared" si="7"/>
        <v>-0.11331286631314538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568.92999999999995</v>
      </c>
      <c r="E24" s="2"/>
      <c r="F24" s="7">
        <f t="shared" si="0"/>
        <v>0</v>
      </c>
      <c r="G24" s="2"/>
      <c r="H24" s="6">
        <v>541.04999999999995</v>
      </c>
      <c r="I24" s="2"/>
      <c r="J24" s="7">
        <f t="shared" si="1"/>
        <v>0</v>
      </c>
      <c r="K24" s="2"/>
      <c r="L24" s="6">
        <f t="shared" si="2"/>
        <v>27.879999999999995</v>
      </c>
      <c r="M24" s="2"/>
      <c r="N24" s="7">
        <f t="shared" si="3"/>
        <v>5.1529433508917838E-2</v>
      </c>
      <c r="O24" s="11"/>
      <c r="P24" s="6">
        <v>1706.79</v>
      </c>
      <c r="Q24" s="2"/>
      <c r="R24" s="7">
        <f t="shared" si="4"/>
        <v>0</v>
      </c>
      <c r="S24" s="2"/>
      <c r="T24" s="6">
        <v>1885.8</v>
      </c>
      <c r="U24" s="2"/>
      <c r="V24" s="7">
        <f t="shared" si="5"/>
        <v>0</v>
      </c>
      <c r="W24" s="2"/>
      <c r="X24" s="6">
        <f t="shared" si="6"/>
        <v>-179.01</v>
      </c>
      <c r="Y24" s="2"/>
      <c r="Z24" s="7">
        <f t="shared" si="7"/>
        <v>-9.4925230671333113E-2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6">
        <v>752.4</v>
      </c>
      <c r="E25" s="2"/>
      <c r="F25" s="7">
        <f t="shared" si="0"/>
        <v>0</v>
      </c>
      <c r="G25" s="2"/>
      <c r="H25" s="6">
        <v>730.48</v>
      </c>
      <c r="I25" s="2"/>
      <c r="J25" s="7">
        <f t="shared" si="1"/>
        <v>0</v>
      </c>
      <c r="K25" s="2"/>
      <c r="L25" s="6">
        <f t="shared" si="2"/>
        <v>21.919999999999959</v>
      </c>
      <c r="M25" s="2"/>
      <c r="N25" s="7">
        <f t="shared" si="3"/>
        <v>3.0007666192092813E-2</v>
      </c>
      <c r="O25" s="11"/>
      <c r="P25" s="6">
        <v>2597.65</v>
      </c>
      <c r="Q25" s="2"/>
      <c r="R25" s="7">
        <f t="shared" si="4"/>
        <v>0</v>
      </c>
      <c r="S25" s="2"/>
      <c r="T25" s="6">
        <v>2013.73</v>
      </c>
      <c r="U25" s="2"/>
      <c r="V25" s="7">
        <f t="shared" si="5"/>
        <v>0</v>
      </c>
      <c r="W25" s="2"/>
      <c r="X25" s="6">
        <f t="shared" si="6"/>
        <v>583.92000000000007</v>
      </c>
      <c r="Y25" s="2"/>
      <c r="Z25" s="7">
        <f t="shared" si="7"/>
        <v>0.28996936034125731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6">
        <v>375.68</v>
      </c>
      <c r="E26" s="2"/>
      <c r="F26" s="7">
        <f t="shared" si="0"/>
        <v>0</v>
      </c>
      <c r="G26" s="2"/>
      <c r="H26" s="6">
        <v>364.74</v>
      </c>
      <c r="I26" s="2"/>
      <c r="J26" s="7">
        <f t="shared" si="1"/>
        <v>0</v>
      </c>
      <c r="K26" s="2"/>
      <c r="L26" s="6">
        <f t="shared" si="2"/>
        <v>10.939999999999998</v>
      </c>
      <c r="M26" s="2"/>
      <c r="N26" s="7">
        <f t="shared" si="3"/>
        <v>2.9993968306190704E-2</v>
      </c>
      <c r="O26" s="11"/>
      <c r="P26" s="6">
        <v>1357.54</v>
      </c>
      <c r="Q26" s="2"/>
      <c r="R26" s="7">
        <f t="shared" si="4"/>
        <v>0</v>
      </c>
      <c r="S26" s="2"/>
      <c r="T26" s="6">
        <v>1214.44</v>
      </c>
      <c r="U26" s="2"/>
      <c r="V26" s="7">
        <f t="shared" si="5"/>
        <v>0</v>
      </c>
      <c r="W26" s="2"/>
      <c r="X26" s="6">
        <f t="shared" si="6"/>
        <v>143.09999999999991</v>
      </c>
      <c r="Y26" s="2"/>
      <c r="Z26" s="7">
        <f t="shared" si="7"/>
        <v>0.11783208721715351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6">
        <v>172.07</v>
      </c>
      <c r="E27" s="2"/>
      <c r="F27" s="7">
        <f t="shared" si="0"/>
        <v>0</v>
      </c>
      <c r="G27" s="2"/>
      <c r="H27" s="6">
        <v>275.51</v>
      </c>
      <c r="I27" s="2"/>
      <c r="J27" s="7">
        <f t="shared" si="1"/>
        <v>0</v>
      </c>
      <c r="K27" s="2"/>
      <c r="L27" s="6">
        <f t="shared" si="2"/>
        <v>-103.44</v>
      </c>
      <c r="M27" s="2"/>
      <c r="N27" s="7">
        <f t="shared" si="3"/>
        <v>-0.37544916699938297</v>
      </c>
      <c r="O27" s="11"/>
      <c r="P27" s="6">
        <v>424.92</v>
      </c>
      <c r="Q27" s="2"/>
      <c r="R27" s="7">
        <f t="shared" si="4"/>
        <v>0</v>
      </c>
      <c r="S27" s="2"/>
      <c r="T27" s="6">
        <v>529.91</v>
      </c>
      <c r="U27" s="2"/>
      <c r="V27" s="7">
        <f t="shared" si="5"/>
        <v>0</v>
      </c>
      <c r="W27" s="2"/>
      <c r="X27" s="6">
        <f t="shared" si="6"/>
        <v>-104.98999999999995</v>
      </c>
      <c r="Y27" s="2"/>
      <c r="Z27" s="7">
        <f t="shared" si="7"/>
        <v>-0.19812798399728249</v>
      </c>
    </row>
    <row r="28" spans="1:26" s="29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8145.04</v>
      </c>
      <c r="E28" s="1"/>
      <c r="F28" s="5">
        <f t="shared" ref="F28:F38" si="8">IF(D$12=0,0,D28/D$12)</f>
        <v>0</v>
      </c>
      <c r="G28" s="1"/>
      <c r="H28" s="1">
        <f>SUM(OSRRefH22_1x_0)</f>
        <v>7907.8</v>
      </c>
      <c r="I28" s="1"/>
      <c r="J28" s="5">
        <f t="shared" ref="J28:J38" si="9">IF(H$12=0,0,H28/H$12)</f>
        <v>0</v>
      </c>
      <c r="K28" s="1"/>
      <c r="L28" s="1">
        <f t="shared" ref="L28:L38" si="10">+D28-H28</f>
        <v>237.23999999999978</v>
      </c>
      <c r="M28" s="1"/>
      <c r="N28" s="5">
        <f t="shared" ref="N28:N38" si="11">IF(H28=0,0,L28/H28)</f>
        <v>3.0000758744530689E-2</v>
      </c>
      <c r="O28" s="14"/>
      <c r="P28" s="1">
        <f>SUM(OSRRefP22_1x_0)</f>
        <v>21176.85</v>
      </c>
      <c r="Q28" s="1"/>
      <c r="R28" s="5">
        <f t="shared" ref="R28:R38" si="12">IF(P$12=0,0,P28/P$12)</f>
        <v>0</v>
      </c>
      <c r="S28" s="1"/>
      <c r="T28" s="1">
        <f>SUM(OSRRefT22_1x_0)</f>
        <v>24118.84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-2941.9900000000016</v>
      </c>
      <c r="Y28" s="1"/>
      <c r="Z28" s="5">
        <f t="shared" ref="Z28:Z38" si="15">IF(T28=0,0,X28/T28)</f>
        <v>-0.12197891772572816</v>
      </c>
    </row>
    <row r="29" spans="1:26" s="24" customFormat="1" hidden="1" outlineLevel="2" x14ac:dyDescent="0.25">
      <c r="A29" s="28"/>
      <c r="B29" s="11" t="str">
        <f>CONCATENATE("          ", "6001", " - ", "ADMINISTRATIVE SALARIES")</f>
        <v xml:space="preserve">          6001 - ADMINISTRATIVE SALARIES</v>
      </c>
      <c r="C29" s="11"/>
      <c r="D29" s="6">
        <v>8145.04</v>
      </c>
      <c r="E29" s="2"/>
      <c r="F29" s="7">
        <f t="shared" si="8"/>
        <v>0</v>
      </c>
      <c r="G29" s="2"/>
      <c r="H29" s="6">
        <v>7907.8</v>
      </c>
      <c r="I29" s="2"/>
      <c r="J29" s="7">
        <f t="shared" si="9"/>
        <v>0</v>
      </c>
      <c r="K29" s="2"/>
      <c r="L29" s="6">
        <f t="shared" si="10"/>
        <v>237.23999999999978</v>
      </c>
      <c r="M29" s="2"/>
      <c r="N29" s="7">
        <f t="shared" si="11"/>
        <v>3.0000758744530689E-2</v>
      </c>
      <c r="O29" s="11"/>
      <c r="P29" s="6">
        <v>21176.85</v>
      </c>
      <c r="Q29" s="2"/>
      <c r="R29" s="7">
        <f t="shared" si="12"/>
        <v>0</v>
      </c>
      <c r="S29" s="2"/>
      <c r="T29" s="6">
        <v>24118.84</v>
      </c>
      <c r="U29" s="2"/>
      <c r="V29" s="7">
        <f t="shared" si="13"/>
        <v>0</v>
      </c>
      <c r="W29" s="2"/>
      <c r="X29" s="6">
        <f t="shared" si="14"/>
        <v>-2941.9900000000016</v>
      </c>
      <c r="Y29" s="2"/>
      <c r="Z29" s="7">
        <f t="shared" si="15"/>
        <v>-0.12197891772572816</v>
      </c>
    </row>
    <row r="30" spans="1:26" s="29" customFormat="1" outlineLevel="1" collapsed="1" x14ac:dyDescent="0.25">
      <c r="A30" s="27"/>
      <c r="B30" s="14" t="str">
        <f>CONCATENATE("     ","Employees' Appreciation                           ")</f>
        <v xml:space="preserve">     Employees' Appreciation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4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40.9</v>
      </c>
      <c r="U30" s="1"/>
      <c r="V30" s="5">
        <f t="shared" si="13"/>
        <v>0</v>
      </c>
      <c r="W30" s="1"/>
      <c r="X30" s="1">
        <f t="shared" si="14"/>
        <v>-40.9</v>
      </c>
      <c r="Y30" s="1"/>
      <c r="Z30" s="5">
        <f t="shared" si="15"/>
        <v>-1</v>
      </c>
    </row>
    <row r="31" spans="1:26" s="24" customFormat="1" hidden="1" outlineLevel="2" x14ac:dyDescent="0.25">
      <c r="A31" s="28"/>
      <c r="B31" s="11" t="str">
        <f>CONCATENATE("          ", "6277", " - ", "EMPLOYEE APPRECIATION")</f>
        <v xml:space="preserve">          6277 - EMPLOYEE APPRECIATION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40.9</v>
      </c>
      <c r="U31" s="2"/>
      <c r="V31" s="7">
        <f t="shared" si="13"/>
        <v>0</v>
      </c>
      <c r="W31" s="2"/>
      <c r="X31" s="6">
        <f t="shared" si="14"/>
        <v>-40.9</v>
      </c>
      <c r="Y31" s="2"/>
      <c r="Z31" s="7">
        <f t="shared" si="15"/>
        <v>-1</v>
      </c>
    </row>
    <row r="32" spans="1:26" s="29" customFormat="1" outlineLevel="1" collapsed="1" x14ac:dyDescent="0.25">
      <c r="A32" s="27"/>
      <c r="B32" s="14" t="str">
        <f>CONCATENATE("     ","General                                           ")</f>
        <v xml:space="preserve">     General                                           </v>
      </c>
      <c r="C32" s="14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4"/>
      <c r="P32" s="1">
        <f>SUM(OSRRefP22_3x_0)</f>
        <v>127.55</v>
      </c>
      <c r="Q32" s="1"/>
      <c r="R32" s="5">
        <f t="shared" si="12"/>
        <v>0</v>
      </c>
      <c r="S32" s="1"/>
      <c r="T32" s="1">
        <f>SUM(OSRRefT22_3x_0)</f>
        <v>303.27</v>
      </c>
      <c r="U32" s="1"/>
      <c r="V32" s="5">
        <f t="shared" si="13"/>
        <v>0</v>
      </c>
      <c r="W32" s="1"/>
      <c r="X32" s="1">
        <f t="shared" si="14"/>
        <v>-175.71999999999997</v>
      </c>
      <c r="Y32" s="1"/>
      <c r="Z32" s="5">
        <f t="shared" si="15"/>
        <v>-0.57941768061463372</v>
      </c>
    </row>
    <row r="33" spans="1:26" s="24" customFormat="1" hidden="1" outlineLevel="2" x14ac:dyDescent="0.25">
      <c r="A33" s="28"/>
      <c r="B33" s="11" t="str">
        <f>CONCATENATE("          ", "6279", " - ", "GENERAL EXPENSE")</f>
        <v xml:space="preserve">          6279 - GENERAL EXPENSE</v>
      </c>
      <c r="C33" s="11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>
        <v>127.55</v>
      </c>
      <c r="Q33" s="2"/>
      <c r="R33" s="7">
        <f t="shared" si="12"/>
        <v>0</v>
      </c>
      <c r="S33" s="2"/>
      <c r="T33" s="6">
        <v>303.27</v>
      </c>
      <c r="U33" s="2"/>
      <c r="V33" s="7">
        <f t="shared" si="13"/>
        <v>0</v>
      </c>
      <c r="W33" s="2"/>
      <c r="X33" s="6">
        <f t="shared" si="14"/>
        <v>-175.71999999999997</v>
      </c>
      <c r="Y33" s="2"/>
      <c r="Z33" s="7">
        <f t="shared" si="15"/>
        <v>-0.57941768061463372</v>
      </c>
    </row>
    <row r="34" spans="1:26" s="29" customFormat="1" outlineLevel="1" collapsed="1" x14ac:dyDescent="0.25">
      <c r="A34" s="27"/>
      <c r="B34" s="14" t="str">
        <f>CONCATENATE("     ","Repair and Maintenance                            ")</f>
        <v xml:space="preserve">     Repair and Maintenance                            </v>
      </c>
      <c r="C34" s="14"/>
      <c r="D34" s="1">
        <f>SUM(OSRRefD22_4x_0)</f>
        <v>6340.43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6340.43</v>
      </c>
      <c r="M34" s="1"/>
      <c r="N34" s="5">
        <f t="shared" si="11"/>
        <v>0</v>
      </c>
      <c r="O34" s="14"/>
      <c r="P34" s="1">
        <f>SUM(OSRRefP22_4x_0)</f>
        <v>6340.43</v>
      </c>
      <c r="Q34" s="1"/>
      <c r="R34" s="5">
        <f t="shared" si="12"/>
        <v>0</v>
      </c>
      <c r="S34" s="1"/>
      <c r="T34" s="1">
        <f>SUM(OSRRefT22_4x_0)</f>
        <v>0</v>
      </c>
      <c r="U34" s="1"/>
      <c r="V34" s="5">
        <f t="shared" si="13"/>
        <v>0</v>
      </c>
      <c r="W34" s="1"/>
      <c r="X34" s="1">
        <f t="shared" si="14"/>
        <v>6340.43</v>
      </c>
      <c r="Y34" s="1"/>
      <c r="Z34" s="5">
        <f t="shared" si="15"/>
        <v>0</v>
      </c>
    </row>
    <row r="35" spans="1:26" s="24" customFormat="1" hidden="1" outlineLevel="2" x14ac:dyDescent="0.25">
      <c r="A35" s="28"/>
      <c r="B35" s="11" t="str">
        <f>CONCATENATE("          ", "6371", " - ", "COMPUTER SOFTWARE MAINTENANCE")</f>
        <v xml:space="preserve">          6371 - COMPUTER SOFTWARE MAINTENANCE</v>
      </c>
      <c r="C35" s="11"/>
      <c r="D35" s="6">
        <v>6340.43</v>
      </c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6340.43</v>
      </c>
      <c r="M35" s="2"/>
      <c r="N35" s="7">
        <f t="shared" si="11"/>
        <v>0</v>
      </c>
      <c r="O35" s="11"/>
      <c r="P35" s="6">
        <v>6340.43</v>
      </c>
      <c r="Q35" s="2"/>
      <c r="R35" s="7">
        <f t="shared" si="12"/>
        <v>0</v>
      </c>
      <c r="S35" s="2"/>
      <c r="T35" s="6"/>
      <c r="U35" s="2"/>
      <c r="V35" s="7">
        <f t="shared" si="13"/>
        <v>0</v>
      </c>
      <c r="W35" s="2"/>
      <c r="X35" s="6">
        <f t="shared" si="14"/>
        <v>6340.43</v>
      </c>
      <c r="Y35" s="2"/>
      <c r="Z35" s="7">
        <f t="shared" si="15"/>
        <v>0</v>
      </c>
    </row>
    <row r="36" spans="1:26" s="29" customFormat="1" outlineLevel="1" collapsed="1" x14ac:dyDescent="0.25">
      <c r="A36" s="27"/>
      <c r="B36" s="14" t="str">
        <f>CONCATENATE("     ","Supplies                                          ")</f>
        <v xml:space="preserve">     Supplies                                          </v>
      </c>
      <c r="C36" s="14"/>
      <c r="D36" s="1">
        <f>SUM(OSRRefD22_5x_0)</f>
        <v>1470.19</v>
      </c>
      <c r="E36" s="1"/>
      <c r="F36" s="5">
        <f t="shared" si="8"/>
        <v>0</v>
      </c>
      <c r="G36" s="1"/>
      <c r="H36" s="1">
        <f>SUM(OSRRefH22_5x_0)</f>
        <v>7.01</v>
      </c>
      <c r="I36" s="1"/>
      <c r="J36" s="5">
        <f t="shared" si="9"/>
        <v>0</v>
      </c>
      <c r="K36" s="1"/>
      <c r="L36" s="1">
        <f t="shared" si="10"/>
        <v>1463.18</v>
      </c>
      <c r="M36" s="1"/>
      <c r="N36" s="5">
        <f t="shared" si="11"/>
        <v>208.72753209700429</v>
      </c>
      <c r="O36" s="14"/>
      <c r="P36" s="1">
        <f>SUM(OSRRefP22_5x_0)</f>
        <v>2204.54</v>
      </c>
      <c r="Q36" s="1"/>
      <c r="R36" s="5">
        <f t="shared" si="12"/>
        <v>0</v>
      </c>
      <c r="S36" s="1"/>
      <c r="T36" s="1">
        <f>SUM(OSRRefT22_5x_0)</f>
        <v>648.75</v>
      </c>
      <c r="U36" s="1"/>
      <c r="V36" s="5">
        <f t="shared" si="13"/>
        <v>0</v>
      </c>
      <c r="W36" s="1"/>
      <c r="X36" s="1">
        <f t="shared" si="14"/>
        <v>1555.79</v>
      </c>
      <c r="Y36" s="1"/>
      <c r="Z36" s="5">
        <f t="shared" si="15"/>
        <v>2.398134874759152</v>
      </c>
    </row>
    <row r="37" spans="1:26" s="24" customFormat="1" hidden="1" outlineLevel="2" x14ac:dyDescent="0.25">
      <c r="A37" s="28"/>
      <c r="B37" s="11" t="str">
        <f>CONCATENATE("          ", "6241", " - ", "OFFICE EXPENSE")</f>
        <v xml:space="preserve">          6241 - OFFICE EXPENSE</v>
      </c>
      <c r="C37" s="11"/>
      <c r="D37" s="6">
        <v>1470.19</v>
      </c>
      <c r="E37" s="2"/>
      <c r="F37" s="7">
        <f t="shared" si="8"/>
        <v>0</v>
      </c>
      <c r="G37" s="2"/>
      <c r="H37" s="6">
        <v>7.01</v>
      </c>
      <c r="I37" s="2"/>
      <c r="J37" s="7">
        <f t="shared" si="9"/>
        <v>0</v>
      </c>
      <c r="K37" s="2"/>
      <c r="L37" s="6">
        <f t="shared" si="10"/>
        <v>1463.18</v>
      </c>
      <c r="M37" s="2"/>
      <c r="N37" s="7">
        <f t="shared" si="11"/>
        <v>208.72753209700429</v>
      </c>
      <c r="O37" s="11"/>
      <c r="P37" s="6">
        <v>2204.54</v>
      </c>
      <c r="Q37" s="2"/>
      <c r="R37" s="7">
        <f t="shared" si="12"/>
        <v>0</v>
      </c>
      <c r="S37" s="2"/>
      <c r="T37" s="6">
        <v>341.96</v>
      </c>
      <c r="U37" s="2"/>
      <c r="V37" s="7">
        <f t="shared" si="13"/>
        <v>0</v>
      </c>
      <c r="W37" s="2"/>
      <c r="X37" s="6">
        <f t="shared" si="14"/>
        <v>1862.58</v>
      </c>
      <c r="Y37" s="2"/>
      <c r="Z37" s="7">
        <f t="shared" si="15"/>
        <v>5.4467774008655985</v>
      </c>
    </row>
    <row r="38" spans="1:26" s="24" customFormat="1" hidden="1" outlineLevel="2" x14ac:dyDescent="0.25">
      <c r="A38" s="28"/>
      <c r="B38" s="11" t="str">
        <f>CONCATENATE("          ", "6245", " - ", "PRINTING")</f>
        <v xml:space="preserve">          6245 - PRINTING</v>
      </c>
      <c r="C38" s="11"/>
      <c r="D38" s="6"/>
      <c r="E38" s="2"/>
      <c r="F38" s="7">
        <f t="shared" si="8"/>
        <v>0</v>
      </c>
      <c r="G38" s="2"/>
      <c r="H38" s="6"/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306.79000000000002</v>
      </c>
      <c r="U38" s="2"/>
      <c r="V38" s="7">
        <f t="shared" si="13"/>
        <v>0</v>
      </c>
      <c r="W38" s="2"/>
      <c r="X38" s="6">
        <f t="shared" si="14"/>
        <v>-306.79000000000002</v>
      </c>
      <c r="Y38" s="2"/>
      <c r="Z38" s="7">
        <f t="shared" si="15"/>
        <v>-1</v>
      </c>
    </row>
    <row r="39" spans="1:26" s="29" customFormat="1" outlineLevel="1" collapsed="1" x14ac:dyDescent="0.25">
      <c r="A39" s="27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SUM(OSRRefD22_6x_0)</f>
        <v>150</v>
      </c>
      <c r="E39" s="1"/>
      <c r="F39" s="5">
        <f t="shared" ref="F39:F44" si="16">IF(D$12=0,0,D39/D$12)</f>
        <v>0</v>
      </c>
      <c r="G39" s="1"/>
      <c r="H39" s="1">
        <f>SUM(OSRRefH22_6x_0)</f>
        <v>50</v>
      </c>
      <c r="I39" s="1"/>
      <c r="J39" s="5">
        <f t="shared" ref="J39:J44" si="17">IF(H$12=0,0,H39/H$12)</f>
        <v>0</v>
      </c>
      <c r="K39" s="1"/>
      <c r="L39" s="1">
        <f t="shared" ref="L39:L44" si="18">+D39-H39</f>
        <v>100</v>
      </c>
      <c r="M39" s="1"/>
      <c r="N39" s="5">
        <f t="shared" ref="N39:N44" si="19">IF(H39=0,0,L39/H39)</f>
        <v>2</v>
      </c>
      <c r="O39" s="14"/>
      <c r="P39" s="1">
        <f>SUM(OSRRefP22_6x_0)</f>
        <v>-750</v>
      </c>
      <c r="Q39" s="1"/>
      <c r="R39" s="5">
        <f t="shared" ref="R39:R44" si="20">IF(P$12=0,0,P39/P$12)</f>
        <v>0</v>
      </c>
      <c r="S39" s="1"/>
      <c r="T39" s="1">
        <f>SUM(OSRRefT22_6x_0)</f>
        <v>60</v>
      </c>
      <c r="U39" s="1"/>
      <c r="V39" s="5">
        <f t="shared" ref="V39:V44" si="21">IF(T$12=0,0,T39/T$12)</f>
        <v>0</v>
      </c>
      <c r="W39" s="1"/>
      <c r="X39" s="1">
        <f t="shared" ref="X39:X44" si="22">+P39-T39</f>
        <v>-810</v>
      </c>
      <c r="Y39" s="1"/>
      <c r="Z39" s="5">
        <f t="shared" ref="Z39:Z44" si="23">IF(T39=0,0,X39/T39)</f>
        <v>-13.5</v>
      </c>
    </row>
    <row r="40" spans="1:26" s="24" customFormat="1" hidden="1" outlineLevel="2" x14ac:dyDescent="0.25">
      <c r="A40" s="28"/>
      <c r="B40" s="11" t="str">
        <f>CONCATENATE("          ", "6309", " - ", "TELEPHONE")</f>
        <v xml:space="preserve">          6309 - TELEPHONE</v>
      </c>
      <c r="C40" s="11"/>
      <c r="D40" s="6">
        <v>150</v>
      </c>
      <c r="E40" s="2"/>
      <c r="F40" s="7">
        <f t="shared" si="16"/>
        <v>0</v>
      </c>
      <c r="G40" s="2"/>
      <c r="H40" s="6">
        <v>50</v>
      </c>
      <c r="I40" s="2"/>
      <c r="J40" s="7">
        <f t="shared" si="17"/>
        <v>0</v>
      </c>
      <c r="K40" s="2"/>
      <c r="L40" s="6">
        <f t="shared" si="18"/>
        <v>100</v>
      </c>
      <c r="M40" s="2"/>
      <c r="N40" s="7">
        <f t="shared" si="19"/>
        <v>2</v>
      </c>
      <c r="O40" s="11"/>
      <c r="P40" s="6">
        <v>-750</v>
      </c>
      <c r="Q40" s="2"/>
      <c r="R40" s="7">
        <f t="shared" si="20"/>
        <v>0</v>
      </c>
      <c r="S40" s="2"/>
      <c r="T40" s="6">
        <v>60</v>
      </c>
      <c r="U40" s="2"/>
      <c r="V40" s="7">
        <f t="shared" si="21"/>
        <v>0</v>
      </c>
      <c r="W40" s="2"/>
      <c r="X40" s="6">
        <f t="shared" si="22"/>
        <v>-810</v>
      </c>
      <c r="Y40" s="2"/>
      <c r="Z40" s="7">
        <f t="shared" si="23"/>
        <v>-13.5</v>
      </c>
    </row>
    <row r="41" spans="1:26" s="29" customFormat="1" outlineLevel="1" collapsed="1" x14ac:dyDescent="0.25">
      <c r="A41" s="27"/>
      <c r="B41" s="14" t="str">
        <f>CONCATENATE("     ","Training                                          ")</f>
        <v xml:space="preserve">     Training                                          </v>
      </c>
      <c r="C41" s="14"/>
      <c r="D41" s="1">
        <f>SUM(OSRRefD22_7x_0)</f>
        <v>0</v>
      </c>
      <c r="E41" s="1"/>
      <c r="F41" s="5">
        <f t="shared" si="16"/>
        <v>0</v>
      </c>
      <c r="G41" s="1"/>
      <c r="H41" s="1">
        <f>SUM(OSRRefH22_7x_0)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SUM(OSRRefP22_7x_0)</f>
        <v>1321.12</v>
      </c>
      <c r="Q41" s="1"/>
      <c r="R41" s="5">
        <f t="shared" si="20"/>
        <v>0</v>
      </c>
      <c r="S41" s="1"/>
      <c r="T41" s="1">
        <f>SUM(OSRRefT22_7x_0)</f>
        <v>2718.86</v>
      </c>
      <c r="U41" s="1"/>
      <c r="V41" s="5">
        <f t="shared" si="21"/>
        <v>0</v>
      </c>
      <c r="W41" s="1"/>
      <c r="X41" s="1">
        <f t="shared" si="22"/>
        <v>-1397.7400000000002</v>
      </c>
      <c r="Y41" s="1"/>
      <c r="Z41" s="5">
        <f t="shared" si="23"/>
        <v>-0.51409046438580885</v>
      </c>
    </row>
    <row r="42" spans="1:26" s="24" customFormat="1" hidden="1" outlineLevel="2" x14ac:dyDescent="0.25">
      <c r="A42" s="28"/>
      <c r="B42" s="11" t="str">
        <f>CONCATENATE("          ", "6376", " - ", "TRAINING")</f>
        <v xml:space="preserve">          6376 - TRAINING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1321.12</v>
      </c>
      <c r="Q42" s="2"/>
      <c r="R42" s="7">
        <f t="shared" si="20"/>
        <v>0</v>
      </c>
      <c r="S42" s="2"/>
      <c r="T42" s="6">
        <v>2718.86</v>
      </c>
      <c r="U42" s="2"/>
      <c r="V42" s="7">
        <f t="shared" si="21"/>
        <v>0</v>
      </c>
      <c r="W42" s="2"/>
      <c r="X42" s="6">
        <f t="shared" si="22"/>
        <v>-1397.7400000000002</v>
      </c>
      <c r="Y42" s="2"/>
      <c r="Z42" s="7">
        <f t="shared" si="23"/>
        <v>-0.51409046438580885</v>
      </c>
    </row>
    <row r="43" spans="1:26" s="29" customFormat="1" outlineLevel="1" collapsed="1" x14ac:dyDescent="0.25">
      <c r="A43" s="27"/>
      <c r="B43" s="14" t="str">
        <f>CONCATENATE("     ","Travel                                            ")</f>
        <v xml:space="preserve">     Travel                                            </v>
      </c>
      <c r="C43" s="14"/>
      <c r="D43" s="1">
        <f>SUM(OSRRefD22_8x_0)</f>
        <v>0</v>
      </c>
      <c r="E43" s="1"/>
      <c r="F43" s="5">
        <f t="shared" si="16"/>
        <v>0</v>
      </c>
      <c r="G43" s="1"/>
      <c r="H43" s="1">
        <f>SUM(OSRRefH22_8x_0)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4"/>
      <c r="P43" s="1">
        <f>SUM(OSRRefP22_8x_0)</f>
        <v>119.9</v>
      </c>
      <c r="Q43" s="1"/>
      <c r="R43" s="5">
        <f t="shared" si="20"/>
        <v>0</v>
      </c>
      <c r="S43" s="1"/>
      <c r="T43" s="1">
        <f>SUM(OSRRefT22_8x_0)</f>
        <v>987.5</v>
      </c>
      <c r="U43" s="1"/>
      <c r="V43" s="5">
        <f t="shared" si="21"/>
        <v>0</v>
      </c>
      <c r="W43" s="1"/>
      <c r="X43" s="1">
        <f t="shared" si="22"/>
        <v>-867.6</v>
      </c>
      <c r="Y43" s="1"/>
      <c r="Z43" s="5">
        <f t="shared" si="23"/>
        <v>-0.87858227848101267</v>
      </c>
    </row>
    <row r="44" spans="1:26" s="24" customFormat="1" hidden="1" outlineLevel="2" x14ac:dyDescent="0.25">
      <c r="A44" s="28"/>
      <c r="B44" s="11" t="str">
        <f>CONCATENATE("          ", "6292", " - ", "TRAVEL/CONFERENCE")</f>
        <v xml:space="preserve">          6292 - TRAVEL/CONFERENCE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119.9</v>
      </c>
      <c r="Q44" s="2"/>
      <c r="R44" s="7">
        <f t="shared" si="20"/>
        <v>0</v>
      </c>
      <c r="S44" s="2"/>
      <c r="T44" s="6">
        <v>987.5</v>
      </c>
      <c r="U44" s="2"/>
      <c r="V44" s="7">
        <f t="shared" si="21"/>
        <v>0</v>
      </c>
      <c r="W44" s="2"/>
      <c r="X44" s="6">
        <f t="shared" si="22"/>
        <v>-867.6</v>
      </c>
      <c r="Y44" s="2"/>
      <c r="Z44" s="7">
        <f t="shared" si="23"/>
        <v>-0.87858227848101267</v>
      </c>
    </row>
    <row r="45" spans="1:26" s="53" customFormat="1" x14ac:dyDescent="0.25">
      <c r="A45" s="37"/>
      <c r="B45" s="37"/>
      <c r="C45" s="37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25">
      <c r="A46" s="10"/>
      <c r="B46" s="25" t="s">
        <v>0</v>
      </c>
      <c r="C46" s="10"/>
      <c r="D46" s="4">
        <f>SUM(0)</f>
        <v>0</v>
      </c>
      <c r="E46" s="4"/>
      <c r="F46" s="12">
        <f>IF(D$12=0,0,D46/D$12)</f>
        <v>0</v>
      </c>
      <c r="G46" s="4"/>
      <c r="H46" s="4">
        <f>SUM(0)</f>
        <v>0</v>
      </c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>
        <f>SUM(0)</f>
        <v>0</v>
      </c>
      <c r="Q46" s="4"/>
      <c r="R46" s="12">
        <f>IF(P$12=0,0,P46/P$12)</f>
        <v>0</v>
      </c>
      <c r="S46" s="4"/>
      <c r="T46" s="4">
        <f>SUM(0)</f>
        <v>0</v>
      </c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6" t="s">
        <v>3</v>
      </c>
      <c r="C48" s="26"/>
      <c r="D48" s="21">
        <f>+D16-D18+D46</f>
        <v>-21665.649999999998</v>
      </c>
      <c r="E48" s="13"/>
      <c r="F48" s="20">
        <f>IF(D$12=0,0,D48/D$12)</f>
        <v>0</v>
      </c>
      <c r="G48" s="13"/>
      <c r="H48" s="21">
        <f>+H16-H18+H46</f>
        <v>-13299.81</v>
      </c>
      <c r="I48" s="13"/>
      <c r="J48" s="20">
        <f>IF(H$12=0,0,H48/H$12)</f>
        <v>0</v>
      </c>
      <c r="K48" s="15"/>
      <c r="L48" s="21">
        <f>+D48-H48</f>
        <v>-8365.8399999999983</v>
      </c>
      <c r="M48" s="15"/>
      <c r="N48" s="20">
        <f>IF(H48=0,0,L48/H48)</f>
        <v>0.62901951230882236</v>
      </c>
      <c r="O48" s="25"/>
      <c r="P48" s="21">
        <f>+P16-P18+P46</f>
        <v>-47700.020000000004</v>
      </c>
      <c r="Q48" s="13"/>
      <c r="R48" s="20">
        <f>IF(P$12=0,0,P48/P$12)</f>
        <v>0</v>
      </c>
      <c r="S48" s="13"/>
      <c r="T48" s="21">
        <f>+T16-T18+T46</f>
        <v>-43742.09</v>
      </c>
      <c r="U48" s="13"/>
      <c r="V48" s="20">
        <f>IF(T$12=0,0,T48/T$12)</f>
        <v>0</v>
      </c>
      <c r="W48" s="15"/>
      <c r="X48" s="21">
        <f>+P48-T48</f>
        <v>-3957.9300000000076</v>
      </c>
      <c r="Y48" s="15"/>
      <c r="Z48" s="20">
        <f>IF(T48=0,0,X48/T48)</f>
        <v>9.0483330814782922E-2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51"/>
      <c r="B50" s="10" t="s">
        <v>13</v>
      </c>
      <c r="C50" s="10"/>
      <c r="D50" s="4"/>
      <c r="E50" s="4"/>
      <c r="F50" s="12">
        <f>IF(D$12=0,0,D50/D$12)</f>
        <v>0</v>
      </c>
      <c r="G50" s="4"/>
      <c r="H50" s="4"/>
      <c r="I50" s="4"/>
      <c r="J50" s="12">
        <f>IF(H$12=0,0,H50/H$12)</f>
        <v>0</v>
      </c>
      <c r="K50" s="4"/>
      <c r="L50" s="4">
        <f>+D50-H50</f>
        <v>0</v>
      </c>
      <c r="M50" s="4"/>
      <c r="N50" s="12">
        <f>IF(H50=0,0,L50/H50)</f>
        <v>0</v>
      </c>
      <c r="O50" s="10"/>
      <c r="P50" s="4"/>
      <c r="Q50" s="4"/>
      <c r="R50" s="12">
        <f>IF(P$12=0,0,P50/P$12)</f>
        <v>0</v>
      </c>
      <c r="S50" s="4"/>
      <c r="T50" s="4"/>
      <c r="U50" s="4"/>
      <c r="V50" s="12">
        <f>IF(T$12=0,0,T50/T$12)</f>
        <v>0</v>
      </c>
      <c r="W50" s="4"/>
      <c r="X50" s="4">
        <f>+P50-T50</f>
        <v>0</v>
      </c>
      <c r="Y50" s="4"/>
      <c r="Z50" s="12">
        <f>IF(T50=0,0,X50/T50)</f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.75" thickBot="1" x14ac:dyDescent="0.3">
      <c r="A52" s="10"/>
      <c r="B52" s="26" t="s">
        <v>4</v>
      </c>
      <c r="C52" s="26"/>
      <c r="D52" s="35">
        <f>+D48-D50</f>
        <v>-21665.649999999998</v>
      </c>
      <c r="E52" s="13"/>
      <c r="F52" s="30">
        <f>IF(D$12=0,0,D52/D$12)</f>
        <v>0</v>
      </c>
      <c r="G52" s="13"/>
      <c r="H52" s="35">
        <f>+H48-H50</f>
        <v>-13299.81</v>
      </c>
      <c r="I52" s="13"/>
      <c r="J52" s="30">
        <f>IF(H$12=0,0,H52/H$12)</f>
        <v>0</v>
      </c>
      <c r="K52" s="15"/>
      <c r="L52" s="35">
        <f>D52-H52</f>
        <v>-8365.8399999999983</v>
      </c>
      <c r="M52" s="15"/>
      <c r="N52" s="30">
        <f>IF(H52=0,0,L52/H52)</f>
        <v>0.62901951230882236</v>
      </c>
      <c r="O52" s="25"/>
      <c r="P52" s="35">
        <f>+P48-P50</f>
        <v>-47700.020000000004</v>
      </c>
      <c r="Q52" s="13"/>
      <c r="R52" s="30">
        <f>IF(P$12=0,0,P52/P$12)</f>
        <v>0</v>
      </c>
      <c r="S52" s="13"/>
      <c r="T52" s="35">
        <f>+T48-T50</f>
        <v>-43742.09</v>
      </c>
      <c r="U52" s="13"/>
      <c r="V52" s="30">
        <f>IF(T$12=0,0,T52/T$12)</f>
        <v>0</v>
      </c>
      <c r="W52" s="15"/>
      <c r="X52" s="35">
        <f>P52-T52</f>
        <v>-3957.9300000000076</v>
      </c>
      <c r="Y52" s="15"/>
      <c r="Z52" s="30">
        <f>IF(T52=0,0,X52/T52)</f>
        <v>9.0483330814782922E-2</v>
      </c>
    </row>
    <row r="53" spans="1:26" ht="15.75" thickTop="1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6" t="s">
        <v>5</v>
      </c>
      <c r="C55" s="26"/>
      <c r="D55" s="36">
        <f>SUM(D52:D54)</f>
        <v>-21665.649999999998</v>
      </c>
      <c r="E55" s="13"/>
      <c r="F55" s="31">
        <f>IF(D$12=0,0,D55/D$12)</f>
        <v>0</v>
      </c>
      <c r="G55" s="13"/>
      <c r="H55" s="36">
        <f>SUM(H52:H54)</f>
        <v>-13299.81</v>
      </c>
      <c r="I55" s="13"/>
      <c r="J55" s="31">
        <f>IF(H$12=0,0,H55/H$12)</f>
        <v>0</v>
      </c>
      <c r="K55" s="15"/>
      <c r="L55" s="36">
        <f>+D55-H55</f>
        <v>-8365.8399999999983</v>
      </c>
      <c r="M55" s="15"/>
      <c r="N55" s="31">
        <f>IF(H55=0,0,L55/H55)</f>
        <v>0.62901951230882236</v>
      </c>
      <c r="O55" s="25"/>
      <c r="P55" s="36">
        <f>SUM(P52:P54)</f>
        <v>-47700.020000000004</v>
      </c>
      <c r="Q55" s="13"/>
      <c r="R55" s="31">
        <f>IF(P$12=0,0,P55/P$12)</f>
        <v>0</v>
      </c>
      <c r="S55" s="13"/>
      <c r="T55" s="36">
        <f>SUM(T52:T54)</f>
        <v>-43742.09</v>
      </c>
      <c r="U55" s="13"/>
      <c r="V55" s="31">
        <f>IF(T$12=0,0,T55/T$12)</f>
        <v>0</v>
      </c>
      <c r="W55" s="15"/>
      <c r="X55" s="36">
        <f>+P55-T55</f>
        <v>-3957.9300000000076</v>
      </c>
      <c r="Y55" s="15"/>
      <c r="Z55" s="31">
        <f>IF(T55=0,0,X55/T55)</f>
        <v>9.0483330814782922E-2</v>
      </c>
    </row>
    <row r="56" spans="1:26" ht="15.75" thickTop="1" x14ac:dyDescent="0.25">
      <c r="A56" s="9"/>
      <c r="C56" s="9"/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  <row r="57" spans="1:26" x14ac:dyDescent="0.25">
      <c r="A57" s="9"/>
      <c r="B57" s="55">
        <v>43756.463495219905</v>
      </c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A58" s="9"/>
      <c r="B58" s="56" t="s">
        <v>313</v>
      </c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57"/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","433", " - ", "Hillside Dining Hall")</f>
        <v>Department 433 - Hillside Dining Hall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576765.42000000004</v>
      </c>
      <c r="E12" s="4"/>
      <c r="F12" s="12"/>
      <c r="G12" s="4"/>
      <c r="H12" s="4">
        <f>SUM(OSRRefH13x_0)</f>
        <v>593315.44000000006</v>
      </c>
      <c r="I12" s="4"/>
      <c r="J12" s="12"/>
      <c r="K12" s="4"/>
      <c r="L12" s="4">
        <f t="shared" ref="L12:L16" si="0">+D12-H12</f>
        <v>-16550.020000000019</v>
      </c>
      <c r="M12" s="4"/>
      <c r="N12" s="12">
        <f t="shared" ref="N12:N16" si="1">IF(H12=0,0,L12/H12)</f>
        <v>-2.7894133346673091E-2</v>
      </c>
      <c r="O12" s="10"/>
      <c r="P12" s="4">
        <f>SUM(OSRRefP13x_0)</f>
        <v>1065250.58</v>
      </c>
      <c r="Q12" s="4"/>
      <c r="R12" s="12"/>
      <c r="S12" s="4"/>
      <c r="T12" s="4">
        <f>SUM(OSRRefT13x_0)</f>
        <v>1091340.2</v>
      </c>
      <c r="U12" s="4"/>
      <c r="V12" s="12"/>
      <c r="W12" s="4"/>
      <c r="X12" s="4">
        <f t="shared" ref="X12:X16" si="2">+P12-T12</f>
        <v>-26089.619999999879</v>
      </c>
      <c r="Y12" s="4"/>
      <c r="Z12" s="12">
        <f t="shared" ref="Z12:Z16" si="3">IF(T12=0,0,X12/T12)</f>
        <v>-2.3906037732322038E-2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--1253.12</f>
        <v>1253.1199999999999</v>
      </c>
      <c r="E13" s="2"/>
      <c r="F13" s="19"/>
      <c r="G13" s="2"/>
      <c r="H13" s="2">
        <f>--950.73</f>
        <v>950.73</v>
      </c>
      <c r="I13" s="2"/>
      <c r="J13" s="19"/>
      <c r="K13" s="2"/>
      <c r="L13" s="2">
        <f t="shared" si="0"/>
        <v>302.38999999999987</v>
      </c>
      <c r="M13" s="2"/>
      <c r="N13" s="19">
        <f t="shared" si="1"/>
        <v>0.31806085849820648</v>
      </c>
      <c r="O13" s="11"/>
      <c r="P13" s="2">
        <f>--1987.09</f>
        <v>1987.09</v>
      </c>
      <c r="Q13" s="2"/>
      <c r="R13" s="19"/>
      <c r="S13" s="2"/>
      <c r="T13" s="2">
        <f>--3656</f>
        <v>3656</v>
      </c>
      <c r="U13" s="2"/>
      <c r="V13" s="19"/>
      <c r="W13" s="2"/>
      <c r="X13" s="2">
        <f t="shared" si="2"/>
        <v>-1668.91</v>
      </c>
      <c r="Y13" s="2"/>
      <c r="Z13" s="19">
        <f t="shared" si="3"/>
        <v>-0.45648522975929978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--542876.64</f>
        <v>542876.64</v>
      </c>
      <c r="E14" s="2"/>
      <c r="F14" s="19"/>
      <c r="G14" s="2"/>
      <c r="H14" s="2">
        <f>--563076.55</f>
        <v>563076.55000000005</v>
      </c>
      <c r="I14" s="2"/>
      <c r="J14" s="19"/>
      <c r="K14" s="2"/>
      <c r="L14" s="2">
        <f t="shared" si="0"/>
        <v>-20199.910000000033</v>
      </c>
      <c r="M14" s="2"/>
      <c r="N14" s="19">
        <f t="shared" si="1"/>
        <v>-3.5874180872920443E-2</v>
      </c>
      <c r="O14" s="11"/>
      <c r="P14" s="2">
        <f>--930182.53</f>
        <v>930182.53</v>
      </c>
      <c r="Q14" s="2"/>
      <c r="R14" s="19"/>
      <c r="S14" s="2"/>
      <c r="T14" s="2">
        <f>--992097.68</f>
        <v>992097.68</v>
      </c>
      <c r="U14" s="2"/>
      <c r="V14" s="19"/>
      <c r="W14" s="2"/>
      <c r="X14" s="2">
        <f t="shared" si="2"/>
        <v>-61915.150000000023</v>
      </c>
      <c r="Y14" s="2"/>
      <c r="Z14" s="19">
        <f t="shared" si="3"/>
        <v>-6.2408320519406937E-2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--32635.66</f>
        <v>32635.66</v>
      </c>
      <c r="E15" s="2"/>
      <c r="F15" s="19"/>
      <c r="G15" s="2"/>
      <c r="H15" s="2">
        <f>--29288.16</f>
        <v>29288.16</v>
      </c>
      <c r="I15" s="2"/>
      <c r="J15" s="19"/>
      <c r="K15" s="2"/>
      <c r="L15" s="2">
        <f t="shared" si="0"/>
        <v>3347.5</v>
      </c>
      <c r="M15" s="2"/>
      <c r="N15" s="19">
        <f t="shared" si="1"/>
        <v>0.11429533299462991</v>
      </c>
      <c r="O15" s="11"/>
      <c r="P15" s="2">
        <f>--133080.96</f>
        <v>133080.95999999999</v>
      </c>
      <c r="Q15" s="2"/>
      <c r="R15" s="19"/>
      <c r="S15" s="2"/>
      <c r="T15" s="2">
        <f>--94531.62</f>
        <v>94531.62</v>
      </c>
      <c r="U15" s="2"/>
      <c r="V15" s="19"/>
      <c r="W15" s="2"/>
      <c r="X15" s="2">
        <f t="shared" si="2"/>
        <v>38549.339999999997</v>
      </c>
      <c r="Y15" s="2"/>
      <c r="Z15" s="19">
        <f t="shared" si="3"/>
        <v>0.40779307495206363</v>
      </c>
    </row>
    <row r="16" spans="1:26" s="24" customFormat="1" hidden="1" outlineLevel="1" x14ac:dyDescent="0.25">
      <c r="A16" s="44"/>
      <c r="B16" s="11" t="str">
        <f>CONCATENATE("          ", "4159", " - ", "NON-TAXABLE SALES-FOOD")</f>
        <v xml:space="preserve">          4159 - NON-TAXABLE SALES-FOOD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--1054.9</f>
        <v>1054.9000000000001</v>
      </c>
      <c r="U16" s="2"/>
      <c r="V16" s="19"/>
      <c r="W16" s="2"/>
      <c r="X16" s="2">
        <f t="shared" si="2"/>
        <v>-1054.9000000000001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121118.31999999999</v>
      </c>
      <c r="E18" s="4"/>
      <c r="F18" s="12">
        <f t="shared" ref="F18:F20" si="4">IF(D$12=0,0,D18/D$12)</f>
        <v>0.20999580730758785</v>
      </c>
      <c r="G18" s="4"/>
      <c r="H18" s="4">
        <f>SUM(OSRRefH16x_0)</f>
        <v>121563.81000000001</v>
      </c>
      <c r="I18" s="4"/>
      <c r="J18" s="12">
        <f t="shared" ref="J18:J20" si="5">IF(H$12=0,0,H18/H$12)</f>
        <v>0.20488900474256999</v>
      </c>
      <c r="K18" s="4"/>
      <c r="L18" s="4">
        <f t="shared" ref="L18:L20" si="6">+D18-H18</f>
        <v>-445.49000000001979</v>
      </c>
      <c r="M18" s="4"/>
      <c r="N18" s="12">
        <f t="shared" ref="N18:N20" si="7">IF(H18=0,0,L18/H18)</f>
        <v>-3.6646597371373909E-3</v>
      </c>
      <c r="O18" s="10"/>
      <c r="P18" s="4">
        <f>SUM(OSRRefP16x_0)</f>
        <v>249421.85</v>
      </c>
      <c r="Q18" s="4"/>
      <c r="R18" s="12">
        <f t="shared" ref="R18:R20" si="8">IF(P$12=0,0,P18/P$12)</f>
        <v>0.23414382933262518</v>
      </c>
      <c r="S18" s="4"/>
      <c r="T18" s="4">
        <f>SUM(OSRRefT16x_0)</f>
        <v>249989.39</v>
      </c>
      <c r="U18" s="4"/>
      <c r="V18" s="12">
        <f t="shared" ref="V18:V20" si="9">IF(T$12=0,0,T18/T$12)</f>
        <v>0.22906641760287033</v>
      </c>
      <c r="W18" s="4"/>
      <c r="X18" s="4">
        <f t="shared" ref="X18:X20" si="10">+P18-T18</f>
        <v>-567.54000000000815</v>
      </c>
      <c r="Y18" s="4"/>
      <c r="Z18" s="12">
        <f t="shared" ref="Z18:Z20" si="11">IF(T18=0,0,X18/T18)</f>
        <v>-2.2702563496795128E-3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119484.56999999999</v>
      </c>
      <c r="E19" s="2"/>
      <c r="F19" s="19">
        <f t="shared" si="4"/>
        <v>0.20716319990196358</v>
      </c>
      <c r="G19" s="2"/>
      <c r="H19" s="2">
        <v>122288.81000000001</v>
      </c>
      <c r="I19" s="2"/>
      <c r="J19" s="19">
        <f t="shared" si="5"/>
        <v>0.2061109517055548</v>
      </c>
      <c r="K19" s="2"/>
      <c r="L19" s="2">
        <f t="shared" si="6"/>
        <v>-2804.2400000000198</v>
      </c>
      <c r="M19" s="2"/>
      <c r="N19" s="19">
        <f t="shared" si="7"/>
        <v>-2.2931288643662649E-2</v>
      </c>
      <c r="O19" s="11"/>
      <c r="P19" s="2">
        <v>256896.1</v>
      </c>
      <c r="Q19" s="2"/>
      <c r="R19" s="19">
        <f t="shared" si="8"/>
        <v>0.24116025358089924</v>
      </c>
      <c r="S19" s="2"/>
      <c r="T19" s="2">
        <v>262077.39</v>
      </c>
      <c r="U19" s="2"/>
      <c r="V19" s="19">
        <f t="shared" si="9"/>
        <v>0.24014270710453076</v>
      </c>
      <c r="W19" s="2"/>
      <c r="X19" s="2">
        <f t="shared" si="10"/>
        <v>-5181.2900000000081</v>
      </c>
      <c r="Y19" s="2"/>
      <c r="Z19" s="19">
        <f t="shared" si="11"/>
        <v>-1.9770076312191631E-2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1633.75</v>
      </c>
      <c r="E20" s="2"/>
      <c r="F20" s="19">
        <f t="shared" si="4"/>
        <v>2.8326074056242829E-3</v>
      </c>
      <c r="G20" s="2"/>
      <c r="H20" s="2">
        <v>-725</v>
      </c>
      <c r="I20" s="2"/>
      <c r="J20" s="19">
        <f t="shared" si="5"/>
        <v>-1.2219469629848163E-3</v>
      </c>
      <c r="K20" s="2"/>
      <c r="L20" s="2">
        <f t="shared" si="6"/>
        <v>2358.75</v>
      </c>
      <c r="M20" s="2"/>
      <c r="N20" s="19">
        <f t="shared" si="7"/>
        <v>-3.2534482758620689</v>
      </c>
      <c r="O20" s="11"/>
      <c r="P20" s="2">
        <v>-7474.25</v>
      </c>
      <c r="Q20" s="2"/>
      <c r="R20" s="19">
        <f t="shared" si="8"/>
        <v>-7.0164242482740535E-3</v>
      </c>
      <c r="S20" s="2"/>
      <c r="T20" s="2">
        <v>-12088</v>
      </c>
      <c r="U20" s="2"/>
      <c r="V20" s="19">
        <f t="shared" si="9"/>
        <v>-1.1076289501660437E-2</v>
      </c>
      <c r="W20" s="2"/>
      <c r="X20" s="2">
        <f t="shared" si="10"/>
        <v>4613.75</v>
      </c>
      <c r="Y20" s="2"/>
      <c r="Z20" s="19">
        <f t="shared" si="11"/>
        <v>-0.38168017868960952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6</v>
      </c>
      <c r="C22" s="26"/>
      <c r="D22" s="21">
        <f>D12-D18</f>
        <v>455647.10000000003</v>
      </c>
      <c r="E22" s="13"/>
      <c r="F22" s="20">
        <f>IF(D$12=0,0,D22/D$12)</f>
        <v>0.79000419269241207</v>
      </c>
      <c r="G22" s="13"/>
      <c r="H22" s="21">
        <f>H12-H18</f>
        <v>471751.63000000006</v>
      </c>
      <c r="I22" s="13"/>
      <c r="J22" s="20">
        <f>IF(H$12=0,0,H22/H$12)</f>
        <v>0.79511099525743001</v>
      </c>
      <c r="K22" s="15"/>
      <c r="L22" s="21">
        <f>+D22-H22</f>
        <v>-16104.530000000028</v>
      </c>
      <c r="M22" s="15"/>
      <c r="N22" s="20">
        <f>IF(H22=0,0,L22/H22)</f>
        <v>-3.4137730483305435E-2</v>
      </c>
      <c r="O22" s="25"/>
      <c r="P22" s="21">
        <f>P12-P18</f>
        <v>815828.7300000001</v>
      </c>
      <c r="Q22" s="13"/>
      <c r="R22" s="20">
        <f>IF(P$12=0,0,P22/P$12)</f>
        <v>0.76585617066737488</v>
      </c>
      <c r="S22" s="13"/>
      <c r="T22" s="21">
        <f>T12-T18</f>
        <v>841350.80999999994</v>
      </c>
      <c r="U22" s="13"/>
      <c r="V22" s="20">
        <f>IF(T$12=0,0,T22/T$12)</f>
        <v>0.77093358239712972</v>
      </c>
      <c r="W22" s="15"/>
      <c r="X22" s="21">
        <f>+P22-T22</f>
        <v>-25522.079999999842</v>
      </c>
      <c r="Y22" s="15"/>
      <c r="Z22" s="20">
        <f>IF(T22=0,0,X22/T22)</f>
        <v>-3.0334647208576222E-2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9</v>
      </c>
      <c r="C24" s="10"/>
      <c r="D24" s="22">
        <f>SUM(OSRRefD22x_0)</f>
        <v>192791.30000000005</v>
      </c>
      <c r="E24" s="22"/>
      <c r="F24" s="34">
        <f t="shared" ref="F24:F34" si="12">IF(D$12=0,0,D24/D$12)</f>
        <v>0.33426293136644708</v>
      </c>
      <c r="G24" s="22"/>
      <c r="H24" s="22">
        <f>SUM(OSRRefH22x_0)</f>
        <v>173636.83999999997</v>
      </c>
      <c r="I24" s="22"/>
      <c r="J24" s="34">
        <f t="shared" ref="J24:J34" si="13">IF(H$12=0,0,H24/H$12)</f>
        <v>0.29265518524176609</v>
      </c>
      <c r="K24" s="4"/>
      <c r="L24" s="22">
        <f t="shared" ref="L24:L34" si="14">+D24-H24</f>
        <v>19154.460000000079</v>
      </c>
      <c r="M24" s="4"/>
      <c r="N24" s="34">
        <f t="shared" ref="N24:N34" si="15">IF(H24=0,0,L24/H24)</f>
        <v>0.11031334133931534</v>
      </c>
      <c r="O24" s="10"/>
      <c r="P24" s="22">
        <f>SUM(OSRRefP22x_0)</f>
        <v>461959.77000000008</v>
      </c>
      <c r="Q24" s="22"/>
      <c r="R24" s="34">
        <f t="shared" ref="R24:R34" si="16">IF(P$12=0,0,P24/P$12)</f>
        <v>0.43366300725224671</v>
      </c>
      <c r="S24" s="22"/>
      <c r="T24" s="22">
        <f>SUM(OSRRefT22x_0)</f>
        <v>421541.2</v>
      </c>
      <c r="U24" s="22"/>
      <c r="V24" s="34">
        <f t="shared" ref="V24:V34" si="17">IF(T$12=0,0,T24/T$12)</f>
        <v>0.38626012310368485</v>
      </c>
      <c r="W24" s="4"/>
      <c r="X24" s="22">
        <f t="shared" ref="X24:X34" si="18">+P24-T24</f>
        <v>40418.570000000065</v>
      </c>
      <c r="Y24" s="4"/>
      <c r="Z24" s="34">
        <f t="shared" ref="Z24:Z34" si="19">IF(T24=0,0,X24/T24)</f>
        <v>9.5882846089540161E-2</v>
      </c>
    </row>
    <row r="25" spans="1:26" s="29" customFormat="1" outlineLevel="1" collapsed="1" x14ac:dyDescent="0.25">
      <c r="A25" s="27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26359.309999999998</v>
      </c>
      <c r="E25" s="1"/>
      <c r="F25" s="5">
        <f t="shared" si="12"/>
        <v>4.5701959732606705E-2</v>
      </c>
      <c r="G25" s="1"/>
      <c r="H25" s="1">
        <f>SUM(OSRRefH22_0x_0)</f>
        <v>24835.669999999995</v>
      </c>
      <c r="I25" s="1"/>
      <c r="J25" s="5">
        <f t="shared" si="13"/>
        <v>4.1859133145093937E-2</v>
      </c>
      <c r="K25" s="1"/>
      <c r="L25" s="1">
        <f t="shared" si="14"/>
        <v>1523.6400000000031</v>
      </c>
      <c r="M25" s="1"/>
      <c r="N25" s="5">
        <f t="shared" si="15"/>
        <v>6.1348858315479447E-2</v>
      </c>
      <c r="O25" s="14"/>
      <c r="P25" s="1">
        <f>SUM(OSRRefP22_0x_0)</f>
        <v>84491.499999999985</v>
      </c>
      <c r="Q25" s="1"/>
      <c r="R25" s="5">
        <f t="shared" si="16"/>
        <v>7.9316079790353156E-2</v>
      </c>
      <c r="S25" s="1"/>
      <c r="T25" s="1">
        <f>SUM(OSRRefT22_0x_0)</f>
        <v>76258.640000000014</v>
      </c>
      <c r="U25" s="1"/>
      <c r="V25" s="5">
        <f t="shared" si="17"/>
        <v>6.9876139447625968E-2</v>
      </c>
      <c r="W25" s="1"/>
      <c r="X25" s="1">
        <f t="shared" si="18"/>
        <v>8232.8599999999715</v>
      </c>
      <c r="Y25" s="1"/>
      <c r="Z25" s="5">
        <f t="shared" si="19"/>
        <v>0.10795970135318397</v>
      </c>
    </row>
    <row r="26" spans="1:26" s="24" customFormat="1" hidden="1" outlineLevel="2" x14ac:dyDescent="0.25">
      <c r="A26" s="28"/>
      <c r="B26" s="11" t="str">
        <f>CONCATENATE("          ", "6111", " - ", "F.I.C.A.")</f>
        <v xml:space="preserve">          6111 - F.I.C.A.</v>
      </c>
      <c r="C26" s="11"/>
      <c r="D26" s="6">
        <v>3819.5</v>
      </c>
      <c r="E26" s="2"/>
      <c r="F26" s="7">
        <f t="shared" si="12"/>
        <v>6.6222763493692114E-3</v>
      </c>
      <c r="G26" s="2"/>
      <c r="H26" s="6">
        <v>3321.09</v>
      </c>
      <c r="I26" s="2"/>
      <c r="J26" s="7">
        <f t="shared" si="13"/>
        <v>5.5975115024817146E-3</v>
      </c>
      <c r="K26" s="2"/>
      <c r="L26" s="6">
        <f t="shared" si="14"/>
        <v>498.40999999999985</v>
      </c>
      <c r="M26" s="2"/>
      <c r="N26" s="7">
        <f t="shared" si="15"/>
        <v>0.15007422261968204</v>
      </c>
      <c r="O26" s="11"/>
      <c r="P26" s="6">
        <v>13227.06</v>
      </c>
      <c r="Q26" s="2"/>
      <c r="R26" s="7">
        <f t="shared" si="16"/>
        <v>1.2416853131401251E-2</v>
      </c>
      <c r="S26" s="2"/>
      <c r="T26" s="6">
        <v>11118.27</v>
      </c>
      <c r="U26" s="2"/>
      <c r="V26" s="7">
        <f t="shared" si="17"/>
        <v>1.0187721482265568E-2</v>
      </c>
      <c r="W26" s="2"/>
      <c r="X26" s="6">
        <f t="shared" si="18"/>
        <v>2108.7899999999991</v>
      </c>
      <c r="Y26" s="2"/>
      <c r="Z26" s="7">
        <f t="shared" si="19"/>
        <v>0.18966889633009443</v>
      </c>
    </row>
    <row r="27" spans="1:26" s="24" customFormat="1" hidden="1" outlineLevel="2" x14ac:dyDescent="0.25">
      <c r="A27" s="28"/>
      <c r="B27" s="11" t="str">
        <f>CONCATENATE("          ", "6112", " - ", "COMPENSATION INSURANCE")</f>
        <v xml:space="preserve">          6112 - COMPENSATION INSURANCE</v>
      </c>
      <c r="C27" s="11"/>
      <c r="D27" s="6">
        <v>3558.32</v>
      </c>
      <c r="E27" s="2"/>
      <c r="F27" s="7">
        <f t="shared" si="12"/>
        <v>6.1694406020388667E-3</v>
      </c>
      <c r="G27" s="2"/>
      <c r="H27" s="6"/>
      <c r="I27" s="2"/>
      <c r="J27" s="7">
        <f t="shared" si="13"/>
        <v>0</v>
      </c>
      <c r="K27" s="2"/>
      <c r="L27" s="6">
        <f t="shared" si="14"/>
        <v>3558.32</v>
      </c>
      <c r="M27" s="2"/>
      <c r="N27" s="7">
        <f t="shared" si="15"/>
        <v>0</v>
      </c>
      <c r="O27" s="11"/>
      <c r="P27" s="6">
        <v>8322.9599999999991</v>
      </c>
      <c r="Q27" s="2"/>
      <c r="R27" s="7">
        <f t="shared" si="16"/>
        <v>7.8131475882416302E-3</v>
      </c>
      <c r="S27" s="2"/>
      <c r="T27" s="6">
        <v>4476.09</v>
      </c>
      <c r="U27" s="2"/>
      <c r="V27" s="7">
        <f t="shared" si="17"/>
        <v>4.101461670705432E-3</v>
      </c>
      <c r="W27" s="2"/>
      <c r="X27" s="6">
        <f t="shared" si="18"/>
        <v>3846.869999999999</v>
      </c>
      <c r="Y27" s="2"/>
      <c r="Z27" s="7">
        <f t="shared" si="19"/>
        <v>0.85942641903983141</v>
      </c>
    </row>
    <row r="28" spans="1:26" s="24" customFormat="1" hidden="1" outlineLevel="2" x14ac:dyDescent="0.25">
      <c r="A28" s="28"/>
      <c r="B28" s="11" t="str">
        <f>CONCATENATE("          ", "6113", " - ", "GROUP INSURANCE")</f>
        <v xml:space="preserve">          6113 - GROUP INSURANCE</v>
      </c>
      <c r="C28" s="11"/>
      <c r="D28" s="6">
        <v>12070.16</v>
      </c>
      <c r="E28" s="2"/>
      <c r="F28" s="7">
        <f t="shared" si="12"/>
        <v>2.0927329519859216E-2</v>
      </c>
      <c r="G28" s="2"/>
      <c r="H28" s="6">
        <v>15816.049999999997</v>
      </c>
      <c r="I28" s="2"/>
      <c r="J28" s="7">
        <f t="shared" si="13"/>
        <v>2.6657067950228965E-2</v>
      </c>
      <c r="K28" s="2"/>
      <c r="L28" s="6">
        <f t="shared" si="14"/>
        <v>-3745.8899999999976</v>
      </c>
      <c r="M28" s="2"/>
      <c r="N28" s="7">
        <f t="shared" si="15"/>
        <v>-0.23684105702751307</v>
      </c>
      <c r="O28" s="11"/>
      <c r="P28" s="6">
        <v>38081.08</v>
      </c>
      <c r="Q28" s="2"/>
      <c r="R28" s="7">
        <f t="shared" si="16"/>
        <v>3.5748471500480196E-2</v>
      </c>
      <c r="S28" s="2"/>
      <c r="T28" s="6">
        <v>37236.259999999995</v>
      </c>
      <c r="U28" s="2"/>
      <c r="V28" s="7">
        <f t="shared" si="17"/>
        <v>3.4119754774908868E-2</v>
      </c>
      <c r="W28" s="2"/>
      <c r="X28" s="6">
        <f t="shared" si="18"/>
        <v>844.82000000000698</v>
      </c>
      <c r="Y28" s="2"/>
      <c r="Z28" s="7">
        <f t="shared" si="19"/>
        <v>2.2688100254966721E-2</v>
      </c>
    </row>
    <row r="29" spans="1:26" s="24" customFormat="1" hidden="1" outlineLevel="2" x14ac:dyDescent="0.25">
      <c r="A29" s="28"/>
      <c r="B29" s="11" t="str">
        <f>CONCATENATE("          ", "6114", " - ", "STATE UNEMPLOYMENT INSURANCE")</f>
        <v xml:space="preserve">          6114 - STATE UNEMPLOYMENT INSURANCE</v>
      </c>
      <c r="C29" s="11"/>
      <c r="D29" s="6">
        <v>238.44</v>
      </c>
      <c r="E29" s="2"/>
      <c r="F29" s="7">
        <f t="shared" si="12"/>
        <v>4.1340897309689612E-4</v>
      </c>
      <c r="G29" s="2"/>
      <c r="H29" s="6">
        <v>209.55</v>
      </c>
      <c r="I29" s="2"/>
      <c r="J29" s="7">
        <f t="shared" si="13"/>
        <v>3.531848084047838E-4</v>
      </c>
      <c r="K29" s="2"/>
      <c r="L29" s="6">
        <f t="shared" si="14"/>
        <v>28.889999999999986</v>
      </c>
      <c r="M29" s="2"/>
      <c r="N29" s="7">
        <f t="shared" si="15"/>
        <v>0.13786685755189684</v>
      </c>
      <c r="O29" s="11"/>
      <c r="P29" s="6">
        <v>557.71</v>
      </c>
      <c r="Q29" s="2"/>
      <c r="R29" s="7">
        <f t="shared" si="16"/>
        <v>5.2354817774424498E-4</v>
      </c>
      <c r="S29" s="2"/>
      <c r="T29" s="6">
        <v>542.04999999999995</v>
      </c>
      <c r="U29" s="2"/>
      <c r="V29" s="7">
        <f t="shared" si="17"/>
        <v>4.9668288586821963E-4</v>
      </c>
      <c r="W29" s="2"/>
      <c r="X29" s="6">
        <f t="shared" si="18"/>
        <v>15.660000000000082</v>
      </c>
      <c r="Y29" s="2"/>
      <c r="Z29" s="7">
        <f t="shared" si="19"/>
        <v>2.8890323770869999E-2</v>
      </c>
    </row>
    <row r="30" spans="1:26" s="24" customFormat="1" hidden="1" outlineLevel="2" x14ac:dyDescent="0.25">
      <c r="A30" s="28"/>
      <c r="B30" s="11" t="str">
        <f>CONCATENATE("          ", "6115", " - ", "P.E.R.S.")</f>
        <v xml:space="preserve">          6115 - P.E.R.S.</v>
      </c>
      <c r="C30" s="11"/>
      <c r="D30" s="6">
        <v>1217.31</v>
      </c>
      <c r="E30" s="2"/>
      <c r="F30" s="7">
        <f t="shared" si="12"/>
        <v>2.110580762626164E-3</v>
      </c>
      <c r="G30" s="2"/>
      <c r="H30" s="6">
        <v>1096.69</v>
      </c>
      <c r="I30" s="2"/>
      <c r="J30" s="7">
        <f t="shared" si="13"/>
        <v>1.8484096756356111E-3</v>
      </c>
      <c r="K30" s="2"/>
      <c r="L30" s="6">
        <f t="shared" si="14"/>
        <v>120.61999999999989</v>
      </c>
      <c r="M30" s="2"/>
      <c r="N30" s="7">
        <f t="shared" si="15"/>
        <v>0.10998550182822847</v>
      </c>
      <c r="O30" s="11"/>
      <c r="P30" s="6">
        <v>3651.93</v>
      </c>
      <c r="Q30" s="2"/>
      <c r="R30" s="7">
        <f t="shared" si="16"/>
        <v>3.4282356363514017E-3</v>
      </c>
      <c r="S30" s="2"/>
      <c r="T30" s="6">
        <v>3822.44</v>
      </c>
      <c r="U30" s="2"/>
      <c r="V30" s="7">
        <f t="shared" si="17"/>
        <v>3.5025191961223457E-3</v>
      </c>
      <c r="W30" s="2"/>
      <c r="X30" s="6">
        <f t="shared" si="18"/>
        <v>-170.51000000000022</v>
      </c>
      <c r="Y30" s="2"/>
      <c r="Z30" s="7">
        <f t="shared" si="19"/>
        <v>-4.4607632820920722E-2</v>
      </c>
    </row>
    <row r="31" spans="1:26" s="24" customFormat="1" hidden="1" outlineLevel="2" x14ac:dyDescent="0.25">
      <c r="A31" s="28"/>
      <c r="B31" s="11" t="str">
        <f>CONCATENATE("          ", "6117", " - ", "RETIREMENT STAFF HOURLY")</f>
        <v xml:space="preserve">          6117 - RETIREMENT STAFF HOURLY</v>
      </c>
      <c r="C31" s="11"/>
      <c r="D31" s="6">
        <v>503.84</v>
      </c>
      <c r="E31" s="2"/>
      <c r="F31" s="7">
        <f t="shared" si="12"/>
        <v>8.7356138653388749E-4</v>
      </c>
      <c r="G31" s="2"/>
      <c r="H31" s="6">
        <v>562.26</v>
      </c>
      <c r="I31" s="2"/>
      <c r="J31" s="7">
        <f t="shared" si="13"/>
        <v>9.4765779228667959E-4</v>
      </c>
      <c r="K31" s="2"/>
      <c r="L31" s="6">
        <f t="shared" si="14"/>
        <v>-58.420000000000016</v>
      </c>
      <c r="M31" s="2"/>
      <c r="N31" s="7">
        <f t="shared" si="15"/>
        <v>-0.10390210934443143</v>
      </c>
      <c r="O31" s="11"/>
      <c r="P31" s="6">
        <v>1228.31</v>
      </c>
      <c r="Q31" s="2"/>
      <c r="R31" s="7">
        <f t="shared" si="16"/>
        <v>1.1530714209984283E-3</v>
      </c>
      <c r="S31" s="2"/>
      <c r="T31" s="6">
        <v>1233.58</v>
      </c>
      <c r="U31" s="2"/>
      <c r="V31" s="7">
        <f t="shared" si="17"/>
        <v>1.1303349771226241E-3</v>
      </c>
      <c r="W31" s="2"/>
      <c r="X31" s="6">
        <f t="shared" si="18"/>
        <v>-5.2699999999999818</v>
      </c>
      <c r="Y31" s="2"/>
      <c r="Z31" s="7">
        <f t="shared" si="19"/>
        <v>-4.2721185492631056E-3</v>
      </c>
    </row>
    <row r="32" spans="1:26" s="24" customFormat="1" hidden="1" outlineLevel="2" x14ac:dyDescent="0.25">
      <c r="A32" s="28"/>
      <c r="B32" s="11" t="str">
        <f>CONCATENATE("          ", "6118", " - ", "VACATION")</f>
        <v xml:space="preserve">          6118 - VACATION</v>
      </c>
      <c r="C32" s="11"/>
      <c r="D32" s="6">
        <v>2207.9899999999998</v>
      </c>
      <c r="E32" s="2"/>
      <c r="F32" s="7">
        <f t="shared" si="12"/>
        <v>3.8282288144112376E-3</v>
      </c>
      <c r="G32" s="2"/>
      <c r="H32" s="6">
        <v>2275.3200000000002</v>
      </c>
      <c r="I32" s="2"/>
      <c r="J32" s="7">
        <f t="shared" si="13"/>
        <v>3.83492463974981E-3</v>
      </c>
      <c r="K32" s="2"/>
      <c r="L32" s="6">
        <f t="shared" si="14"/>
        <v>-67.330000000000382</v>
      </c>
      <c r="M32" s="2"/>
      <c r="N32" s="7">
        <f t="shared" si="15"/>
        <v>-2.9591442082872024E-2</v>
      </c>
      <c r="O32" s="11"/>
      <c r="P32" s="6">
        <v>7855.66</v>
      </c>
      <c r="Q32" s="2"/>
      <c r="R32" s="7">
        <f t="shared" si="16"/>
        <v>7.3744714600390074E-3</v>
      </c>
      <c r="S32" s="2"/>
      <c r="T32" s="6">
        <v>7935.6</v>
      </c>
      <c r="U32" s="2"/>
      <c r="V32" s="7">
        <f t="shared" si="17"/>
        <v>7.2714264534560358E-3</v>
      </c>
      <c r="W32" s="2"/>
      <c r="X32" s="6">
        <f t="shared" si="18"/>
        <v>-79.940000000000509</v>
      </c>
      <c r="Y32" s="2"/>
      <c r="Z32" s="7">
        <f t="shared" si="19"/>
        <v>-1.0073592418972795E-2</v>
      </c>
    </row>
    <row r="33" spans="1:26" s="24" customFormat="1" hidden="1" outlineLevel="2" x14ac:dyDescent="0.25">
      <c r="A33" s="28"/>
      <c r="B33" s="11" t="str">
        <f>CONCATENATE("          ", "6119", " - ", "SICK LEAVE")</f>
        <v xml:space="preserve">          6119 - SICK LEAVE</v>
      </c>
      <c r="C33" s="11"/>
      <c r="D33" s="6">
        <v>1551.48</v>
      </c>
      <c r="E33" s="2"/>
      <c r="F33" s="7">
        <f t="shared" si="12"/>
        <v>2.6899670926873527E-3</v>
      </c>
      <c r="G33" s="2"/>
      <c r="H33" s="6">
        <v>1554.71</v>
      </c>
      <c r="I33" s="2"/>
      <c r="J33" s="7">
        <f t="shared" si="13"/>
        <v>2.6203767763063775E-3</v>
      </c>
      <c r="K33" s="2"/>
      <c r="L33" s="6">
        <f t="shared" si="14"/>
        <v>-3.2300000000000182</v>
      </c>
      <c r="M33" s="2"/>
      <c r="N33" s="7">
        <f t="shared" si="15"/>
        <v>-2.0775578725292934E-3</v>
      </c>
      <c r="O33" s="11"/>
      <c r="P33" s="6">
        <v>9053.9599999999991</v>
      </c>
      <c r="Q33" s="2"/>
      <c r="R33" s="7">
        <f t="shared" si="16"/>
        <v>8.4993711057167395E-3</v>
      </c>
      <c r="S33" s="2"/>
      <c r="T33" s="6">
        <v>7755.97</v>
      </c>
      <c r="U33" s="2"/>
      <c r="V33" s="7">
        <f t="shared" si="17"/>
        <v>7.1068306656347858E-3</v>
      </c>
      <c r="W33" s="2"/>
      <c r="X33" s="6">
        <f t="shared" si="18"/>
        <v>1297.9899999999989</v>
      </c>
      <c r="Y33" s="2"/>
      <c r="Z33" s="7">
        <f t="shared" si="19"/>
        <v>0.16735366433856744</v>
      </c>
    </row>
    <row r="34" spans="1:26" s="24" customFormat="1" hidden="1" outlineLevel="2" x14ac:dyDescent="0.25">
      <c r="A34" s="28"/>
      <c r="B34" s="11" t="str">
        <f>CONCATENATE("          ", "6156", " - ", "EMPLOYEE MEALS")</f>
        <v xml:space="preserve">          6156 - EMPLOYEE MEALS</v>
      </c>
      <c r="C34" s="11"/>
      <c r="D34" s="6">
        <v>1192.27</v>
      </c>
      <c r="E34" s="2"/>
      <c r="F34" s="7">
        <f t="shared" si="12"/>
        <v>2.0671662319838796E-3</v>
      </c>
      <c r="G34" s="2"/>
      <c r="H34" s="6"/>
      <c r="I34" s="2"/>
      <c r="J34" s="7">
        <f t="shared" si="13"/>
        <v>0</v>
      </c>
      <c r="K34" s="2"/>
      <c r="L34" s="6">
        <f t="shared" si="14"/>
        <v>1192.27</v>
      </c>
      <c r="M34" s="2"/>
      <c r="N34" s="7">
        <f t="shared" si="15"/>
        <v>0</v>
      </c>
      <c r="O34" s="11"/>
      <c r="P34" s="6">
        <v>2512.83</v>
      </c>
      <c r="Q34" s="2"/>
      <c r="R34" s="7">
        <f t="shared" si="16"/>
        <v>2.358909769380271E-3</v>
      </c>
      <c r="S34" s="2"/>
      <c r="T34" s="6">
        <v>2138.38</v>
      </c>
      <c r="U34" s="2"/>
      <c r="V34" s="7">
        <f t="shared" si="17"/>
        <v>1.9594073415420783E-3</v>
      </c>
      <c r="W34" s="2"/>
      <c r="X34" s="6">
        <f t="shared" si="18"/>
        <v>374.44999999999982</v>
      </c>
      <c r="Y34" s="2"/>
      <c r="Z34" s="7">
        <f t="shared" si="19"/>
        <v>0.17510919481102508</v>
      </c>
    </row>
    <row r="35" spans="1:26" s="29" customFormat="1" outlineLevel="1" collapsed="1" x14ac:dyDescent="0.25">
      <c r="A35" s="27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92309.95</v>
      </c>
      <c r="E35" s="1"/>
      <c r="F35" s="5">
        <f t="shared" ref="F35:F41" si="20">IF(D$12=0,0,D35/D$12)</f>
        <v>0.16004764987470987</v>
      </c>
      <c r="G35" s="1"/>
      <c r="H35" s="1">
        <f>SUM(OSRRefH22_1x_0)</f>
        <v>79313.790000000008</v>
      </c>
      <c r="I35" s="1"/>
      <c r="J35" s="5">
        <f t="shared" ref="J35:J41" si="21">IF(H$12=0,0,H35/H$12)</f>
        <v>0.13367895836319379</v>
      </c>
      <c r="K35" s="1"/>
      <c r="L35" s="1">
        <f t="shared" ref="L35:L41" si="22">+D35-H35</f>
        <v>12996.159999999989</v>
      </c>
      <c r="M35" s="1"/>
      <c r="N35" s="5">
        <f t="shared" ref="N35:N41" si="23">IF(H35=0,0,L35/H35)</f>
        <v>0.16385750825928236</v>
      </c>
      <c r="O35" s="14"/>
      <c r="P35" s="1">
        <f>SUM(OSRRefP22_1x_0)</f>
        <v>234582.76</v>
      </c>
      <c r="Q35" s="1"/>
      <c r="R35" s="5">
        <f t="shared" ref="R35:R41" si="24">IF(P$12=0,0,P35/P$12)</f>
        <v>0.22021368906459549</v>
      </c>
      <c r="S35" s="1"/>
      <c r="T35" s="1">
        <f>SUM(OSRRefT22_1x_0)</f>
        <v>198700.95</v>
      </c>
      <c r="U35" s="1"/>
      <c r="V35" s="5">
        <f t="shared" ref="V35:V41" si="25">IF(T$12=0,0,T35/T$12)</f>
        <v>0.18207058623882821</v>
      </c>
      <c r="W35" s="1"/>
      <c r="X35" s="1">
        <f t="shared" ref="X35:X41" si="26">+P35-T35</f>
        <v>35881.81</v>
      </c>
      <c r="Y35" s="1"/>
      <c r="Z35" s="5">
        <f t="shared" ref="Z35:Z41" si="27">IF(T35=0,0,X35/T35)</f>
        <v>0.18058197507359675</v>
      </c>
    </row>
    <row r="36" spans="1:26" s="24" customFormat="1" hidden="1" outlineLevel="2" x14ac:dyDescent="0.25">
      <c r="A36" s="28"/>
      <c r="B36" s="11" t="str">
        <f>CONCATENATE("          ", "6002", " - ", "STAFF SALARIES")</f>
        <v xml:space="preserve">          6002 - STAFF SALARIES</v>
      </c>
      <c r="C36" s="11"/>
      <c r="D36" s="6">
        <v>14240.46</v>
      </c>
      <c r="E36" s="2"/>
      <c r="F36" s="7">
        <f t="shared" si="20"/>
        <v>2.4690211143379569E-2</v>
      </c>
      <c r="G36" s="2"/>
      <c r="H36" s="6">
        <v>13970.76</v>
      </c>
      <c r="I36" s="2"/>
      <c r="J36" s="7">
        <f t="shared" si="21"/>
        <v>2.3546934831158276E-2</v>
      </c>
      <c r="K36" s="2"/>
      <c r="L36" s="6">
        <f t="shared" si="22"/>
        <v>269.69999999999891</v>
      </c>
      <c r="M36" s="2"/>
      <c r="N36" s="7">
        <f t="shared" si="23"/>
        <v>1.930460476022771E-2</v>
      </c>
      <c r="O36" s="11"/>
      <c r="P36" s="6">
        <v>44140.51</v>
      </c>
      <c r="Q36" s="2"/>
      <c r="R36" s="7">
        <f t="shared" si="24"/>
        <v>4.1436738762442166E-2</v>
      </c>
      <c r="S36" s="2"/>
      <c r="T36" s="6">
        <v>42631.46</v>
      </c>
      <c r="U36" s="2"/>
      <c r="V36" s="7">
        <f t="shared" si="25"/>
        <v>3.9063401128264133E-2</v>
      </c>
      <c r="W36" s="2"/>
      <c r="X36" s="6">
        <f t="shared" si="26"/>
        <v>1509.0500000000029</v>
      </c>
      <c r="Y36" s="2"/>
      <c r="Z36" s="7">
        <f t="shared" si="27"/>
        <v>3.5397567899387049E-2</v>
      </c>
    </row>
    <row r="37" spans="1:26" s="24" customFormat="1" hidden="1" outlineLevel="2" x14ac:dyDescent="0.25">
      <c r="A37" s="28"/>
      <c r="B37" s="11" t="str">
        <f>CONCATENATE("          ", "6004", " - ", "STAFF HOURLY")</f>
        <v xml:space="preserve">          6004 - STAFF HOURLY</v>
      </c>
      <c r="C37" s="11"/>
      <c r="D37" s="6">
        <v>18636.82</v>
      </c>
      <c r="E37" s="2"/>
      <c r="F37" s="7">
        <f t="shared" si="20"/>
        <v>3.2312651476227541E-2</v>
      </c>
      <c r="G37" s="2"/>
      <c r="H37" s="6">
        <v>20545.04</v>
      </c>
      <c r="I37" s="2"/>
      <c r="J37" s="7">
        <f t="shared" si="21"/>
        <v>3.4627516182622851E-2</v>
      </c>
      <c r="K37" s="2"/>
      <c r="L37" s="6">
        <f t="shared" si="22"/>
        <v>-1908.2200000000012</v>
      </c>
      <c r="M37" s="2"/>
      <c r="N37" s="7">
        <f t="shared" si="23"/>
        <v>-9.2879838637452208E-2</v>
      </c>
      <c r="O37" s="11"/>
      <c r="P37" s="6">
        <v>42807.020000000004</v>
      </c>
      <c r="Q37" s="2"/>
      <c r="R37" s="7">
        <f t="shared" si="24"/>
        <v>4.0184930009613325E-2</v>
      </c>
      <c r="S37" s="2"/>
      <c r="T37" s="6">
        <v>53059.939999999995</v>
      </c>
      <c r="U37" s="2"/>
      <c r="V37" s="7">
        <f t="shared" si="25"/>
        <v>4.8619064889206864E-2</v>
      </c>
      <c r="W37" s="2"/>
      <c r="X37" s="6">
        <f t="shared" si="26"/>
        <v>-10252.919999999991</v>
      </c>
      <c r="Y37" s="2"/>
      <c r="Z37" s="7">
        <f t="shared" si="27"/>
        <v>-0.19323278541212055</v>
      </c>
    </row>
    <row r="38" spans="1:26" s="24" customFormat="1" hidden="1" outlineLevel="2" x14ac:dyDescent="0.25">
      <c r="A38" s="28"/>
      <c r="B38" s="11" t="str">
        <f>CONCATENATE("          ", "6005", " - ", "TEMPORARY WAGES-HOURLY")</f>
        <v xml:space="preserve">          6005 - TEMPORARY WAGES-HOURLY</v>
      </c>
      <c r="C38" s="11"/>
      <c r="D38" s="6">
        <v>15343.849999999999</v>
      </c>
      <c r="E38" s="2"/>
      <c r="F38" s="7">
        <f t="shared" si="20"/>
        <v>2.6603276597268952E-2</v>
      </c>
      <c r="G38" s="2"/>
      <c r="H38" s="6">
        <v>9211.4599999999991</v>
      </c>
      <c r="I38" s="2"/>
      <c r="J38" s="7">
        <f t="shared" si="21"/>
        <v>1.5525400788491191E-2</v>
      </c>
      <c r="K38" s="2"/>
      <c r="L38" s="6">
        <f t="shared" si="22"/>
        <v>6132.3899999999994</v>
      </c>
      <c r="M38" s="2"/>
      <c r="N38" s="7">
        <f t="shared" si="23"/>
        <v>0.66573485636370344</v>
      </c>
      <c r="O38" s="11"/>
      <c r="P38" s="6">
        <v>40617.58</v>
      </c>
      <c r="Q38" s="2"/>
      <c r="R38" s="7">
        <f t="shared" si="24"/>
        <v>3.812960139388049E-2</v>
      </c>
      <c r="S38" s="2"/>
      <c r="T38" s="6">
        <v>19551.36</v>
      </c>
      <c r="U38" s="2"/>
      <c r="V38" s="7">
        <f t="shared" si="25"/>
        <v>1.7915000290468545E-2</v>
      </c>
      <c r="W38" s="2"/>
      <c r="X38" s="6">
        <f t="shared" si="26"/>
        <v>21066.22</v>
      </c>
      <c r="Y38" s="2"/>
      <c r="Z38" s="7">
        <f t="shared" si="27"/>
        <v>1.0774810550263512</v>
      </c>
    </row>
    <row r="39" spans="1:26" s="24" customFormat="1" hidden="1" outlineLevel="2" x14ac:dyDescent="0.25">
      <c r="A39" s="28"/>
      <c r="B39" s="11" t="str">
        <f>CONCATENATE("          ", "6006", " - ", "TEMPORARY PART TIME")</f>
        <v xml:space="preserve">          6006 - TEMPORARY PART TIME</v>
      </c>
      <c r="C39" s="11"/>
      <c r="D39" s="6">
        <v>1140</v>
      </c>
      <c r="E39" s="2"/>
      <c r="F39" s="7">
        <f t="shared" si="20"/>
        <v>1.9765401330752454E-3</v>
      </c>
      <c r="G39" s="2"/>
      <c r="H39" s="6"/>
      <c r="I39" s="2"/>
      <c r="J39" s="7">
        <f t="shared" si="21"/>
        <v>0</v>
      </c>
      <c r="K39" s="2"/>
      <c r="L39" s="6">
        <f t="shared" si="22"/>
        <v>1140</v>
      </c>
      <c r="M39" s="2"/>
      <c r="N39" s="7">
        <f t="shared" si="23"/>
        <v>0</v>
      </c>
      <c r="O39" s="11"/>
      <c r="P39" s="6">
        <v>6707.07</v>
      </c>
      <c r="Q39" s="2"/>
      <c r="R39" s="7">
        <f t="shared" si="24"/>
        <v>6.2962368910421049E-3</v>
      </c>
      <c r="S39" s="2"/>
      <c r="T39" s="6"/>
      <c r="U39" s="2"/>
      <c r="V39" s="7">
        <f t="shared" si="25"/>
        <v>0</v>
      </c>
      <c r="W39" s="2"/>
      <c r="X39" s="6">
        <f t="shared" si="26"/>
        <v>6707.07</v>
      </c>
      <c r="Y39" s="2"/>
      <c r="Z39" s="7">
        <f t="shared" si="27"/>
        <v>0</v>
      </c>
    </row>
    <row r="40" spans="1:26" s="24" customFormat="1" hidden="1" outlineLevel="2" x14ac:dyDescent="0.25">
      <c r="A40" s="28"/>
      <c r="B40" s="11" t="str">
        <f>CONCATENATE("          ", "6007", " - ", "STUDENT HOURLY")</f>
        <v xml:space="preserve">          6007 - STUDENT HOURLY</v>
      </c>
      <c r="C40" s="11"/>
      <c r="D40" s="6">
        <v>40001.32</v>
      </c>
      <c r="E40" s="2"/>
      <c r="F40" s="7">
        <f t="shared" si="20"/>
        <v>6.93545739964785E-2</v>
      </c>
      <c r="G40" s="2"/>
      <c r="H40" s="6">
        <v>32028.030000000002</v>
      </c>
      <c r="I40" s="2"/>
      <c r="J40" s="7">
        <f t="shared" si="21"/>
        <v>5.39814537777746E-2</v>
      </c>
      <c r="K40" s="2"/>
      <c r="L40" s="6">
        <f t="shared" si="22"/>
        <v>7973.2899999999972</v>
      </c>
      <c r="M40" s="2"/>
      <c r="N40" s="7">
        <f t="shared" si="23"/>
        <v>0.2489472502679683</v>
      </c>
      <c r="O40" s="11"/>
      <c r="P40" s="6">
        <v>93880.08</v>
      </c>
      <c r="Q40" s="2"/>
      <c r="R40" s="7">
        <f t="shared" si="24"/>
        <v>8.8129574170238895E-2</v>
      </c>
      <c r="S40" s="2"/>
      <c r="T40" s="6">
        <v>75444.69</v>
      </c>
      <c r="U40" s="2"/>
      <c r="V40" s="7">
        <f t="shared" si="25"/>
        <v>6.9130313352335049E-2</v>
      </c>
      <c r="W40" s="2"/>
      <c r="X40" s="6">
        <f t="shared" si="26"/>
        <v>18435.39</v>
      </c>
      <c r="Y40" s="2"/>
      <c r="Z40" s="7">
        <f t="shared" si="27"/>
        <v>0.24435636225690632</v>
      </c>
    </row>
    <row r="41" spans="1:26" s="24" customFormat="1" hidden="1" outlineLevel="2" x14ac:dyDescent="0.25">
      <c r="A41" s="28"/>
      <c r="B41" s="11" t="str">
        <f>CONCATENATE("          ", "6008", " - ", "STUDENT HOURLY-FICA EXEMPT")</f>
        <v xml:space="preserve">          6008 - STUDENT HOURLY-FICA EXEMPT</v>
      </c>
      <c r="C41" s="11"/>
      <c r="D41" s="6">
        <v>2947.5</v>
      </c>
      <c r="E41" s="2"/>
      <c r="F41" s="7">
        <f t="shared" si="20"/>
        <v>5.1103965282800756E-3</v>
      </c>
      <c r="G41" s="2"/>
      <c r="H41" s="6">
        <v>3558.5</v>
      </c>
      <c r="I41" s="2"/>
      <c r="J41" s="7">
        <f t="shared" si="21"/>
        <v>5.9976527831468529E-3</v>
      </c>
      <c r="K41" s="2"/>
      <c r="L41" s="6">
        <f t="shared" si="22"/>
        <v>-611</v>
      </c>
      <c r="M41" s="2"/>
      <c r="N41" s="7">
        <f t="shared" si="23"/>
        <v>-0.17170155964591821</v>
      </c>
      <c r="O41" s="11"/>
      <c r="P41" s="6">
        <v>6430.5</v>
      </c>
      <c r="Q41" s="2"/>
      <c r="R41" s="7">
        <f t="shared" si="24"/>
        <v>6.0366078373785062E-3</v>
      </c>
      <c r="S41" s="2"/>
      <c r="T41" s="6">
        <v>8013.5</v>
      </c>
      <c r="U41" s="2"/>
      <c r="V41" s="7">
        <f t="shared" si="25"/>
        <v>7.3428065785535986E-3</v>
      </c>
      <c r="W41" s="2"/>
      <c r="X41" s="6">
        <f t="shared" si="26"/>
        <v>-1583</v>
      </c>
      <c r="Y41" s="2"/>
      <c r="Z41" s="7">
        <f t="shared" si="27"/>
        <v>-0.1975416484682099</v>
      </c>
    </row>
    <row r="42" spans="1:26" s="29" customFormat="1" outlineLevel="1" collapsed="1" x14ac:dyDescent="0.2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74.44</v>
      </c>
      <c r="E42" s="1"/>
      <c r="F42" s="5">
        <f t="shared" ref="F42:F63" si="28">IF(D$12=0,0,D42/D$12)</f>
        <v>1.2906460307554498E-4</v>
      </c>
      <c r="G42" s="1"/>
      <c r="H42" s="1">
        <f>SUM(OSRRefH22_2x_0)</f>
        <v>1448.77</v>
      </c>
      <c r="I42" s="1"/>
      <c r="J42" s="5">
        <f t="shared" ref="J42:J63" si="29">IF(H$12=0,0,H42/H$12)</f>
        <v>2.4418208297427753E-3</v>
      </c>
      <c r="K42" s="1"/>
      <c r="L42" s="1">
        <f t="shared" ref="L42:L63" si="30">+D42-H42</f>
        <v>-1374.33</v>
      </c>
      <c r="M42" s="1"/>
      <c r="N42" s="5">
        <f t="shared" ref="N42:N63" si="31">IF(H42=0,0,L42/H42)</f>
        <v>-0.94861848326511455</v>
      </c>
      <c r="O42" s="14"/>
      <c r="P42" s="1">
        <f>SUM(OSRRefP22_2x_0)</f>
        <v>2069.6799999999998</v>
      </c>
      <c r="Q42" s="1"/>
      <c r="R42" s="5">
        <f t="shared" ref="R42:R63" si="32">IF(P$12=0,0,P42/P$12)</f>
        <v>1.9429043634033973E-3</v>
      </c>
      <c r="S42" s="1"/>
      <c r="T42" s="1">
        <f>SUM(OSRRefT22_2x_0)</f>
        <v>4249.68</v>
      </c>
      <c r="U42" s="1"/>
      <c r="V42" s="5">
        <f t="shared" ref="V42:V63" si="33">IF(T$12=0,0,T42/T$12)</f>
        <v>3.8940011556433097E-3</v>
      </c>
      <c r="W42" s="1"/>
      <c r="X42" s="1">
        <f t="shared" ref="X42:X63" si="34">+P42-T42</f>
        <v>-2180.0000000000005</v>
      </c>
      <c r="Y42" s="1"/>
      <c r="Z42" s="5">
        <f t="shared" ref="Z42:Z63" si="35">IF(T42=0,0,X42/T42)</f>
        <v>-0.51297980083206274</v>
      </c>
    </row>
    <row r="43" spans="1:26" s="24" customFormat="1" hidden="1" outlineLevel="2" x14ac:dyDescent="0.25">
      <c r="A43" s="28"/>
      <c r="B43" s="11" t="str">
        <f>CONCATENATE("          ", "6362", " - ", "ADVERTISING EXPENSE")</f>
        <v xml:space="preserve">          6362 - ADVERTISING EXPENSE</v>
      </c>
      <c r="C43" s="11"/>
      <c r="D43" s="6">
        <v>74.44</v>
      </c>
      <c r="E43" s="2"/>
      <c r="F43" s="7">
        <f t="shared" si="28"/>
        <v>1.2906460307554498E-4</v>
      </c>
      <c r="G43" s="2"/>
      <c r="H43" s="6">
        <v>1448.77</v>
      </c>
      <c r="I43" s="2"/>
      <c r="J43" s="7">
        <f t="shared" si="29"/>
        <v>2.4418208297427753E-3</v>
      </c>
      <c r="K43" s="2"/>
      <c r="L43" s="6">
        <f t="shared" si="30"/>
        <v>-1374.33</v>
      </c>
      <c r="M43" s="2"/>
      <c r="N43" s="7">
        <f t="shared" si="31"/>
        <v>-0.94861848326511455</v>
      </c>
      <c r="O43" s="11"/>
      <c r="P43" s="6">
        <v>2069.6799999999998</v>
      </c>
      <c r="Q43" s="2"/>
      <c r="R43" s="7">
        <f t="shared" si="32"/>
        <v>1.9429043634033973E-3</v>
      </c>
      <c r="S43" s="2"/>
      <c r="T43" s="6">
        <v>4249.68</v>
      </c>
      <c r="U43" s="2"/>
      <c r="V43" s="7">
        <f t="shared" si="33"/>
        <v>3.8940011556433097E-3</v>
      </c>
      <c r="W43" s="2"/>
      <c r="X43" s="6">
        <f t="shared" si="34"/>
        <v>-2180.0000000000005</v>
      </c>
      <c r="Y43" s="2"/>
      <c r="Z43" s="7">
        <f t="shared" si="35"/>
        <v>-0.51297980083206274</v>
      </c>
    </row>
    <row r="44" spans="1:26" s="29" customFormat="1" outlineLevel="1" collapsed="1" x14ac:dyDescent="0.25">
      <c r="A44" s="27"/>
      <c r="B44" s="14" t="str">
        <f>CONCATENATE("     ","Bad Debts/Over/Short                              ")</f>
        <v xml:space="preserve">     Bad Debts/Over/Short                              </v>
      </c>
      <c r="C44" s="14"/>
      <c r="D44" s="1">
        <f>SUM(OSRRefD22_3x_0)</f>
        <v>1.1000000000000001</v>
      </c>
      <c r="E44" s="1"/>
      <c r="F44" s="5">
        <f t="shared" si="28"/>
        <v>1.9071878477041844E-6</v>
      </c>
      <c r="G44" s="1"/>
      <c r="H44" s="1">
        <f>SUM(OSRRefH22_3x_0)</f>
        <v>15.29</v>
      </c>
      <c r="I44" s="1"/>
      <c r="J44" s="5">
        <f t="shared" si="29"/>
        <v>2.5770440088328053E-5</v>
      </c>
      <c r="K44" s="1"/>
      <c r="L44" s="1">
        <f t="shared" si="30"/>
        <v>-14.19</v>
      </c>
      <c r="M44" s="1"/>
      <c r="N44" s="5">
        <f t="shared" si="31"/>
        <v>-0.92805755395683454</v>
      </c>
      <c r="O44" s="14"/>
      <c r="P44" s="1">
        <f>SUM(OSRRefP22_3x_0)</f>
        <v>1</v>
      </c>
      <c r="Q44" s="1"/>
      <c r="R44" s="5">
        <f t="shared" si="32"/>
        <v>9.3874626193585356E-7</v>
      </c>
      <c r="S44" s="1"/>
      <c r="T44" s="1">
        <f>SUM(OSRRefT22_3x_0)</f>
        <v>16.36</v>
      </c>
      <c r="U44" s="1"/>
      <c r="V44" s="5">
        <f t="shared" si="33"/>
        <v>1.4990742575046718E-5</v>
      </c>
      <c r="W44" s="1"/>
      <c r="X44" s="1">
        <f t="shared" si="34"/>
        <v>-15.36</v>
      </c>
      <c r="Y44" s="1"/>
      <c r="Z44" s="5">
        <f t="shared" si="35"/>
        <v>-0.93887530562347188</v>
      </c>
    </row>
    <row r="45" spans="1:26" s="24" customFormat="1" hidden="1" outlineLevel="2" x14ac:dyDescent="0.25">
      <c r="A45" s="28"/>
      <c r="B45" s="11" t="str">
        <f>CONCATENATE("          ", "6272", " - ", "CASH (OVER/SHORT)")</f>
        <v xml:space="preserve">          6272 - CASH (OVER/SHORT)</v>
      </c>
      <c r="C45" s="11"/>
      <c r="D45" s="6">
        <v>1.1000000000000001</v>
      </c>
      <c r="E45" s="2"/>
      <c r="F45" s="7">
        <f t="shared" si="28"/>
        <v>1.9071878477041844E-6</v>
      </c>
      <c r="G45" s="2"/>
      <c r="H45" s="6">
        <v>15.29</v>
      </c>
      <c r="I45" s="2"/>
      <c r="J45" s="7">
        <f t="shared" si="29"/>
        <v>2.5770440088328053E-5</v>
      </c>
      <c r="K45" s="2"/>
      <c r="L45" s="6">
        <f t="shared" si="30"/>
        <v>-14.19</v>
      </c>
      <c r="M45" s="2"/>
      <c r="N45" s="7">
        <f t="shared" si="31"/>
        <v>-0.92805755395683454</v>
      </c>
      <c r="O45" s="11"/>
      <c r="P45" s="6">
        <v>1</v>
      </c>
      <c r="Q45" s="2"/>
      <c r="R45" s="7">
        <f t="shared" si="32"/>
        <v>9.3874626193585356E-7</v>
      </c>
      <c r="S45" s="2"/>
      <c r="T45" s="6">
        <v>16.36</v>
      </c>
      <c r="U45" s="2"/>
      <c r="V45" s="7">
        <f t="shared" si="33"/>
        <v>1.4990742575046718E-5</v>
      </c>
      <c r="W45" s="2"/>
      <c r="X45" s="6">
        <f t="shared" si="34"/>
        <v>-15.36</v>
      </c>
      <c r="Y45" s="2"/>
      <c r="Z45" s="7">
        <f t="shared" si="35"/>
        <v>-0.93887530562347188</v>
      </c>
    </row>
    <row r="46" spans="1:26" s="29" customFormat="1" outlineLevel="1" collapsed="1" x14ac:dyDescent="0.25">
      <c r="A46" s="27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238.34</v>
      </c>
      <c r="E46" s="1"/>
      <c r="F46" s="5">
        <f t="shared" si="28"/>
        <v>4.1323559238346847E-4</v>
      </c>
      <c r="G46" s="1"/>
      <c r="H46" s="1">
        <f>SUM(OSRRefH22_4x_0)</f>
        <v>327.56</v>
      </c>
      <c r="I46" s="1"/>
      <c r="J46" s="5">
        <f t="shared" si="29"/>
        <v>5.5208406509697436E-4</v>
      </c>
      <c r="K46" s="1"/>
      <c r="L46" s="1">
        <f t="shared" si="30"/>
        <v>-89.22</v>
      </c>
      <c r="M46" s="1"/>
      <c r="N46" s="5">
        <f t="shared" si="31"/>
        <v>-0.2723775796800586</v>
      </c>
      <c r="O46" s="14"/>
      <c r="P46" s="1">
        <f>SUM(OSRRefP22_4x_0)</f>
        <v>416.27</v>
      </c>
      <c r="Q46" s="1"/>
      <c r="R46" s="5">
        <f t="shared" si="32"/>
        <v>3.9077190645603777E-4</v>
      </c>
      <c r="S46" s="1"/>
      <c r="T46" s="1">
        <f>SUM(OSRRefT22_4x_0)</f>
        <v>501.92</v>
      </c>
      <c r="U46" s="1"/>
      <c r="V46" s="5">
        <f t="shared" si="33"/>
        <v>4.5991158394055311E-4</v>
      </c>
      <c r="W46" s="1"/>
      <c r="X46" s="1">
        <f t="shared" si="34"/>
        <v>-85.650000000000034</v>
      </c>
      <c r="Y46" s="1"/>
      <c r="Z46" s="5">
        <f t="shared" si="35"/>
        <v>-0.17064472425884608</v>
      </c>
    </row>
    <row r="47" spans="1:26" s="24" customFormat="1" hidden="1" outlineLevel="2" x14ac:dyDescent="0.25">
      <c r="A47" s="28"/>
      <c r="B47" s="11" t="str">
        <f>CONCATENATE("          ", "6381", " - ", "BANK/CREDIT CARD FEES")</f>
        <v xml:space="preserve">          6381 - BANK/CREDIT CARD FEES</v>
      </c>
      <c r="C47" s="11"/>
      <c r="D47" s="6">
        <v>238.34</v>
      </c>
      <c r="E47" s="2"/>
      <c r="F47" s="7">
        <f t="shared" si="28"/>
        <v>4.1323559238346847E-4</v>
      </c>
      <c r="G47" s="2"/>
      <c r="H47" s="6">
        <v>327.56</v>
      </c>
      <c r="I47" s="2"/>
      <c r="J47" s="7">
        <f t="shared" si="29"/>
        <v>5.5208406509697436E-4</v>
      </c>
      <c r="K47" s="2"/>
      <c r="L47" s="6">
        <f t="shared" si="30"/>
        <v>-89.22</v>
      </c>
      <c r="M47" s="2"/>
      <c r="N47" s="7">
        <f t="shared" si="31"/>
        <v>-0.2723775796800586</v>
      </c>
      <c r="O47" s="11"/>
      <c r="P47" s="6">
        <v>416.27</v>
      </c>
      <c r="Q47" s="2"/>
      <c r="R47" s="7">
        <f t="shared" si="32"/>
        <v>3.9077190645603777E-4</v>
      </c>
      <c r="S47" s="2"/>
      <c r="T47" s="6">
        <v>501.92</v>
      </c>
      <c r="U47" s="2"/>
      <c r="V47" s="7">
        <f t="shared" si="33"/>
        <v>4.5991158394055311E-4</v>
      </c>
      <c r="W47" s="2"/>
      <c r="X47" s="6">
        <f t="shared" si="34"/>
        <v>-85.650000000000034</v>
      </c>
      <c r="Y47" s="2"/>
      <c r="Z47" s="7">
        <f t="shared" si="35"/>
        <v>-0.17064472425884608</v>
      </c>
    </row>
    <row r="48" spans="1:26" s="29" customFormat="1" outlineLevel="1" collapsed="1" x14ac:dyDescent="0.25">
      <c r="A48" s="27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SUM(OSRRefD22_5x_0)</f>
        <v>11481.77</v>
      </c>
      <c r="E48" s="1"/>
      <c r="F48" s="5">
        <f t="shared" si="28"/>
        <v>1.9907174740122248E-2</v>
      </c>
      <c r="G48" s="1"/>
      <c r="H48" s="1">
        <f>SUM(OSRRefH22_5x_0)</f>
        <v>11231.38</v>
      </c>
      <c r="I48" s="1"/>
      <c r="J48" s="5">
        <f t="shared" si="29"/>
        <v>1.8929863008452969E-2</v>
      </c>
      <c r="K48" s="1"/>
      <c r="L48" s="1">
        <f t="shared" si="30"/>
        <v>250.39000000000124</v>
      </c>
      <c r="M48" s="1"/>
      <c r="N48" s="5">
        <f t="shared" si="31"/>
        <v>2.229378758442874E-2</v>
      </c>
      <c r="O48" s="14"/>
      <c r="P48" s="1">
        <f>SUM(OSRRefP22_5x_0)</f>
        <v>15377.79</v>
      </c>
      <c r="Q48" s="1"/>
      <c r="R48" s="5">
        <f t="shared" si="32"/>
        <v>1.443584287933455E-2</v>
      </c>
      <c r="S48" s="1"/>
      <c r="T48" s="1">
        <f>SUM(OSRRefT22_5x_0)</f>
        <v>14278.42</v>
      </c>
      <c r="U48" s="1"/>
      <c r="V48" s="5">
        <f t="shared" si="33"/>
        <v>1.308338133242045E-2</v>
      </c>
      <c r="W48" s="1"/>
      <c r="X48" s="1">
        <f t="shared" si="34"/>
        <v>1099.3700000000008</v>
      </c>
      <c r="Y48" s="1"/>
      <c r="Z48" s="5">
        <f t="shared" si="35"/>
        <v>7.6995213756143946E-2</v>
      </c>
    </row>
    <row r="49" spans="1:26" s="24" customFormat="1" hidden="1" outlineLevel="2" x14ac:dyDescent="0.25">
      <c r="A49" s="28"/>
      <c r="B49" s="11" t="str">
        <f>CONCATENATE("          ", "6399", " - ", "DONATION-ON CAMPUS")</f>
        <v xml:space="preserve">          6399 - DONATION-ON CAMPUS</v>
      </c>
      <c r="C49" s="11"/>
      <c r="D49" s="6">
        <v>11481.77</v>
      </c>
      <c r="E49" s="2"/>
      <c r="F49" s="7">
        <f t="shared" si="28"/>
        <v>1.9907174740122248E-2</v>
      </c>
      <c r="G49" s="2"/>
      <c r="H49" s="6">
        <v>11231.38</v>
      </c>
      <c r="I49" s="2"/>
      <c r="J49" s="7">
        <f t="shared" si="29"/>
        <v>1.8929863008452969E-2</v>
      </c>
      <c r="K49" s="2"/>
      <c r="L49" s="6">
        <f t="shared" si="30"/>
        <v>250.39000000000124</v>
      </c>
      <c r="M49" s="2"/>
      <c r="N49" s="7">
        <f t="shared" si="31"/>
        <v>2.229378758442874E-2</v>
      </c>
      <c r="O49" s="11"/>
      <c r="P49" s="6">
        <v>15377.79</v>
      </c>
      <c r="Q49" s="2"/>
      <c r="R49" s="7">
        <f t="shared" si="32"/>
        <v>1.443584287933455E-2</v>
      </c>
      <c r="S49" s="2"/>
      <c r="T49" s="6">
        <v>14278.42</v>
      </c>
      <c r="U49" s="2"/>
      <c r="V49" s="7">
        <f t="shared" si="33"/>
        <v>1.308338133242045E-2</v>
      </c>
      <c r="W49" s="2"/>
      <c r="X49" s="6">
        <f t="shared" si="34"/>
        <v>1099.3700000000008</v>
      </c>
      <c r="Y49" s="2"/>
      <c r="Z49" s="7">
        <f t="shared" si="35"/>
        <v>7.6995213756143946E-2</v>
      </c>
    </row>
    <row r="50" spans="1:26" s="29" customFormat="1" outlineLevel="1" collapsed="1" x14ac:dyDescent="0.25">
      <c r="A50" s="27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SUM(OSRRefD22_6x_0)</f>
        <v>21.33</v>
      </c>
      <c r="E50" s="1"/>
      <c r="F50" s="5">
        <f t="shared" si="28"/>
        <v>3.6982106174118406E-5</v>
      </c>
      <c r="G50" s="1"/>
      <c r="H50" s="1">
        <f>SUM(OSRRefH22_6x_0)</f>
        <v>0</v>
      </c>
      <c r="I50" s="1"/>
      <c r="J50" s="5">
        <f t="shared" si="29"/>
        <v>0</v>
      </c>
      <c r="K50" s="1"/>
      <c r="L50" s="1">
        <f t="shared" si="30"/>
        <v>21.33</v>
      </c>
      <c r="M50" s="1"/>
      <c r="N50" s="5">
        <f t="shared" si="31"/>
        <v>0</v>
      </c>
      <c r="O50" s="14"/>
      <c r="P50" s="1">
        <f>SUM(OSRRefP22_6x_0)</f>
        <v>21.33</v>
      </c>
      <c r="Q50" s="1"/>
      <c r="R50" s="5">
        <f t="shared" si="32"/>
        <v>2.0023457767091754E-5</v>
      </c>
      <c r="S50" s="1"/>
      <c r="T50" s="1">
        <f>SUM(OSRRefT22_6x_0)</f>
        <v>0</v>
      </c>
      <c r="U50" s="1"/>
      <c r="V50" s="5">
        <f t="shared" si="33"/>
        <v>0</v>
      </c>
      <c r="W50" s="1"/>
      <c r="X50" s="1">
        <f t="shared" si="34"/>
        <v>21.33</v>
      </c>
      <c r="Y50" s="1"/>
      <c r="Z50" s="5">
        <f t="shared" si="35"/>
        <v>0</v>
      </c>
    </row>
    <row r="51" spans="1:26" s="24" customFormat="1" hidden="1" outlineLevel="2" x14ac:dyDescent="0.25">
      <c r="A51" s="28"/>
      <c r="B51" s="11" t="str">
        <f>CONCATENATE("          ", "6277", " - ", "EMPLOYEE APPRECIATION")</f>
        <v xml:space="preserve">          6277 - EMPLOYEE APPRECIATION</v>
      </c>
      <c r="C51" s="11"/>
      <c r="D51" s="6">
        <v>21.33</v>
      </c>
      <c r="E51" s="2"/>
      <c r="F51" s="7">
        <f t="shared" si="28"/>
        <v>3.6982106174118406E-5</v>
      </c>
      <c r="G51" s="2"/>
      <c r="H51" s="6"/>
      <c r="I51" s="2"/>
      <c r="J51" s="7">
        <f t="shared" si="29"/>
        <v>0</v>
      </c>
      <c r="K51" s="2"/>
      <c r="L51" s="6">
        <f t="shared" si="30"/>
        <v>21.33</v>
      </c>
      <c r="M51" s="2"/>
      <c r="N51" s="7">
        <f t="shared" si="31"/>
        <v>0</v>
      </c>
      <c r="O51" s="11"/>
      <c r="P51" s="6">
        <v>21.33</v>
      </c>
      <c r="Q51" s="2"/>
      <c r="R51" s="7">
        <f t="shared" si="32"/>
        <v>2.0023457767091754E-5</v>
      </c>
      <c r="S51" s="2"/>
      <c r="T51" s="6"/>
      <c r="U51" s="2"/>
      <c r="V51" s="7">
        <f t="shared" si="33"/>
        <v>0</v>
      </c>
      <c r="W51" s="2"/>
      <c r="X51" s="6">
        <f t="shared" si="34"/>
        <v>21.33</v>
      </c>
      <c r="Y51" s="2"/>
      <c r="Z51" s="7">
        <f t="shared" si="35"/>
        <v>0</v>
      </c>
    </row>
    <row r="52" spans="1:26" s="29" customFormat="1" outlineLevel="1" collapsed="1" x14ac:dyDescent="0.25">
      <c r="A52" s="27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SUM(OSRRefD22_7x_0)</f>
        <v>-355.28</v>
      </c>
      <c r="E52" s="1"/>
      <c r="F52" s="5">
        <f t="shared" si="28"/>
        <v>-6.1598699866576598E-4</v>
      </c>
      <c r="G52" s="1"/>
      <c r="H52" s="1">
        <f>SUM(OSRRefH22_7x_0)</f>
        <v>74.84</v>
      </c>
      <c r="I52" s="1"/>
      <c r="J52" s="5">
        <f t="shared" si="29"/>
        <v>1.2613863546177056E-4</v>
      </c>
      <c r="K52" s="1"/>
      <c r="L52" s="1">
        <f t="shared" si="30"/>
        <v>-430.12</v>
      </c>
      <c r="M52" s="1"/>
      <c r="N52" s="5">
        <f t="shared" si="31"/>
        <v>-5.747194013896312</v>
      </c>
      <c r="O52" s="14"/>
      <c r="P52" s="1">
        <f>SUM(OSRRefP22_7x_0)</f>
        <v>544.88</v>
      </c>
      <c r="Q52" s="1"/>
      <c r="R52" s="5">
        <f t="shared" si="32"/>
        <v>5.115040632036079E-4</v>
      </c>
      <c r="S52" s="1"/>
      <c r="T52" s="1">
        <f>SUM(OSRRefT22_7x_0)</f>
        <v>596.9</v>
      </c>
      <c r="U52" s="1"/>
      <c r="V52" s="5">
        <f t="shared" si="33"/>
        <v>5.4694219089519475E-4</v>
      </c>
      <c r="W52" s="1"/>
      <c r="X52" s="1">
        <f t="shared" si="34"/>
        <v>-52.019999999999982</v>
      </c>
      <c r="Y52" s="1"/>
      <c r="Z52" s="5">
        <f t="shared" si="35"/>
        <v>-8.7150276428212409E-2</v>
      </c>
    </row>
    <row r="53" spans="1:26" s="24" customFormat="1" hidden="1" outlineLevel="2" x14ac:dyDescent="0.25">
      <c r="A53" s="28"/>
      <c r="B53" s="11" t="str">
        <f>CONCATENATE("          ", "6351", " - ", "EQUIPMENT RENTAL")</f>
        <v xml:space="preserve">          6351 - EQUIPMENT RENTAL</v>
      </c>
      <c r="C53" s="11"/>
      <c r="D53" s="6">
        <v>-355.28</v>
      </c>
      <c r="E53" s="2"/>
      <c r="F53" s="7">
        <f t="shared" si="28"/>
        <v>-6.1598699866576598E-4</v>
      </c>
      <c r="G53" s="2"/>
      <c r="H53" s="6">
        <v>74.84</v>
      </c>
      <c r="I53" s="2"/>
      <c r="J53" s="7">
        <f t="shared" si="29"/>
        <v>1.2613863546177056E-4</v>
      </c>
      <c r="K53" s="2"/>
      <c r="L53" s="6">
        <f t="shared" si="30"/>
        <v>-430.12</v>
      </c>
      <c r="M53" s="2"/>
      <c r="N53" s="7">
        <f t="shared" si="31"/>
        <v>-5.747194013896312</v>
      </c>
      <c r="O53" s="11"/>
      <c r="P53" s="6">
        <v>544.88</v>
      </c>
      <c r="Q53" s="2"/>
      <c r="R53" s="7">
        <f t="shared" si="32"/>
        <v>5.115040632036079E-4</v>
      </c>
      <c r="S53" s="2"/>
      <c r="T53" s="6">
        <v>596.9</v>
      </c>
      <c r="U53" s="2"/>
      <c r="V53" s="7">
        <f t="shared" si="33"/>
        <v>5.4694219089519475E-4</v>
      </c>
      <c r="W53" s="2"/>
      <c r="X53" s="6">
        <f t="shared" si="34"/>
        <v>-52.019999999999982</v>
      </c>
      <c r="Y53" s="2"/>
      <c r="Z53" s="7">
        <f t="shared" si="35"/>
        <v>-8.7150276428212409E-2</v>
      </c>
    </row>
    <row r="54" spans="1:26" s="29" customFormat="1" outlineLevel="1" collapsed="1" x14ac:dyDescent="0.25">
      <c r="A54" s="27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SUM(OSRRefD22_8x_0)</f>
        <v>0</v>
      </c>
      <c r="E54" s="1"/>
      <c r="F54" s="5">
        <f t="shared" si="28"/>
        <v>0</v>
      </c>
      <c r="G54" s="1"/>
      <c r="H54" s="1">
        <f>SUM(OSRRefH22_8x_0)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4"/>
      <c r="P54" s="1">
        <f>SUM(OSRRefP22_8x_0)</f>
        <v>1499.55</v>
      </c>
      <c r="Q54" s="1"/>
      <c r="R54" s="5">
        <f t="shared" si="32"/>
        <v>1.4076969570859092E-3</v>
      </c>
      <c r="S54" s="1"/>
      <c r="T54" s="1">
        <f>SUM(OSRRefT22_8x_0)</f>
        <v>1515.54</v>
      </c>
      <c r="U54" s="1"/>
      <c r="V54" s="5">
        <f t="shared" si="33"/>
        <v>1.3886962104025858E-3</v>
      </c>
      <c r="W54" s="1"/>
      <c r="X54" s="1">
        <f t="shared" si="34"/>
        <v>-15.990000000000009</v>
      </c>
      <c r="Y54" s="1"/>
      <c r="Z54" s="5">
        <f t="shared" si="35"/>
        <v>-1.0550694801852811E-2</v>
      </c>
    </row>
    <row r="55" spans="1:26" s="24" customFormat="1" hidden="1" outlineLevel="2" x14ac:dyDescent="0.25">
      <c r="A55" s="28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28"/>
        <v>0</v>
      </c>
      <c r="G55" s="2"/>
      <c r="H55" s="6"/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1"/>
      <c r="P55" s="6">
        <v>1499.55</v>
      </c>
      <c r="Q55" s="2"/>
      <c r="R55" s="7">
        <f t="shared" si="32"/>
        <v>1.4076969570859092E-3</v>
      </c>
      <c r="S55" s="2"/>
      <c r="T55" s="6">
        <v>1515.54</v>
      </c>
      <c r="U55" s="2"/>
      <c r="V55" s="7">
        <f t="shared" si="33"/>
        <v>1.3886962104025858E-3</v>
      </c>
      <c r="W55" s="2"/>
      <c r="X55" s="6">
        <f t="shared" si="34"/>
        <v>-15.990000000000009</v>
      </c>
      <c r="Y55" s="2"/>
      <c r="Z55" s="7">
        <f t="shared" si="35"/>
        <v>-1.0550694801852811E-2</v>
      </c>
    </row>
    <row r="56" spans="1:26" s="29" customFormat="1" outlineLevel="1" collapsed="1" x14ac:dyDescent="0.25">
      <c r="A56" s="27"/>
      <c r="B56" s="14" t="str">
        <f>CONCATENATE("     ","R/H Commissions                                   ")</f>
        <v xml:space="preserve">     R/H Commissions                                   </v>
      </c>
      <c r="C56" s="14"/>
      <c r="D56" s="1">
        <f>SUM(OSRRefD22_9x_0)</f>
        <v>49689.440000000002</v>
      </c>
      <c r="E56" s="1"/>
      <c r="F56" s="5">
        <f t="shared" si="28"/>
        <v>8.6151905570205647E-2</v>
      </c>
      <c r="G56" s="1"/>
      <c r="H56" s="1">
        <f>SUM(OSRRefH22_9x_0)</f>
        <v>41446.720000000001</v>
      </c>
      <c r="I56" s="1"/>
      <c r="J56" s="5">
        <f t="shared" si="29"/>
        <v>6.9856129144389018E-2</v>
      </c>
      <c r="K56" s="1"/>
      <c r="L56" s="1">
        <f t="shared" si="30"/>
        <v>8242.7200000000012</v>
      </c>
      <c r="M56" s="1"/>
      <c r="N56" s="5">
        <f t="shared" si="31"/>
        <v>0.19887508589340727</v>
      </c>
      <c r="O56" s="14"/>
      <c r="P56" s="1">
        <f>SUM(OSRRefP22_9x_0)</f>
        <v>80444.280000000013</v>
      </c>
      <c r="Q56" s="1"/>
      <c r="R56" s="5">
        <f t="shared" si="32"/>
        <v>7.5516767144121158E-2</v>
      </c>
      <c r="S56" s="1"/>
      <c r="T56" s="1">
        <f>SUM(OSRRefT22_9x_0)</f>
        <v>81114.34</v>
      </c>
      <c r="U56" s="1"/>
      <c r="V56" s="5">
        <f t="shared" si="33"/>
        <v>7.4325439491736853E-2</v>
      </c>
      <c r="W56" s="1"/>
      <c r="X56" s="1">
        <f t="shared" si="34"/>
        <v>-670.05999999998312</v>
      </c>
      <c r="Y56" s="1"/>
      <c r="Z56" s="5">
        <f t="shared" si="35"/>
        <v>-8.2606848554766417E-3</v>
      </c>
    </row>
    <row r="57" spans="1:26" s="24" customFormat="1" hidden="1" outlineLevel="2" x14ac:dyDescent="0.25">
      <c r="A57" s="28"/>
      <c r="B57" s="11" t="str">
        <f>CONCATENATE("          ", "6387", " - ", "COMMISSION DUE HOUSING")</f>
        <v xml:space="preserve">          6387 - COMMISSION DUE HOUSING</v>
      </c>
      <c r="C57" s="11"/>
      <c r="D57" s="6">
        <v>49689.440000000002</v>
      </c>
      <c r="E57" s="2"/>
      <c r="F57" s="7">
        <f t="shared" si="28"/>
        <v>8.6151905570205647E-2</v>
      </c>
      <c r="G57" s="2"/>
      <c r="H57" s="6">
        <v>41446.720000000001</v>
      </c>
      <c r="I57" s="2"/>
      <c r="J57" s="7">
        <f t="shared" si="29"/>
        <v>6.9856129144389018E-2</v>
      </c>
      <c r="K57" s="2"/>
      <c r="L57" s="6">
        <f t="shared" si="30"/>
        <v>8242.7200000000012</v>
      </c>
      <c r="M57" s="2"/>
      <c r="N57" s="7">
        <f t="shared" si="31"/>
        <v>0.19887508589340727</v>
      </c>
      <c r="O57" s="11"/>
      <c r="P57" s="6">
        <v>80444.280000000013</v>
      </c>
      <c r="Q57" s="2"/>
      <c r="R57" s="7">
        <f t="shared" si="32"/>
        <v>7.5516767144121158E-2</v>
      </c>
      <c r="S57" s="2"/>
      <c r="T57" s="6">
        <v>81114.34</v>
      </c>
      <c r="U57" s="2"/>
      <c r="V57" s="7">
        <f t="shared" si="33"/>
        <v>7.4325439491736853E-2</v>
      </c>
      <c r="W57" s="2"/>
      <c r="X57" s="6">
        <f t="shared" si="34"/>
        <v>-670.05999999998312</v>
      </c>
      <c r="Y57" s="2"/>
      <c r="Z57" s="7">
        <f t="shared" si="35"/>
        <v>-8.2606848554766417E-3</v>
      </c>
    </row>
    <row r="58" spans="1:26" s="29" customFormat="1" outlineLevel="1" collapsed="1" x14ac:dyDescent="0.25">
      <c r="A58" s="27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SUM(OSRRefD22_10x_0)</f>
        <v>0</v>
      </c>
      <c r="E58" s="1"/>
      <c r="F58" s="5">
        <f t="shared" si="28"/>
        <v>0</v>
      </c>
      <c r="G58" s="1"/>
      <c r="H58" s="1">
        <f>SUM(OSRRefH22_10x_0)</f>
        <v>67.47</v>
      </c>
      <c r="I58" s="1"/>
      <c r="J58" s="5">
        <f t="shared" si="29"/>
        <v>1.137169125414973E-4</v>
      </c>
      <c r="K58" s="1"/>
      <c r="L58" s="1">
        <f t="shared" si="30"/>
        <v>-67.47</v>
      </c>
      <c r="M58" s="1"/>
      <c r="N58" s="5">
        <f t="shared" si="31"/>
        <v>-1</v>
      </c>
      <c r="O58" s="14"/>
      <c r="P58" s="1">
        <f>SUM(OSRRefP22_10x_0)</f>
        <v>0</v>
      </c>
      <c r="Q58" s="1"/>
      <c r="R58" s="5">
        <f t="shared" si="32"/>
        <v>0</v>
      </c>
      <c r="S58" s="1"/>
      <c r="T58" s="1">
        <f>SUM(OSRRefT22_10x_0)</f>
        <v>67.47</v>
      </c>
      <c r="U58" s="1"/>
      <c r="V58" s="5">
        <f t="shared" si="33"/>
        <v>6.1823068553692055E-5</v>
      </c>
      <c r="W58" s="1"/>
      <c r="X58" s="1">
        <f t="shared" si="34"/>
        <v>-67.47</v>
      </c>
      <c r="Y58" s="1"/>
      <c r="Z58" s="5">
        <f t="shared" si="35"/>
        <v>-1</v>
      </c>
    </row>
    <row r="59" spans="1:26" s="24" customFormat="1" hidden="1" outlineLevel="2" x14ac:dyDescent="0.25">
      <c r="A59" s="28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28"/>
        <v>0</v>
      </c>
      <c r="G59" s="2"/>
      <c r="H59" s="6">
        <v>67.47</v>
      </c>
      <c r="I59" s="2"/>
      <c r="J59" s="7">
        <f t="shared" si="29"/>
        <v>1.137169125414973E-4</v>
      </c>
      <c r="K59" s="2"/>
      <c r="L59" s="6">
        <f t="shared" si="30"/>
        <v>-67.47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67.47</v>
      </c>
      <c r="U59" s="2"/>
      <c r="V59" s="7">
        <f t="shared" si="33"/>
        <v>6.1823068553692055E-5</v>
      </c>
      <c r="W59" s="2"/>
      <c r="X59" s="6">
        <f t="shared" si="34"/>
        <v>-67.47</v>
      </c>
      <c r="Y59" s="2"/>
      <c r="Z59" s="7">
        <f t="shared" si="35"/>
        <v>-1</v>
      </c>
    </row>
    <row r="60" spans="1:26" s="29" customFormat="1" outlineLevel="1" collapsed="1" x14ac:dyDescent="0.25">
      <c r="A60" s="27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SUM(OSRRefD22_11x_0)</f>
        <v>7161.7699999999995</v>
      </c>
      <c r="E60" s="1"/>
      <c r="F60" s="5">
        <f t="shared" si="28"/>
        <v>1.2417127920047632E-2</v>
      </c>
      <c r="G60" s="1"/>
      <c r="H60" s="1">
        <f>SUM(OSRRefH22_11x_0)</f>
        <v>5576.06</v>
      </c>
      <c r="I60" s="1"/>
      <c r="J60" s="5">
        <f t="shared" si="29"/>
        <v>9.3981373550636061E-3</v>
      </c>
      <c r="K60" s="1"/>
      <c r="L60" s="1">
        <f t="shared" si="30"/>
        <v>1585.7099999999991</v>
      </c>
      <c r="M60" s="1"/>
      <c r="N60" s="5">
        <f t="shared" si="31"/>
        <v>0.28437821687714965</v>
      </c>
      <c r="O60" s="14"/>
      <c r="P60" s="1">
        <f>SUM(OSRRefP22_11x_0)</f>
        <v>19908.07</v>
      </c>
      <c r="Q60" s="1"/>
      <c r="R60" s="5">
        <f t="shared" si="32"/>
        <v>1.8688626294857309E-2</v>
      </c>
      <c r="S60" s="1"/>
      <c r="T60" s="1">
        <f>SUM(OSRRefT22_11x_0)</f>
        <v>16744.940000000002</v>
      </c>
      <c r="U60" s="1"/>
      <c r="V60" s="5">
        <f t="shared" si="33"/>
        <v>1.534346485174834E-2</v>
      </c>
      <c r="W60" s="1"/>
      <c r="X60" s="1">
        <f t="shared" si="34"/>
        <v>3163.1299999999974</v>
      </c>
      <c r="Y60" s="1"/>
      <c r="Z60" s="5">
        <f t="shared" si="35"/>
        <v>0.18890064700142234</v>
      </c>
    </row>
    <row r="61" spans="1:26" s="24" customFormat="1" hidden="1" outlineLevel="2" x14ac:dyDescent="0.25">
      <c r="A61" s="28"/>
      <c r="B61" s="11" t="str">
        <f>CONCATENATE("          ", "6282", " - ", "JANITORIAL/EXTERMINATOR EXPENS")</f>
        <v xml:space="preserve">          6282 - JANITORIAL/EXTERMINATOR EXPENS</v>
      </c>
      <c r="C61" s="11"/>
      <c r="D61" s="6">
        <v>537.32000000000005</v>
      </c>
      <c r="E61" s="2"/>
      <c r="F61" s="7">
        <f t="shared" si="28"/>
        <v>9.316092493894658E-4</v>
      </c>
      <c r="G61" s="2"/>
      <c r="H61" s="6">
        <v>417.32</v>
      </c>
      <c r="I61" s="2"/>
      <c r="J61" s="7">
        <f t="shared" si="29"/>
        <v>7.033695263349289E-4</v>
      </c>
      <c r="K61" s="2"/>
      <c r="L61" s="6">
        <f t="shared" si="30"/>
        <v>120.00000000000006</v>
      </c>
      <c r="M61" s="2"/>
      <c r="N61" s="7">
        <f t="shared" si="31"/>
        <v>0.28754912297517504</v>
      </c>
      <c r="O61" s="11"/>
      <c r="P61" s="6">
        <v>1371.96</v>
      </c>
      <c r="Q61" s="2"/>
      <c r="R61" s="7">
        <f t="shared" si="32"/>
        <v>1.2879223215255136E-3</v>
      </c>
      <c r="S61" s="2"/>
      <c r="T61" s="6">
        <v>1251.96</v>
      </c>
      <c r="U61" s="2"/>
      <c r="V61" s="7">
        <f t="shared" si="33"/>
        <v>1.1471766549055924E-3</v>
      </c>
      <c r="W61" s="2"/>
      <c r="X61" s="6">
        <f t="shared" si="34"/>
        <v>120</v>
      </c>
      <c r="Y61" s="2"/>
      <c r="Z61" s="7">
        <f t="shared" si="35"/>
        <v>9.5849707658391639E-2</v>
      </c>
    </row>
    <row r="62" spans="1:26" s="24" customFormat="1" hidden="1" outlineLevel="2" x14ac:dyDescent="0.25">
      <c r="A62" s="28"/>
      <c r="B62" s="11" t="str">
        <f>CONCATENATE("          ", "6285", " - ", "JANITORIAL SERVICES")</f>
        <v xml:space="preserve">          6285 - JANITORIAL SERVICES</v>
      </c>
      <c r="C62" s="11"/>
      <c r="D62" s="6">
        <v>4916.07</v>
      </c>
      <c r="E62" s="2"/>
      <c r="F62" s="7">
        <f t="shared" si="28"/>
        <v>8.5235172386028263E-3</v>
      </c>
      <c r="G62" s="2"/>
      <c r="H62" s="6">
        <v>3603.61</v>
      </c>
      <c r="I62" s="2"/>
      <c r="J62" s="7">
        <f t="shared" si="29"/>
        <v>6.0736831659058115E-3</v>
      </c>
      <c r="K62" s="2"/>
      <c r="L62" s="6">
        <f t="shared" si="30"/>
        <v>1312.4599999999996</v>
      </c>
      <c r="M62" s="2"/>
      <c r="N62" s="7">
        <f t="shared" si="31"/>
        <v>0.36420700353256857</v>
      </c>
      <c r="O62" s="11"/>
      <c r="P62" s="6">
        <v>12903.17</v>
      </c>
      <c r="Q62" s="2"/>
      <c r="R62" s="7">
        <f t="shared" si="32"/>
        <v>1.2112802604622847E-2</v>
      </c>
      <c r="S62" s="2"/>
      <c r="T62" s="6">
        <v>10810.83</v>
      </c>
      <c r="U62" s="2"/>
      <c r="V62" s="7">
        <f t="shared" si="33"/>
        <v>9.9060128088381601E-3</v>
      </c>
      <c r="W62" s="2"/>
      <c r="X62" s="6">
        <f t="shared" si="34"/>
        <v>2092.34</v>
      </c>
      <c r="Y62" s="2"/>
      <c r="Z62" s="7">
        <f t="shared" si="35"/>
        <v>0.19354110646453604</v>
      </c>
    </row>
    <row r="63" spans="1:26" s="24" customFormat="1" hidden="1" outlineLevel="2" x14ac:dyDescent="0.25">
      <c r="A63" s="28"/>
      <c r="B63" s="11" t="str">
        <f>CONCATENATE("          ", "6286", " - ", "LAUNDRY EXPENSE")</f>
        <v xml:space="preserve">          6286 - LAUNDRY EXPENSE</v>
      </c>
      <c r="C63" s="11"/>
      <c r="D63" s="6">
        <v>1708.38</v>
      </c>
      <c r="E63" s="2"/>
      <c r="F63" s="7">
        <f t="shared" si="28"/>
        <v>2.9620014320553404E-3</v>
      </c>
      <c r="G63" s="2"/>
      <c r="H63" s="6">
        <v>1555.13</v>
      </c>
      <c r="I63" s="2"/>
      <c r="J63" s="7">
        <f t="shared" si="29"/>
        <v>2.6210846628228653E-3</v>
      </c>
      <c r="K63" s="2"/>
      <c r="L63" s="6">
        <f t="shared" si="30"/>
        <v>153.25</v>
      </c>
      <c r="M63" s="2"/>
      <c r="N63" s="7">
        <f t="shared" si="31"/>
        <v>9.8544816189000267E-2</v>
      </c>
      <c r="O63" s="11"/>
      <c r="P63" s="6">
        <v>5632.94</v>
      </c>
      <c r="Q63" s="2"/>
      <c r="R63" s="7">
        <f t="shared" si="32"/>
        <v>5.2879013687089464E-3</v>
      </c>
      <c r="S63" s="2"/>
      <c r="T63" s="6">
        <v>4682.1499999999996</v>
      </c>
      <c r="U63" s="2"/>
      <c r="V63" s="7">
        <f t="shared" si="33"/>
        <v>4.2902753880045838E-3</v>
      </c>
      <c r="W63" s="2"/>
      <c r="X63" s="6">
        <f t="shared" si="34"/>
        <v>950.79</v>
      </c>
      <c r="Y63" s="2"/>
      <c r="Z63" s="7">
        <f t="shared" si="35"/>
        <v>0.20306696709844838</v>
      </c>
    </row>
    <row r="64" spans="1:26" s="29" customFormat="1" outlineLevel="1" collapsed="1" x14ac:dyDescent="0.25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SUM(OSRRefD22_12x_0)</f>
        <v>5428.13</v>
      </c>
      <c r="E64" s="1"/>
      <c r="F64" s="5">
        <f t="shared" ref="F64:F70" si="36">IF(D$12=0,0,D64/D$12)</f>
        <v>9.4113305197804677E-3</v>
      </c>
      <c r="G64" s="1"/>
      <c r="H64" s="1">
        <f>SUM(OSRRefH22_12x_0)</f>
        <v>8628.01</v>
      </c>
      <c r="I64" s="1"/>
      <c r="J64" s="5">
        <f t="shared" ref="J64:J70" si="37">IF(H$12=0,0,H64/H$12)</f>
        <v>1.4542028436003619E-2</v>
      </c>
      <c r="K64" s="1"/>
      <c r="L64" s="1">
        <f t="shared" ref="L64:L70" si="38">+D64-H64</f>
        <v>-3199.88</v>
      </c>
      <c r="M64" s="1"/>
      <c r="N64" s="5">
        <f t="shared" ref="N64:N70" si="39">IF(H64=0,0,L64/H64)</f>
        <v>-0.37087115105337154</v>
      </c>
      <c r="O64" s="14"/>
      <c r="P64" s="1">
        <f>SUM(OSRRefP22_12x_0)</f>
        <v>20048.129999999997</v>
      </c>
      <c r="Q64" s="1"/>
      <c r="R64" s="5">
        <f t="shared" ref="R64:R70" si="40">IF(P$12=0,0,P64/P$12)</f>
        <v>1.882010709630404E-2</v>
      </c>
      <c r="S64" s="1"/>
      <c r="T64" s="1">
        <f>SUM(OSRRefT22_12x_0)</f>
        <v>25538.460000000003</v>
      </c>
      <c r="U64" s="1"/>
      <c r="V64" s="5">
        <f t="shared" ref="V64:V70" si="41">IF(T$12=0,0,T64/T$12)</f>
        <v>2.3401007311927118E-2</v>
      </c>
      <c r="W64" s="1"/>
      <c r="X64" s="1">
        <f t="shared" ref="X64:X70" si="42">+P64-T64</f>
        <v>-5490.3300000000054</v>
      </c>
      <c r="Y64" s="1"/>
      <c r="Z64" s="5">
        <f t="shared" ref="Z64:Z70" si="43">IF(T64=0,0,X64/T64)</f>
        <v>-0.2149828141555914</v>
      </c>
    </row>
    <row r="65" spans="1:26" s="24" customFormat="1" hidden="1" outlineLevel="2" x14ac:dyDescent="0.25">
      <c r="A65" s="28"/>
      <c r="B65" s="11" t="str">
        <f>CONCATENATE("          ", "6237", " - ", "JANITORIAL SUPPLIES")</f>
        <v xml:space="preserve">          6237 - JANITORIAL SUPPLIES</v>
      </c>
      <c r="C65" s="11"/>
      <c r="D65" s="6">
        <v>2438.08</v>
      </c>
      <c r="E65" s="2"/>
      <c r="F65" s="7">
        <f t="shared" si="36"/>
        <v>4.227160497936925E-3</v>
      </c>
      <c r="G65" s="2"/>
      <c r="H65" s="6">
        <v>3144.58</v>
      </c>
      <c r="I65" s="2"/>
      <c r="J65" s="7">
        <f t="shared" si="37"/>
        <v>5.3000137667073011E-3</v>
      </c>
      <c r="K65" s="2"/>
      <c r="L65" s="6">
        <f t="shared" si="38"/>
        <v>-706.5</v>
      </c>
      <c r="M65" s="2"/>
      <c r="N65" s="7">
        <f t="shared" si="39"/>
        <v>-0.22467229327922966</v>
      </c>
      <c r="O65" s="11"/>
      <c r="P65" s="6">
        <v>8275.76</v>
      </c>
      <c r="Q65" s="2"/>
      <c r="R65" s="7">
        <f t="shared" si="40"/>
        <v>7.7688387646782601E-3</v>
      </c>
      <c r="S65" s="2"/>
      <c r="T65" s="6">
        <v>11564.88</v>
      </c>
      <c r="U65" s="2"/>
      <c r="V65" s="7">
        <f t="shared" si="41"/>
        <v>1.0596952261082291E-2</v>
      </c>
      <c r="W65" s="2"/>
      <c r="X65" s="6">
        <f t="shared" si="42"/>
        <v>-3289.119999999999</v>
      </c>
      <c r="Y65" s="2"/>
      <c r="Z65" s="7">
        <f t="shared" si="43"/>
        <v>-0.28440589093877316</v>
      </c>
    </row>
    <row r="66" spans="1:26" s="24" customFormat="1" hidden="1" outlineLevel="2" x14ac:dyDescent="0.25">
      <c r="A66" s="28"/>
      <c r="B66" s="11" t="str">
        <f>CONCATENATE("          ", "6239", " - ", "KITCHEN SUPPLIES")</f>
        <v xml:space="preserve">          6239 - KITCHEN SUPPLIES</v>
      </c>
      <c r="C66" s="11"/>
      <c r="D66" s="6">
        <v>351.88</v>
      </c>
      <c r="E66" s="2"/>
      <c r="F66" s="7">
        <f t="shared" si="36"/>
        <v>6.1009205440922584E-4</v>
      </c>
      <c r="G66" s="2"/>
      <c r="H66" s="6">
        <v>1094.6300000000001</v>
      </c>
      <c r="I66" s="2"/>
      <c r="J66" s="7">
        <f t="shared" si="37"/>
        <v>1.8449376608166475E-3</v>
      </c>
      <c r="K66" s="2"/>
      <c r="L66" s="6">
        <f t="shared" si="38"/>
        <v>-742.75000000000011</v>
      </c>
      <c r="M66" s="2"/>
      <c r="N66" s="7">
        <f t="shared" si="39"/>
        <v>-0.67853978056512254</v>
      </c>
      <c r="O66" s="11"/>
      <c r="P66" s="6">
        <v>2531.77</v>
      </c>
      <c r="Q66" s="2"/>
      <c r="R66" s="7">
        <f t="shared" si="40"/>
        <v>2.3766896235813358E-3</v>
      </c>
      <c r="S66" s="2"/>
      <c r="T66" s="6">
        <v>2299.7600000000002</v>
      </c>
      <c r="U66" s="2"/>
      <c r="V66" s="7">
        <f t="shared" si="41"/>
        <v>2.1072805711729488E-3</v>
      </c>
      <c r="W66" s="2"/>
      <c r="X66" s="6">
        <f t="shared" si="42"/>
        <v>232.00999999999976</v>
      </c>
      <c r="Y66" s="2"/>
      <c r="Z66" s="7">
        <f t="shared" si="43"/>
        <v>0.10088444011549021</v>
      </c>
    </row>
    <row r="67" spans="1:26" s="24" customFormat="1" hidden="1" outlineLevel="2" x14ac:dyDescent="0.25">
      <c r="A67" s="28"/>
      <c r="B67" s="11" t="str">
        <f>CONCATENATE("          ", "6241", " - ", "OFFICE EXPENSE")</f>
        <v xml:space="preserve">          6241 - OFFICE EXPENSE</v>
      </c>
      <c r="C67" s="11"/>
      <c r="D67" s="6">
        <v>29.5</v>
      </c>
      <c r="E67" s="2"/>
      <c r="F67" s="7">
        <f t="shared" si="36"/>
        <v>5.1147310461157674E-5</v>
      </c>
      <c r="G67" s="2"/>
      <c r="H67" s="6">
        <v>599.72</v>
      </c>
      <c r="I67" s="2"/>
      <c r="J67" s="7">
        <f t="shared" si="37"/>
        <v>1.01079452778104E-3</v>
      </c>
      <c r="K67" s="2"/>
      <c r="L67" s="6">
        <f t="shared" si="38"/>
        <v>-570.22</v>
      </c>
      <c r="M67" s="2"/>
      <c r="N67" s="7">
        <f t="shared" si="39"/>
        <v>-0.9508103781764824</v>
      </c>
      <c r="O67" s="11"/>
      <c r="P67" s="6">
        <v>1122.9000000000001</v>
      </c>
      <c r="Q67" s="2"/>
      <c r="R67" s="7">
        <f t="shared" si="40"/>
        <v>1.05411817752777E-3</v>
      </c>
      <c r="S67" s="2"/>
      <c r="T67" s="6">
        <v>1388.8</v>
      </c>
      <c r="U67" s="2"/>
      <c r="V67" s="7">
        <f t="shared" si="41"/>
        <v>1.2725637706738925E-3</v>
      </c>
      <c r="W67" s="2"/>
      <c r="X67" s="6">
        <f t="shared" si="42"/>
        <v>-265.89999999999986</v>
      </c>
      <c r="Y67" s="2"/>
      <c r="Z67" s="7">
        <f t="shared" si="43"/>
        <v>-0.19146025345622111</v>
      </c>
    </row>
    <row r="68" spans="1:26" s="24" customFormat="1" hidden="1" outlineLevel="2" x14ac:dyDescent="0.25">
      <c r="A68" s="28"/>
      <c r="B68" s="11" t="str">
        <f>CONCATENATE("          ", "6243", " - ", "PAPER SUPPLIES")</f>
        <v xml:space="preserve">          6243 - PAPER SUPPLIES</v>
      </c>
      <c r="C68" s="11"/>
      <c r="D68" s="6">
        <v>2608.67</v>
      </c>
      <c r="E68" s="2"/>
      <c r="F68" s="7">
        <f t="shared" si="36"/>
        <v>4.5229306569731587E-3</v>
      </c>
      <c r="G68" s="2"/>
      <c r="H68" s="6">
        <v>2412.09</v>
      </c>
      <c r="I68" s="2"/>
      <c r="J68" s="7">
        <f t="shared" si="37"/>
        <v>4.0654428275117872E-3</v>
      </c>
      <c r="K68" s="2"/>
      <c r="L68" s="6">
        <f t="shared" si="38"/>
        <v>196.57999999999993</v>
      </c>
      <c r="M68" s="2"/>
      <c r="N68" s="7">
        <f t="shared" si="39"/>
        <v>8.1497788225149109E-2</v>
      </c>
      <c r="O68" s="11"/>
      <c r="P68" s="6">
        <v>6454.28</v>
      </c>
      <c r="Q68" s="2"/>
      <c r="R68" s="7">
        <f t="shared" si="40"/>
        <v>6.0589312234873407E-3</v>
      </c>
      <c r="S68" s="2"/>
      <c r="T68" s="6">
        <v>6000.6</v>
      </c>
      <c r="U68" s="2"/>
      <c r="V68" s="7">
        <f t="shared" si="41"/>
        <v>5.4983771329966593E-3</v>
      </c>
      <c r="W68" s="2"/>
      <c r="X68" s="6">
        <f t="shared" si="42"/>
        <v>453.67999999999938</v>
      </c>
      <c r="Y68" s="2"/>
      <c r="Z68" s="7">
        <f t="shared" si="43"/>
        <v>7.5605772756057621E-2</v>
      </c>
    </row>
    <row r="69" spans="1:26" s="24" customFormat="1" hidden="1" outlineLevel="2" x14ac:dyDescent="0.25">
      <c r="A69" s="28"/>
      <c r="B69" s="11" t="str">
        <f>CONCATENATE("          ", "6245", " - ", "PRINTING")</f>
        <v xml:space="preserve">          6245 - PRINTING</v>
      </c>
      <c r="C69" s="11"/>
      <c r="D69" s="6"/>
      <c r="E69" s="2"/>
      <c r="F69" s="7">
        <f t="shared" si="36"/>
        <v>0</v>
      </c>
      <c r="G69" s="2"/>
      <c r="H69" s="6">
        <v>1376.99</v>
      </c>
      <c r="I69" s="2"/>
      <c r="J69" s="7">
        <f t="shared" si="37"/>
        <v>2.3208396531868443E-3</v>
      </c>
      <c r="K69" s="2"/>
      <c r="L69" s="6">
        <f t="shared" si="38"/>
        <v>-1376.99</v>
      </c>
      <c r="M69" s="2"/>
      <c r="N69" s="7">
        <f t="shared" si="39"/>
        <v>-1</v>
      </c>
      <c r="O69" s="11"/>
      <c r="P69" s="6">
        <v>441</v>
      </c>
      <c r="Q69" s="2"/>
      <c r="R69" s="7">
        <f t="shared" si="40"/>
        <v>4.1398710151371144E-4</v>
      </c>
      <c r="S69" s="2"/>
      <c r="T69" s="6">
        <v>1376.99</v>
      </c>
      <c r="U69" s="2"/>
      <c r="V69" s="7">
        <f t="shared" si="41"/>
        <v>1.2617422138394608E-3</v>
      </c>
      <c r="W69" s="2"/>
      <c r="X69" s="6">
        <f t="shared" si="42"/>
        <v>-935.99</v>
      </c>
      <c r="Y69" s="2"/>
      <c r="Z69" s="7">
        <f t="shared" si="43"/>
        <v>-0.67973623628348789</v>
      </c>
    </row>
    <row r="70" spans="1:26" s="24" customFormat="1" hidden="1" outlineLevel="2" x14ac:dyDescent="0.25">
      <c r="A70" s="28"/>
      <c r="B70" s="11" t="str">
        <f>CONCATENATE("          ", "6248", " - ", "UNIFORMS")</f>
        <v xml:space="preserve">          6248 - UNIFORMS</v>
      </c>
      <c r="C70" s="11"/>
      <c r="D70" s="6"/>
      <c r="E70" s="2"/>
      <c r="F70" s="7">
        <f t="shared" si="36"/>
        <v>0</v>
      </c>
      <c r="G70" s="2"/>
      <c r="H70" s="6"/>
      <c r="I70" s="2"/>
      <c r="J70" s="7">
        <f t="shared" si="37"/>
        <v>0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1222.42</v>
      </c>
      <c r="Q70" s="2"/>
      <c r="R70" s="7">
        <f t="shared" si="40"/>
        <v>1.1475422055156261E-3</v>
      </c>
      <c r="S70" s="2"/>
      <c r="T70" s="6">
        <v>2907.43</v>
      </c>
      <c r="U70" s="2"/>
      <c r="V70" s="7">
        <f t="shared" si="41"/>
        <v>2.6640913621618629E-3</v>
      </c>
      <c r="W70" s="2"/>
      <c r="X70" s="6">
        <f t="shared" si="42"/>
        <v>-1685.0099999999998</v>
      </c>
      <c r="Y70" s="2"/>
      <c r="Z70" s="7">
        <f t="shared" si="43"/>
        <v>-0.57955307608437689</v>
      </c>
    </row>
    <row r="71" spans="1:26" s="29" customFormat="1" outlineLevel="1" collapsed="1" x14ac:dyDescent="0.25">
      <c r="A71" s="27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SUM(OSRRefD22_13x_0)</f>
        <v>285</v>
      </c>
      <c r="E71" s="1"/>
      <c r="F71" s="5">
        <f t="shared" ref="F71:F77" si="44">IF(D$12=0,0,D71/D$12)</f>
        <v>4.9413503326881136E-4</v>
      </c>
      <c r="G71" s="1"/>
      <c r="H71" s="1">
        <f>SUM(OSRRefH22_13x_0)</f>
        <v>285</v>
      </c>
      <c r="I71" s="1"/>
      <c r="J71" s="5">
        <f t="shared" ref="J71:J77" si="45">IF(H$12=0,0,H71/H$12)</f>
        <v>4.8035156475954844E-4</v>
      </c>
      <c r="K71" s="1"/>
      <c r="L71" s="1">
        <f t="shared" ref="L71:L77" si="46">+D71-H71</f>
        <v>0</v>
      </c>
      <c r="M71" s="1"/>
      <c r="N71" s="5">
        <f t="shared" ref="N71:N77" si="47">IF(H71=0,0,L71/H71)</f>
        <v>0</v>
      </c>
      <c r="O71" s="14"/>
      <c r="P71" s="1">
        <f>SUM(OSRRefP22_13x_0)</f>
        <v>555.29999999999995</v>
      </c>
      <c r="Q71" s="1"/>
      <c r="R71" s="5">
        <f t="shared" ref="R71:R77" si="48">IF(P$12=0,0,P71/P$12)</f>
        <v>5.2128579925297947E-4</v>
      </c>
      <c r="S71" s="1"/>
      <c r="T71" s="1">
        <f>SUM(OSRRefT22_13x_0)</f>
        <v>559.20000000000005</v>
      </c>
      <c r="U71" s="1"/>
      <c r="V71" s="5">
        <f t="shared" ref="V71:V77" si="49">IF(T$12=0,0,T71/T$12)</f>
        <v>5.1239750904438417E-4</v>
      </c>
      <c r="W71" s="1"/>
      <c r="X71" s="1">
        <f t="shared" ref="X71:X77" si="50">+P71-T71</f>
        <v>-3.9000000000000909</v>
      </c>
      <c r="Y71" s="1"/>
      <c r="Z71" s="5">
        <f t="shared" ref="Z71:Z77" si="51">IF(T71=0,0,X71/T71)</f>
        <v>-6.9742489270387883E-3</v>
      </c>
    </row>
    <row r="72" spans="1:26" s="24" customFormat="1" hidden="1" outlineLevel="2" x14ac:dyDescent="0.25">
      <c r="A72" s="28"/>
      <c r="B72" s="11" t="str">
        <f>CONCATENATE("          ", "6309", " - ", "TELEPHONE")</f>
        <v xml:space="preserve">          6309 - TELEPHONE</v>
      </c>
      <c r="C72" s="11"/>
      <c r="D72" s="6">
        <v>285</v>
      </c>
      <c r="E72" s="2"/>
      <c r="F72" s="7">
        <f t="shared" si="44"/>
        <v>4.9413503326881136E-4</v>
      </c>
      <c r="G72" s="2"/>
      <c r="H72" s="6">
        <v>285</v>
      </c>
      <c r="I72" s="2"/>
      <c r="J72" s="7">
        <f t="shared" si="45"/>
        <v>4.8035156475954844E-4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>
        <v>555.29999999999995</v>
      </c>
      <c r="Q72" s="2"/>
      <c r="R72" s="7">
        <f t="shared" si="48"/>
        <v>5.2128579925297947E-4</v>
      </c>
      <c r="S72" s="2"/>
      <c r="T72" s="6">
        <v>559.20000000000005</v>
      </c>
      <c r="U72" s="2"/>
      <c r="V72" s="7">
        <f t="shared" si="49"/>
        <v>5.1239750904438417E-4</v>
      </c>
      <c r="W72" s="2"/>
      <c r="X72" s="6">
        <f t="shared" si="50"/>
        <v>-3.9000000000000909</v>
      </c>
      <c r="Y72" s="2"/>
      <c r="Z72" s="7">
        <f t="shared" si="51"/>
        <v>-6.9742489270387883E-3</v>
      </c>
    </row>
    <row r="73" spans="1:26" s="29" customFormat="1" outlineLevel="1" collapsed="1" x14ac:dyDescent="0.25">
      <c r="A73" s="27"/>
      <c r="B73" s="14" t="str">
        <f>CONCATENATE("     ","Training                                          ")</f>
        <v xml:space="preserve">     Training                                          </v>
      </c>
      <c r="C73" s="14"/>
      <c r="D73" s="1">
        <f>SUM(OSRRefD22_14x_0)</f>
        <v>96</v>
      </c>
      <c r="E73" s="1"/>
      <c r="F73" s="5">
        <f t="shared" si="44"/>
        <v>1.66445484890547E-4</v>
      </c>
      <c r="G73" s="1"/>
      <c r="H73" s="1">
        <f>SUM(OSRRefH22_14x_0)</f>
        <v>336.28</v>
      </c>
      <c r="I73" s="1"/>
      <c r="J73" s="5">
        <f t="shared" si="45"/>
        <v>5.6678113753452959E-4</v>
      </c>
      <c r="K73" s="1"/>
      <c r="L73" s="1">
        <f t="shared" si="46"/>
        <v>-240.27999999999997</v>
      </c>
      <c r="M73" s="1"/>
      <c r="N73" s="5">
        <f t="shared" si="47"/>
        <v>-0.71452361127631736</v>
      </c>
      <c r="O73" s="14"/>
      <c r="P73" s="1">
        <f>SUM(OSRRefP22_14x_0)</f>
        <v>569.37</v>
      </c>
      <c r="Q73" s="1"/>
      <c r="R73" s="5">
        <f t="shared" si="48"/>
        <v>5.344939591584169E-4</v>
      </c>
      <c r="S73" s="1"/>
      <c r="T73" s="1">
        <f>SUM(OSRRefT22_14x_0)</f>
        <v>1230.3800000000001</v>
      </c>
      <c r="U73" s="1"/>
      <c r="V73" s="5">
        <f t="shared" si="49"/>
        <v>1.127402802535818E-3</v>
      </c>
      <c r="W73" s="1"/>
      <c r="X73" s="1">
        <f t="shared" si="50"/>
        <v>-661.0100000000001</v>
      </c>
      <c r="Y73" s="1"/>
      <c r="Z73" s="5">
        <f t="shared" si="51"/>
        <v>-0.53724052731676397</v>
      </c>
    </row>
    <row r="74" spans="1:26" s="24" customFormat="1" hidden="1" outlineLevel="2" x14ac:dyDescent="0.25">
      <c r="A74" s="28"/>
      <c r="B74" s="11" t="str">
        <f>CONCATENATE("          ", "6376", " - ", "TRAINING")</f>
        <v xml:space="preserve">          6376 - TRAINING</v>
      </c>
      <c r="C74" s="11"/>
      <c r="D74" s="6">
        <v>96</v>
      </c>
      <c r="E74" s="2"/>
      <c r="F74" s="7">
        <f t="shared" si="44"/>
        <v>1.66445484890547E-4</v>
      </c>
      <c r="G74" s="2"/>
      <c r="H74" s="6">
        <v>336.28</v>
      </c>
      <c r="I74" s="2"/>
      <c r="J74" s="7">
        <f t="shared" si="45"/>
        <v>5.6678113753452959E-4</v>
      </c>
      <c r="K74" s="2"/>
      <c r="L74" s="6">
        <f t="shared" si="46"/>
        <v>-240.27999999999997</v>
      </c>
      <c r="M74" s="2"/>
      <c r="N74" s="7">
        <f t="shared" si="47"/>
        <v>-0.71452361127631736</v>
      </c>
      <c r="O74" s="11"/>
      <c r="P74" s="6">
        <v>569.37</v>
      </c>
      <c r="Q74" s="2"/>
      <c r="R74" s="7">
        <f t="shared" si="48"/>
        <v>5.344939591584169E-4</v>
      </c>
      <c r="S74" s="2"/>
      <c r="T74" s="6">
        <v>1230.3800000000001</v>
      </c>
      <c r="U74" s="2"/>
      <c r="V74" s="7">
        <f t="shared" si="49"/>
        <v>1.127402802535818E-3</v>
      </c>
      <c r="W74" s="2"/>
      <c r="X74" s="6">
        <f t="shared" si="50"/>
        <v>-661.0100000000001</v>
      </c>
      <c r="Y74" s="2"/>
      <c r="Z74" s="7">
        <f t="shared" si="51"/>
        <v>-0.53724052731676397</v>
      </c>
    </row>
    <row r="75" spans="1:26" s="29" customFormat="1" outlineLevel="1" collapsed="1" x14ac:dyDescent="0.25">
      <c r="A75" s="27"/>
      <c r="B75" s="14" t="str">
        <f>CONCATENATE("     ","Travel                                            ")</f>
        <v xml:space="preserve">     Travel                                            </v>
      </c>
      <c r="C75" s="14"/>
      <c r="D75" s="1">
        <f>SUM(OSRRefD22_15x_0)</f>
        <v>0</v>
      </c>
      <c r="E75" s="1"/>
      <c r="F75" s="5">
        <f t="shared" si="44"/>
        <v>0</v>
      </c>
      <c r="G75" s="1"/>
      <c r="H75" s="1">
        <f>SUM(OSRRefH22_15x_0)</f>
        <v>50</v>
      </c>
      <c r="I75" s="1"/>
      <c r="J75" s="5">
        <f t="shared" si="45"/>
        <v>8.4272204343780431E-5</v>
      </c>
      <c r="K75" s="1"/>
      <c r="L75" s="1">
        <f t="shared" si="46"/>
        <v>-50</v>
      </c>
      <c r="M75" s="1"/>
      <c r="N75" s="5">
        <f t="shared" si="47"/>
        <v>-1</v>
      </c>
      <c r="O75" s="14"/>
      <c r="P75" s="1">
        <f>SUM(OSRRefP22_15x_0)</f>
        <v>1429.86</v>
      </c>
      <c r="Q75" s="1"/>
      <c r="R75" s="5">
        <f t="shared" si="48"/>
        <v>1.3422757300915996E-3</v>
      </c>
      <c r="S75" s="1"/>
      <c r="T75" s="1">
        <f>SUM(OSRRefT22_15x_0)</f>
        <v>168</v>
      </c>
      <c r="U75" s="1"/>
      <c r="V75" s="5">
        <f t="shared" si="49"/>
        <v>1.5393916580732571E-4</v>
      </c>
      <c r="W75" s="1"/>
      <c r="X75" s="1">
        <f t="shared" si="50"/>
        <v>1261.8599999999999</v>
      </c>
      <c r="Y75" s="1"/>
      <c r="Z75" s="5">
        <f t="shared" si="51"/>
        <v>7.5110714285714284</v>
      </c>
    </row>
    <row r="76" spans="1:26" s="24" customFormat="1" hidden="1" outlineLevel="2" x14ac:dyDescent="0.25">
      <c r="A76" s="28"/>
      <c r="B76" s="11" t="str">
        <f>CONCATENATE("          ", "6292", " - ", "TRAVEL/CONFERENCE")</f>
        <v xml:space="preserve">          6292 - TRAVEL/CONFERENCE</v>
      </c>
      <c r="C76" s="11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>
        <v>1429.86</v>
      </c>
      <c r="Q76" s="2"/>
      <c r="R76" s="7">
        <f t="shared" si="48"/>
        <v>1.3422757300915996E-3</v>
      </c>
      <c r="S76" s="2"/>
      <c r="T76" s="6"/>
      <c r="U76" s="2"/>
      <c r="V76" s="7">
        <f t="shared" si="49"/>
        <v>0</v>
      </c>
      <c r="W76" s="2"/>
      <c r="X76" s="6">
        <f t="shared" si="50"/>
        <v>1429.86</v>
      </c>
      <c r="Y76" s="2"/>
      <c r="Z76" s="7">
        <f t="shared" si="51"/>
        <v>0</v>
      </c>
    </row>
    <row r="77" spans="1:26" s="24" customFormat="1" hidden="1" outlineLevel="2" x14ac:dyDescent="0.25">
      <c r="A77" s="28"/>
      <c r="B77" s="11" t="str">
        <f>CONCATENATE("          ", "6294", " - ", "TRAVEL OPERATIONAL")</f>
        <v xml:space="preserve">          6294 - TRAVEL OPERATIONAL</v>
      </c>
      <c r="C77" s="11"/>
      <c r="D77" s="6"/>
      <c r="E77" s="2"/>
      <c r="F77" s="7">
        <f t="shared" si="44"/>
        <v>0</v>
      </c>
      <c r="G77" s="2"/>
      <c r="H77" s="6">
        <v>50</v>
      </c>
      <c r="I77" s="2"/>
      <c r="J77" s="7">
        <f t="shared" si="45"/>
        <v>8.4272204343780431E-5</v>
      </c>
      <c r="K77" s="2"/>
      <c r="L77" s="6">
        <f t="shared" si="46"/>
        <v>-50</v>
      </c>
      <c r="M77" s="2"/>
      <c r="N77" s="7">
        <f t="shared" si="47"/>
        <v>-1</v>
      </c>
      <c r="O77" s="11"/>
      <c r="P77" s="6"/>
      <c r="Q77" s="2"/>
      <c r="R77" s="7">
        <f t="shared" si="48"/>
        <v>0</v>
      </c>
      <c r="S77" s="2"/>
      <c r="T77" s="6">
        <v>168</v>
      </c>
      <c r="U77" s="2"/>
      <c r="V77" s="7">
        <f t="shared" si="49"/>
        <v>1.5393916580732571E-4</v>
      </c>
      <c r="W77" s="2"/>
      <c r="X77" s="6">
        <f t="shared" si="50"/>
        <v>-168</v>
      </c>
      <c r="Y77" s="2"/>
      <c r="Z77" s="7">
        <f t="shared" si="51"/>
        <v>-1</v>
      </c>
    </row>
    <row r="78" spans="1:26" s="53" customFormat="1" x14ac:dyDescent="0.25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5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6" t="s">
        <v>3</v>
      </c>
      <c r="C81" s="26"/>
      <c r="D81" s="21">
        <f>+D22-D24+D79</f>
        <v>262855.8</v>
      </c>
      <c r="E81" s="13"/>
      <c r="F81" s="20">
        <f>IF(D$12=0,0,D81/D$12)</f>
        <v>0.45574126132596504</v>
      </c>
      <c r="G81" s="13"/>
      <c r="H81" s="21">
        <f>+H22-H24+H79</f>
        <v>298114.7900000001</v>
      </c>
      <c r="I81" s="13"/>
      <c r="J81" s="20">
        <f>IF(H$12=0,0,H81/H$12)</f>
        <v>0.50245581001566397</v>
      </c>
      <c r="K81" s="15"/>
      <c r="L81" s="21">
        <f>+D81-H81</f>
        <v>-35258.990000000107</v>
      </c>
      <c r="M81" s="15"/>
      <c r="N81" s="20">
        <f>IF(H81=0,0,L81/H81)</f>
        <v>-0.11827319939409948</v>
      </c>
      <c r="O81" s="25"/>
      <c r="P81" s="21">
        <f>+P22-P24+P79</f>
        <v>353868.96</v>
      </c>
      <c r="Q81" s="13"/>
      <c r="R81" s="20">
        <f>IF(P$12=0,0,P81/P$12)</f>
        <v>0.33219316341512811</v>
      </c>
      <c r="S81" s="13"/>
      <c r="T81" s="21">
        <f>+T22-T24+T79</f>
        <v>419809.60999999993</v>
      </c>
      <c r="U81" s="13"/>
      <c r="V81" s="20">
        <f>IF(T$12=0,0,T81/T$12)</f>
        <v>0.38467345929344482</v>
      </c>
      <c r="W81" s="15"/>
      <c r="X81" s="21">
        <f>+P81-T81</f>
        <v>-65940.649999999907</v>
      </c>
      <c r="Y81" s="15"/>
      <c r="Z81" s="20">
        <f>IF(T81=0,0,X81/T81)</f>
        <v>-0.15707275019264069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1"/>
      <c r="B83" s="10" t="s">
        <v>13</v>
      </c>
      <c r="C83" s="10"/>
      <c r="D83" s="4">
        <v>53516.83</v>
      </c>
      <c r="E83" s="4"/>
      <c r="F83" s="12">
        <f>IF(D$12=0,0,D83/D$12)</f>
        <v>9.2787861657864304E-2</v>
      </c>
      <c r="G83" s="4"/>
      <c r="H83" s="4">
        <v>46116.45</v>
      </c>
      <c r="I83" s="4"/>
      <c r="J83" s="12">
        <f>IF(H$12=0,0,H83/H$12)</f>
        <v>7.7726697960194657E-2</v>
      </c>
      <c r="K83" s="4"/>
      <c r="L83" s="4">
        <f>+D83-H83</f>
        <v>7400.3800000000047</v>
      </c>
      <c r="M83" s="4"/>
      <c r="N83" s="12">
        <f>IF(H83=0,0,L83/H83)</f>
        <v>0.16047158877146886</v>
      </c>
      <c r="O83" s="10"/>
      <c r="P83" s="4">
        <v>114422.01999999999</v>
      </c>
      <c r="Q83" s="4"/>
      <c r="R83" s="12">
        <f>IF(P$12=0,0,P83/P$12)</f>
        <v>0.10741324355814946</v>
      </c>
      <c r="S83" s="4"/>
      <c r="T83" s="4">
        <v>96962.42</v>
      </c>
      <c r="U83" s="4"/>
      <c r="V83" s="12">
        <f>IF(T$12=0,0,T83/T$12)</f>
        <v>8.8847107437259251E-2</v>
      </c>
      <c r="W83" s="4"/>
      <c r="X83" s="4">
        <f>+P83-T83</f>
        <v>17459.599999999991</v>
      </c>
      <c r="Y83" s="4"/>
      <c r="Z83" s="12">
        <f>IF(T83=0,0,X83/T83)</f>
        <v>0.18006563780070661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6" t="s">
        <v>4</v>
      </c>
      <c r="C85" s="26"/>
      <c r="D85" s="35">
        <f>+D81-D83</f>
        <v>209338.96999999997</v>
      </c>
      <c r="E85" s="13"/>
      <c r="F85" s="30">
        <f>IF(D$12=0,0,D85/D$12)</f>
        <v>0.3629533996681007</v>
      </c>
      <c r="G85" s="13"/>
      <c r="H85" s="35">
        <f>+H81-H83</f>
        <v>251998.34000000008</v>
      </c>
      <c r="I85" s="13"/>
      <c r="J85" s="30">
        <f>IF(H$12=0,0,H85/H$12)</f>
        <v>0.42472911205546926</v>
      </c>
      <c r="K85" s="15"/>
      <c r="L85" s="35">
        <f>D85-H85</f>
        <v>-42659.370000000112</v>
      </c>
      <c r="M85" s="15"/>
      <c r="N85" s="30">
        <f>IF(H85=0,0,L85/H85)</f>
        <v>-0.16928432941264651</v>
      </c>
      <c r="O85" s="25"/>
      <c r="P85" s="35">
        <f>+P81-P83</f>
        <v>239446.94000000003</v>
      </c>
      <c r="Q85" s="13"/>
      <c r="R85" s="30">
        <f>IF(P$12=0,0,P85/P$12)</f>
        <v>0.22477991985697865</v>
      </c>
      <c r="S85" s="13"/>
      <c r="T85" s="35">
        <f>+T81-T83</f>
        <v>322847.18999999994</v>
      </c>
      <c r="U85" s="13"/>
      <c r="V85" s="30">
        <f>IF(T$12=0,0,T85/T$12)</f>
        <v>0.29582635185618561</v>
      </c>
      <c r="W85" s="15"/>
      <c r="X85" s="35">
        <f>P85-T85</f>
        <v>-83400.249999999913</v>
      </c>
      <c r="Y85" s="15"/>
      <c r="Z85" s="30">
        <f>IF(T85=0,0,X85/T85)</f>
        <v>-0.258327321975452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6" t="s">
        <v>5</v>
      </c>
      <c r="C88" s="26"/>
      <c r="D88" s="36">
        <f>SUM(D85:D87)</f>
        <v>209338.96999999997</v>
      </c>
      <c r="E88" s="13"/>
      <c r="F88" s="31">
        <f>IF(D$12=0,0,D88/D$12)</f>
        <v>0.3629533996681007</v>
      </c>
      <c r="G88" s="13"/>
      <c r="H88" s="36">
        <f>SUM(H85:H87)</f>
        <v>251998.34000000008</v>
      </c>
      <c r="I88" s="13"/>
      <c r="J88" s="31">
        <f>IF(H$12=0,0,H88/H$12)</f>
        <v>0.42472911205546926</v>
      </c>
      <c r="K88" s="15"/>
      <c r="L88" s="36">
        <f>+D88-H88</f>
        <v>-42659.370000000112</v>
      </c>
      <c r="M88" s="15"/>
      <c r="N88" s="31">
        <f>IF(H88=0,0,L88/H88)</f>
        <v>-0.16928432941264651</v>
      </c>
      <c r="O88" s="25"/>
      <c r="P88" s="36">
        <f>SUM(P85:P87)</f>
        <v>239446.94000000003</v>
      </c>
      <c r="Q88" s="13"/>
      <c r="R88" s="31">
        <f>IF(P$12=0,0,P88/P$12)</f>
        <v>0.22477991985697865</v>
      </c>
      <c r="S88" s="13"/>
      <c r="T88" s="36">
        <f>SUM(T85:T87)</f>
        <v>322847.18999999994</v>
      </c>
      <c r="U88" s="13"/>
      <c r="V88" s="31">
        <f>IF(T$12=0,0,T88/T$12)</f>
        <v>0.29582635185618561</v>
      </c>
      <c r="W88" s="15"/>
      <c r="X88" s="36">
        <f>+P88-T88</f>
        <v>-83400.249999999913</v>
      </c>
      <c r="Y88" s="15"/>
      <c r="Z88" s="31">
        <f>IF(T88=0,0,X88/T88)</f>
        <v>-0.258327321975452</v>
      </c>
    </row>
    <row r="89" spans="1:26" ht="15.75" thickTop="1" x14ac:dyDescent="0.25">
      <c r="A89" s="9"/>
      <c r="C89" s="9"/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5">
        <v>43756.463510069443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6" t="s">
        <v>313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7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","435", " - ", "Ground Floor Coffee House")</f>
        <v>Department 435 - Ground Floor Coffee House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1194.07</v>
      </c>
      <c r="E12" s="4"/>
      <c r="F12" s="12"/>
      <c r="G12" s="4"/>
      <c r="H12" s="4">
        <f>SUM(OSRRefH13x_0)</f>
        <v>1204.69</v>
      </c>
      <c r="I12" s="4"/>
      <c r="J12" s="12"/>
      <c r="K12" s="4"/>
      <c r="L12" s="4">
        <f t="shared" ref="L12:L15" si="0">+D12-H12</f>
        <v>-10.620000000000118</v>
      </c>
      <c r="M12" s="4"/>
      <c r="N12" s="12">
        <f t="shared" ref="N12:N15" si="1">IF(H12=0,0,L12/H12)</f>
        <v>-8.8155459080760338E-3</v>
      </c>
      <c r="O12" s="10"/>
      <c r="P12" s="4">
        <f>SUM(OSRRefP13x_0)</f>
        <v>1510.71</v>
      </c>
      <c r="Q12" s="4"/>
      <c r="R12" s="12"/>
      <c r="S12" s="4"/>
      <c r="T12" s="4">
        <f>SUM(OSRRefT13x_0)</f>
        <v>1602.0700000000002</v>
      </c>
      <c r="U12" s="4"/>
      <c r="V12" s="12"/>
      <c r="W12" s="4"/>
      <c r="X12" s="4">
        <f t="shared" ref="X12:X15" si="2">+P12-T12</f>
        <v>-91.360000000000127</v>
      </c>
      <c r="Y12" s="4"/>
      <c r="Z12" s="12">
        <f t="shared" ref="Z12:Z15" si="3">IF(T12=0,0,X12/T12)</f>
        <v>-5.7026222324867273E-2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>--233.67</f>
        <v>233.67</v>
      </c>
      <c r="E13" s="2"/>
      <c r="F13" s="19"/>
      <c r="G13" s="2"/>
      <c r="H13" s="2">
        <f>--136.96</f>
        <v>136.96</v>
      </c>
      <c r="I13" s="2"/>
      <c r="J13" s="19"/>
      <c r="K13" s="2"/>
      <c r="L13" s="2">
        <f t="shared" si="0"/>
        <v>96.70999999999998</v>
      </c>
      <c r="M13" s="2"/>
      <c r="N13" s="19">
        <f t="shared" si="1"/>
        <v>0.70611857476635498</v>
      </c>
      <c r="O13" s="11"/>
      <c r="P13" s="2">
        <f>--279.32</f>
        <v>279.32</v>
      </c>
      <c r="Q13" s="2"/>
      <c r="R13" s="19"/>
      <c r="S13" s="2"/>
      <c r="T13" s="2">
        <f>--171.68</f>
        <v>171.68</v>
      </c>
      <c r="U13" s="2"/>
      <c r="V13" s="19"/>
      <c r="W13" s="2"/>
      <c r="X13" s="2">
        <f t="shared" si="2"/>
        <v>107.63999999999999</v>
      </c>
      <c r="Y13" s="2"/>
      <c r="Z13" s="19">
        <f t="shared" si="3"/>
        <v>0.62698042870456649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--260.28</f>
        <v>260.27999999999997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260.27999999999997</v>
      </c>
      <c r="M14" s="2"/>
      <c r="N14" s="19">
        <f t="shared" si="1"/>
        <v>0</v>
      </c>
      <c r="O14" s="11"/>
      <c r="P14" s="2">
        <f>--260.28</f>
        <v>260.27999999999997</v>
      </c>
      <c r="Q14" s="2"/>
      <c r="R14" s="19"/>
      <c r="S14" s="2"/>
      <c r="T14" s="2">
        <f>0</f>
        <v>0</v>
      </c>
      <c r="U14" s="2"/>
      <c r="V14" s="19"/>
      <c r="W14" s="2"/>
      <c r="X14" s="2">
        <f t="shared" si="2"/>
        <v>260.27999999999997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"4155", " - ", "NON-TAXABLE SALES-FOOD")</f>
        <v xml:space="preserve">          4155 - NON-TAXABLE SALES-FOOD</v>
      </c>
      <c r="C15" s="11"/>
      <c r="D15" s="2">
        <f>--700.12</f>
        <v>700.12</v>
      </c>
      <c r="E15" s="2"/>
      <c r="F15" s="19"/>
      <c r="G15" s="2"/>
      <c r="H15" s="2">
        <f>--1067.73</f>
        <v>1067.73</v>
      </c>
      <c r="I15" s="2"/>
      <c r="J15" s="19"/>
      <c r="K15" s="2"/>
      <c r="L15" s="2">
        <f t="shared" si="0"/>
        <v>-367.61</v>
      </c>
      <c r="M15" s="2"/>
      <c r="N15" s="19">
        <f t="shared" si="1"/>
        <v>-0.34429115975012409</v>
      </c>
      <c r="O15" s="11"/>
      <c r="P15" s="2">
        <f>--971.11</f>
        <v>971.11</v>
      </c>
      <c r="Q15" s="2"/>
      <c r="R15" s="19"/>
      <c r="S15" s="2"/>
      <c r="T15" s="2">
        <f>--1430.39</f>
        <v>1430.39</v>
      </c>
      <c r="U15" s="2"/>
      <c r="V15" s="19"/>
      <c r="W15" s="2"/>
      <c r="X15" s="2">
        <f t="shared" si="2"/>
        <v>-459.28000000000009</v>
      </c>
      <c r="Y15" s="2"/>
      <c r="Z15" s="19">
        <f t="shared" si="3"/>
        <v>-0.3210872559232098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91.539999999999964</v>
      </c>
      <c r="E17" s="4"/>
      <c r="F17" s="12">
        <f t="shared" ref="F17:F19" si="4">IF(D$12=0,0,D17/D$12)</f>
        <v>7.6662172234458592E-2</v>
      </c>
      <c r="G17" s="4"/>
      <c r="H17" s="4">
        <f>SUM(OSRRefH16x_0)</f>
        <v>328.3</v>
      </c>
      <c r="I17" s="4"/>
      <c r="J17" s="12">
        <f t="shared" ref="J17:J19" si="5">IF(H$12=0,0,H17/H$12)</f>
        <v>0.27251824120728152</v>
      </c>
      <c r="K17" s="4"/>
      <c r="L17" s="4">
        <f t="shared" ref="L17:L19" si="6">+D17-H17</f>
        <v>-236.76000000000005</v>
      </c>
      <c r="M17" s="4"/>
      <c r="N17" s="12">
        <f t="shared" ref="N17:N19" si="7">IF(H17=0,0,L17/H17)</f>
        <v>-0.72116966189460874</v>
      </c>
      <c r="O17" s="10"/>
      <c r="P17" s="4">
        <f>SUM(OSRRefP16x_0)</f>
        <v>440.59999999999991</v>
      </c>
      <c r="Q17" s="4"/>
      <c r="R17" s="12">
        <f t="shared" ref="R17:R19" si="8">IF(P$12=0,0,P17/P$12)</f>
        <v>0.29165094558187865</v>
      </c>
      <c r="S17" s="4"/>
      <c r="T17" s="4">
        <f>SUM(OSRRefT16x_0)</f>
        <v>806.02</v>
      </c>
      <c r="U17" s="4"/>
      <c r="V17" s="12">
        <f t="shared" ref="V17:V19" si="9">IF(T$12=0,0,T17/T$12)</f>
        <v>0.50311159936831717</v>
      </c>
      <c r="W17" s="4"/>
      <c r="X17" s="4">
        <f t="shared" ref="X17:X19" si="10">+P17-T17</f>
        <v>-365.42000000000007</v>
      </c>
      <c r="Y17" s="4"/>
      <c r="Z17" s="12">
        <f t="shared" ref="Z17:Z19" si="11">IF(T17=0,0,X17/T17)</f>
        <v>-0.45336344011314866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396.14</v>
      </c>
      <c r="E18" s="2"/>
      <c r="F18" s="19">
        <f t="shared" si="4"/>
        <v>0.33175609470131567</v>
      </c>
      <c r="G18" s="2"/>
      <c r="H18" s="2">
        <v>508.06</v>
      </c>
      <c r="I18" s="2"/>
      <c r="J18" s="19">
        <f t="shared" si="5"/>
        <v>0.42173505217109797</v>
      </c>
      <c r="K18" s="2"/>
      <c r="L18" s="2">
        <f t="shared" si="6"/>
        <v>-111.92000000000002</v>
      </c>
      <c r="M18" s="2"/>
      <c r="N18" s="19">
        <f t="shared" si="7"/>
        <v>-0.22028894225091528</v>
      </c>
      <c r="O18" s="11"/>
      <c r="P18" s="2">
        <v>2704.4</v>
      </c>
      <c r="Q18" s="2"/>
      <c r="R18" s="19">
        <f t="shared" si="8"/>
        <v>1.7901516505484176</v>
      </c>
      <c r="S18" s="2"/>
      <c r="T18" s="2">
        <v>1048.5899999999999</v>
      </c>
      <c r="U18" s="2"/>
      <c r="V18" s="19">
        <f t="shared" si="9"/>
        <v>0.65452196221138892</v>
      </c>
      <c r="W18" s="2"/>
      <c r="X18" s="2">
        <f t="shared" si="10"/>
        <v>1655.8100000000002</v>
      </c>
      <c r="Y18" s="2"/>
      <c r="Z18" s="19">
        <f t="shared" si="11"/>
        <v>1.5790823868242119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-304.60000000000002</v>
      </c>
      <c r="E19" s="2"/>
      <c r="F19" s="19">
        <f t="shared" si="4"/>
        <v>-0.25509392246685708</v>
      </c>
      <c r="G19" s="2"/>
      <c r="H19" s="2">
        <v>-179.76</v>
      </c>
      <c r="I19" s="2"/>
      <c r="J19" s="19">
        <f t="shared" si="5"/>
        <v>-0.14921681096381639</v>
      </c>
      <c r="K19" s="2"/>
      <c r="L19" s="2">
        <f t="shared" si="6"/>
        <v>-124.84000000000003</v>
      </c>
      <c r="M19" s="2"/>
      <c r="N19" s="19">
        <f t="shared" si="7"/>
        <v>0.69448153093012932</v>
      </c>
      <c r="O19" s="11"/>
      <c r="P19" s="2">
        <v>-2263.8000000000002</v>
      </c>
      <c r="Q19" s="2"/>
      <c r="R19" s="19">
        <f t="shared" si="8"/>
        <v>-1.4985007049665391</v>
      </c>
      <c r="S19" s="2"/>
      <c r="T19" s="2">
        <v>-242.57</v>
      </c>
      <c r="U19" s="2"/>
      <c r="V19" s="19">
        <f t="shared" si="9"/>
        <v>-0.15141036284307174</v>
      </c>
      <c r="W19" s="2"/>
      <c r="X19" s="2">
        <f t="shared" si="10"/>
        <v>-2021.2300000000002</v>
      </c>
      <c r="Y19" s="2"/>
      <c r="Z19" s="19">
        <f t="shared" si="11"/>
        <v>8.3325637960176451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6</v>
      </c>
      <c r="C21" s="26"/>
      <c r="D21" s="21">
        <f>D12-D17</f>
        <v>1102.53</v>
      </c>
      <c r="E21" s="13"/>
      <c r="F21" s="20">
        <f>IF(D$12=0,0,D21/D$12)</f>
        <v>0.92333782776554141</v>
      </c>
      <c r="G21" s="13"/>
      <c r="H21" s="21">
        <f>H12-H17</f>
        <v>876.3900000000001</v>
      </c>
      <c r="I21" s="13"/>
      <c r="J21" s="20">
        <f>IF(H$12=0,0,H21/H$12)</f>
        <v>0.72748175879271848</v>
      </c>
      <c r="K21" s="15"/>
      <c r="L21" s="21">
        <f>+D21-H21</f>
        <v>226.13999999999987</v>
      </c>
      <c r="M21" s="15"/>
      <c r="N21" s="20">
        <f>IF(H21=0,0,L21/H21)</f>
        <v>0.25803580597679099</v>
      </c>
      <c r="O21" s="25"/>
      <c r="P21" s="21">
        <f>P12-P17</f>
        <v>1070.1100000000001</v>
      </c>
      <c r="Q21" s="13"/>
      <c r="R21" s="20">
        <f>IF(P$12=0,0,P21/P$12)</f>
        <v>0.70834905441812135</v>
      </c>
      <c r="S21" s="13"/>
      <c r="T21" s="21">
        <f>T12-T17</f>
        <v>796.05000000000018</v>
      </c>
      <c r="U21" s="13"/>
      <c r="V21" s="20">
        <f>IF(T$12=0,0,T21/T$12)</f>
        <v>0.49688840063168283</v>
      </c>
      <c r="W21" s="15"/>
      <c r="X21" s="21">
        <f>+P21-T21</f>
        <v>274.05999999999995</v>
      </c>
      <c r="Y21" s="15"/>
      <c r="Z21" s="20">
        <f>IF(T21=0,0,X21/T21)</f>
        <v>0.34427485710696548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2">
        <f>SUM(OSRRefD22x_0)</f>
        <v>2603.64</v>
      </c>
      <c r="E23" s="22"/>
      <c r="F23" s="34">
        <f t="shared" ref="F23:F27" si="12">IF(D$12=0,0,D23/D$12)</f>
        <v>2.1804751815220214</v>
      </c>
      <c r="G23" s="22"/>
      <c r="H23" s="22">
        <f>SUM(OSRRefH22x_0)</f>
        <v>2960.84</v>
      </c>
      <c r="I23" s="22"/>
      <c r="J23" s="34">
        <f t="shared" ref="J23:J27" si="13">IF(H$12=0,0,H23/H$12)</f>
        <v>2.4577609177464743</v>
      </c>
      <c r="K23" s="4"/>
      <c r="L23" s="22">
        <f t="shared" ref="L23:L27" si="14">+D23-H23</f>
        <v>-357.20000000000027</v>
      </c>
      <c r="M23" s="4"/>
      <c r="N23" s="34">
        <f t="shared" ref="N23:N27" si="15">IF(H23=0,0,L23/H23)</f>
        <v>-0.12064143959146738</v>
      </c>
      <c r="O23" s="10"/>
      <c r="P23" s="22">
        <f>SUM(OSRRefP22x_0)</f>
        <v>6508.5999999999985</v>
      </c>
      <c r="Q23" s="22"/>
      <c r="R23" s="34">
        <f t="shared" ref="R23:R27" si="16">IF(P$12=0,0,P23/P$12)</f>
        <v>4.3083053663509201</v>
      </c>
      <c r="S23" s="22"/>
      <c r="T23" s="22">
        <f>SUM(OSRRefT22x_0)</f>
        <v>4771.1900000000005</v>
      </c>
      <c r="U23" s="22"/>
      <c r="V23" s="34">
        <f t="shared" ref="V23:V27" si="17">IF(T$12=0,0,T23/T$12)</f>
        <v>2.9781407803654023</v>
      </c>
      <c r="W23" s="4"/>
      <c r="X23" s="22">
        <f t="shared" ref="X23:X27" si="18">+P23-T23</f>
        <v>1737.409999999998</v>
      </c>
      <c r="Y23" s="4"/>
      <c r="Z23" s="34">
        <f t="shared" ref="Z23:Z27" si="19">IF(T23=0,0,X23/T23)</f>
        <v>0.36414605161395747</v>
      </c>
    </row>
    <row r="24" spans="1:26" s="29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171.34</v>
      </c>
      <c r="E24" s="1"/>
      <c r="F24" s="5">
        <f t="shared" si="12"/>
        <v>0.14349242506720714</v>
      </c>
      <c r="G24" s="1"/>
      <c r="H24" s="1">
        <f>SUM(OSRRefH22_0x_0)</f>
        <v>120.54</v>
      </c>
      <c r="I24" s="1"/>
      <c r="J24" s="5">
        <f t="shared" si="13"/>
        <v>0.10005893632386754</v>
      </c>
      <c r="K24" s="1"/>
      <c r="L24" s="1">
        <f t="shared" si="14"/>
        <v>50.8</v>
      </c>
      <c r="M24" s="1"/>
      <c r="N24" s="5">
        <f t="shared" si="15"/>
        <v>0.42143686742989872</v>
      </c>
      <c r="O24" s="14"/>
      <c r="P24" s="1">
        <f>SUM(OSRRefP22_0x_0)</f>
        <v>267.70999999999998</v>
      </c>
      <c r="Q24" s="1"/>
      <c r="R24" s="5">
        <f t="shared" si="16"/>
        <v>0.17720806772974296</v>
      </c>
      <c r="S24" s="1"/>
      <c r="T24" s="1">
        <f>SUM(OSRRefT22_0x_0)</f>
        <v>175.65000000000003</v>
      </c>
      <c r="U24" s="1"/>
      <c r="V24" s="5">
        <f t="shared" si="17"/>
        <v>0.10963940402104778</v>
      </c>
      <c r="W24" s="1"/>
      <c r="X24" s="1">
        <f t="shared" si="18"/>
        <v>92.059999999999945</v>
      </c>
      <c r="Y24" s="1"/>
      <c r="Z24" s="5">
        <f t="shared" si="19"/>
        <v>0.52411044691147124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6">
        <v>115.84</v>
      </c>
      <c r="E25" s="2"/>
      <c r="F25" s="7">
        <f t="shared" si="12"/>
        <v>9.701273794668655E-2</v>
      </c>
      <c r="G25" s="2"/>
      <c r="H25" s="6">
        <v>115.25</v>
      </c>
      <c r="I25" s="2"/>
      <c r="J25" s="7">
        <f t="shared" si="13"/>
        <v>9.566776515120072E-2</v>
      </c>
      <c r="K25" s="2"/>
      <c r="L25" s="6">
        <f t="shared" si="14"/>
        <v>0.59000000000000341</v>
      </c>
      <c r="M25" s="2"/>
      <c r="N25" s="7">
        <f t="shared" si="15"/>
        <v>5.1193058568330015E-3</v>
      </c>
      <c r="O25" s="11"/>
      <c r="P25" s="6">
        <v>161.16</v>
      </c>
      <c r="Q25" s="2"/>
      <c r="R25" s="7">
        <f t="shared" si="16"/>
        <v>0.10667831681792005</v>
      </c>
      <c r="S25" s="2"/>
      <c r="T25" s="6">
        <v>159.30000000000001</v>
      </c>
      <c r="U25" s="2"/>
      <c r="V25" s="7">
        <f t="shared" si="17"/>
        <v>9.9433857446928037E-2</v>
      </c>
      <c r="W25" s="2"/>
      <c r="X25" s="6">
        <f t="shared" si="18"/>
        <v>1.8599999999999852</v>
      </c>
      <c r="Y25" s="2"/>
      <c r="Z25" s="7">
        <f t="shared" si="19"/>
        <v>1.1676082862523448E-2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6">
        <v>48.82</v>
      </c>
      <c r="E26" s="2"/>
      <c r="F26" s="7">
        <f t="shared" si="12"/>
        <v>4.088537522925792E-2</v>
      </c>
      <c r="G26" s="2"/>
      <c r="H26" s="6"/>
      <c r="I26" s="2"/>
      <c r="J26" s="7">
        <f t="shared" si="13"/>
        <v>0</v>
      </c>
      <c r="K26" s="2"/>
      <c r="L26" s="6">
        <f t="shared" si="14"/>
        <v>48.82</v>
      </c>
      <c r="M26" s="2"/>
      <c r="N26" s="7">
        <f t="shared" si="15"/>
        <v>0</v>
      </c>
      <c r="O26" s="11"/>
      <c r="P26" s="6">
        <v>93.73</v>
      </c>
      <c r="Q26" s="2"/>
      <c r="R26" s="7">
        <f t="shared" si="16"/>
        <v>6.2043674828391952E-2</v>
      </c>
      <c r="S26" s="2"/>
      <c r="T26" s="6">
        <v>9.08</v>
      </c>
      <c r="U26" s="2"/>
      <c r="V26" s="7">
        <f t="shared" si="17"/>
        <v>5.6676674552297961E-3</v>
      </c>
      <c r="W26" s="2"/>
      <c r="X26" s="6">
        <f t="shared" si="18"/>
        <v>84.65</v>
      </c>
      <c r="Y26" s="2"/>
      <c r="Z26" s="7">
        <f t="shared" si="19"/>
        <v>9.322687224669604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>
        <v>6.68</v>
      </c>
      <c r="E27" s="2"/>
      <c r="F27" s="7">
        <f t="shared" si="12"/>
        <v>5.5943118912626559E-3</v>
      </c>
      <c r="G27" s="2"/>
      <c r="H27" s="6">
        <v>5.29</v>
      </c>
      <c r="I27" s="2"/>
      <c r="J27" s="7">
        <f t="shared" si="13"/>
        <v>4.3911711726668272E-3</v>
      </c>
      <c r="K27" s="2"/>
      <c r="L27" s="6">
        <f t="shared" si="14"/>
        <v>1.3899999999999997</v>
      </c>
      <c r="M27" s="2"/>
      <c r="N27" s="7">
        <f t="shared" si="15"/>
        <v>0.26275992438563323</v>
      </c>
      <c r="O27" s="11"/>
      <c r="P27" s="6">
        <v>12.82</v>
      </c>
      <c r="Q27" s="2"/>
      <c r="R27" s="7">
        <f t="shared" si="16"/>
        <v>8.4860760834309691E-3</v>
      </c>
      <c r="S27" s="2"/>
      <c r="T27" s="6">
        <v>7.27</v>
      </c>
      <c r="U27" s="2"/>
      <c r="V27" s="7">
        <f t="shared" si="17"/>
        <v>4.5378791188899351E-3</v>
      </c>
      <c r="W27" s="2"/>
      <c r="X27" s="6">
        <f t="shared" si="18"/>
        <v>5.5500000000000007</v>
      </c>
      <c r="Y27" s="2"/>
      <c r="Z27" s="7">
        <f t="shared" si="19"/>
        <v>0.7634112792297113</v>
      </c>
    </row>
    <row r="28" spans="1:26" s="29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2234.1</v>
      </c>
      <c r="E28" s="1"/>
      <c r="F28" s="5">
        <f t="shared" ref="F28:F30" si="20">IF(D$12=0,0,D28/D$12)</f>
        <v>1.8709958377649551</v>
      </c>
      <c r="G28" s="1"/>
      <c r="H28" s="1">
        <f>SUM(OSRRefH22_1x_0)</f>
        <v>2410.38</v>
      </c>
      <c r="I28" s="1"/>
      <c r="J28" s="5">
        <f t="shared" ref="J28:J30" si="21">IF(H$12=0,0,H28/H$12)</f>
        <v>2.0008300890685571</v>
      </c>
      <c r="K28" s="1"/>
      <c r="L28" s="1">
        <f t="shared" ref="L28:L30" si="22">+D28-H28</f>
        <v>-176.2800000000002</v>
      </c>
      <c r="M28" s="1"/>
      <c r="N28" s="5">
        <f t="shared" ref="N28:N30" si="23">IF(H28=0,0,L28/H28)</f>
        <v>-7.3133696761506564E-2</v>
      </c>
      <c r="O28" s="14"/>
      <c r="P28" s="1">
        <f>SUM(OSRRefP22_1x_0)</f>
        <v>3422.66</v>
      </c>
      <c r="Q28" s="1"/>
      <c r="R28" s="5">
        <f t="shared" ref="R28:R30" si="24">IF(P$12=0,0,P28/P$12)</f>
        <v>2.265596970960674</v>
      </c>
      <c r="S28" s="1"/>
      <c r="T28" s="1">
        <f>SUM(OSRRefT22_1x_0)</f>
        <v>2986.15</v>
      </c>
      <c r="U28" s="1"/>
      <c r="V28" s="5">
        <f t="shared" ref="V28:V30" si="25">IF(T$12=0,0,T28/T$12)</f>
        <v>1.8639322876029136</v>
      </c>
      <c r="W28" s="1"/>
      <c r="X28" s="1">
        <f t="shared" ref="X28:X30" si="26">+P28-T28</f>
        <v>436.50999999999976</v>
      </c>
      <c r="Y28" s="1"/>
      <c r="Z28" s="5">
        <f t="shared" ref="Z28:Z30" si="27">IF(T28=0,0,X28/T28)</f>
        <v>0.14617818930730195</v>
      </c>
    </row>
    <row r="29" spans="1:26" s="24" customFormat="1" hidden="1" outlineLevel="2" x14ac:dyDescent="0.25">
      <c r="A29" s="28"/>
      <c r="B29" s="11" t="str">
        <f>CONCATENATE("          ", "6005", " - ", "TEMPORARY WAGES-HOURLY")</f>
        <v xml:space="preserve">          6005 - TEMPORARY WAGES-HOURLY</v>
      </c>
      <c r="C29" s="11"/>
      <c r="D29" s="6">
        <v>1514.1</v>
      </c>
      <c r="E29" s="2"/>
      <c r="F29" s="7">
        <f t="shared" si="20"/>
        <v>1.2680161129582017</v>
      </c>
      <c r="G29" s="2"/>
      <c r="H29" s="6">
        <v>1506.38</v>
      </c>
      <c r="I29" s="2"/>
      <c r="J29" s="7">
        <f t="shared" si="21"/>
        <v>1.2504295710929783</v>
      </c>
      <c r="K29" s="2"/>
      <c r="L29" s="6">
        <f t="shared" si="22"/>
        <v>7.7199999999997999</v>
      </c>
      <c r="M29" s="2"/>
      <c r="N29" s="7">
        <f t="shared" si="23"/>
        <v>5.1248688909835494E-3</v>
      </c>
      <c r="O29" s="11"/>
      <c r="P29" s="6">
        <v>2010.66</v>
      </c>
      <c r="Q29" s="2"/>
      <c r="R29" s="7">
        <f t="shared" si="24"/>
        <v>1.3309371090414441</v>
      </c>
      <c r="S29" s="2"/>
      <c r="T29" s="6">
        <v>2082.15</v>
      </c>
      <c r="U29" s="2"/>
      <c r="V29" s="7">
        <f t="shared" si="25"/>
        <v>1.2996623118840001</v>
      </c>
      <c r="W29" s="2"/>
      <c r="X29" s="6">
        <f t="shared" si="26"/>
        <v>-71.490000000000009</v>
      </c>
      <c r="Y29" s="2"/>
      <c r="Z29" s="7">
        <f t="shared" si="27"/>
        <v>-3.4334702110798934E-2</v>
      </c>
    </row>
    <row r="30" spans="1:26" s="24" customFormat="1" hidden="1" outlineLevel="2" x14ac:dyDescent="0.25">
      <c r="A30" s="28"/>
      <c r="B30" s="11" t="str">
        <f>CONCATENATE("          ", "6007", " - ", "STUDENT HOURLY")</f>
        <v xml:space="preserve">          6007 - STUDENT HOURLY</v>
      </c>
      <c r="C30" s="11"/>
      <c r="D30" s="6">
        <v>720</v>
      </c>
      <c r="E30" s="2"/>
      <c r="F30" s="7">
        <f t="shared" si="20"/>
        <v>0.60297972480675344</v>
      </c>
      <c r="G30" s="2"/>
      <c r="H30" s="6">
        <v>904</v>
      </c>
      <c r="I30" s="2"/>
      <c r="J30" s="7">
        <f t="shared" si="21"/>
        <v>0.75040051797557872</v>
      </c>
      <c r="K30" s="2"/>
      <c r="L30" s="6">
        <f t="shared" si="22"/>
        <v>-184</v>
      </c>
      <c r="M30" s="2"/>
      <c r="N30" s="7">
        <f t="shared" si="23"/>
        <v>-0.20353982300884957</v>
      </c>
      <c r="O30" s="11"/>
      <c r="P30" s="6">
        <v>1412</v>
      </c>
      <c r="Q30" s="2"/>
      <c r="R30" s="7">
        <f t="shared" si="24"/>
        <v>0.93465986191923001</v>
      </c>
      <c r="S30" s="2"/>
      <c r="T30" s="6">
        <v>904</v>
      </c>
      <c r="U30" s="2"/>
      <c r="V30" s="7">
        <f t="shared" si="25"/>
        <v>0.56426997571891357</v>
      </c>
      <c r="W30" s="2"/>
      <c r="X30" s="6">
        <f t="shared" si="26"/>
        <v>508</v>
      </c>
      <c r="Y30" s="2"/>
      <c r="Z30" s="7">
        <f t="shared" si="27"/>
        <v>0.56194690265486724</v>
      </c>
    </row>
    <row r="31" spans="1:26" s="29" customFormat="1" outlineLevel="1" collapsed="1" x14ac:dyDescent="0.25">
      <c r="A31" s="27"/>
      <c r="B31" s="14" t="str">
        <f>CONCATENATE("     ","Bad Debts/Over/Short                              ")</f>
        <v xml:space="preserve">     Bad Debts/Over/Short                              </v>
      </c>
      <c r="C31" s="14"/>
      <c r="D31" s="1">
        <f>SUM(OSRRefD22_2x_0)</f>
        <v>-0.02</v>
      </c>
      <c r="E31" s="1"/>
      <c r="F31" s="5">
        <f t="shared" ref="F31:F43" si="28">IF(D$12=0,0,D31/D$12)</f>
        <v>-1.6749436800187595E-5</v>
      </c>
      <c r="G31" s="1"/>
      <c r="H31" s="1">
        <f>SUM(OSRRefH22_2x_0)</f>
        <v>0.05</v>
      </c>
      <c r="I31" s="1"/>
      <c r="J31" s="5">
        <f t="shared" ref="J31:J43" si="29">IF(H$12=0,0,H31/H$12)</f>
        <v>4.1504453427852808E-5</v>
      </c>
      <c r="K31" s="1"/>
      <c r="L31" s="1">
        <f t="shared" ref="L31:L43" si="30">+D31-H31</f>
        <v>-7.0000000000000007E-2</v>
      </c>
      <c r="M31" s="1"/>
      <c r="N31" s="5">
        <f t="shared" ref="N31:N43" si="31">IF(H31=0,0,L31/H31)</f>
        <v>-1.4000000000000001</v>
      </c>
      <c r="O31" s="14"/>
      <c r="P31" s="1">
        <f>SUM(OSRRefP22_2x_0)</f>
        <v>-0.31</v>
      </c>
      <c r="Q31" s="1"/>
      <c r="R31" s="5">
        <f t="shared" ref="R31:R43" si="32">IF(P$12=0,0,P31/P$12)</f>
        <v>-2.0520152775847116E-4</v>
      </c>
      <c r="S31" s="1"/>
      <c r="T31" s="1">
        <f>SUM(OSRRefT22_2x_0)</f>
        <v>-0.16</v>
      </c>
      <c r="U31" s="1"/>
      <c r="V31" s="5">
        <f t="shared" ref="V31:V43" si="33">IF(T$12=0,0,T31/T$12)</f>
        <v>-9.987079216263958E-5</v>
      </c>
      <c r="W31" s="1"/>
      <c r="X31" s="1">
        <f t="shared" ref="X31:X43" si="34">+P31-T31</f>
        <v>-0.15</v>
      </c>
      <c r="Y31" s="1"/>
      <c r="Z31" s="5">
        <f t="shared" ref="Z31:Z43" si="35">IF(T31=0,0,X31/T31)</f>
        <v>0.9375</v>
      </c>
    </row>
    <row r="32" spans="1:26" s="24" customFormat="1" hidden="1" outlineLevel="2" x14ac:dyDescent="0.25">
      <c r="A32" s="28"/>
      <c r="B32" s="11" t="str">
        <f>CONCATENATE("          ", "6272", " - ", "CASH (OVER/SHORT)")</f>
        <v xml:space="preserve">          6272 - CASH (OVER/SHORT)</v>
      </c>
      <c r="C32" s="11"/>
      <c r="D32" s="6">
        <v>-0.02</v>
      </c>
      <c r="E32" s="2"/>
      <c r="F32" s="7">
        <f t="shared" si="28"/>
        <v>-1.6749436800187595E-5</v>
      </c>
      <c r="G32" s="2"/>
      <c r="H32" s="6">
        <v>0.05</v>
      </c>
      <c r="I32" s="2"/>
      <c r="J32" s="7">
        <f t="shared" si="29"/>
        <v>4.1504453427852808E-5</v>
      </c>
      <c r="K32" s="2"/>
      <c r="L32" s="6">
        <f t="shared" si="30"/>
        <v>-7.0000000000000007E-2</v>
      </c>
      <c r="M32" s="2"/>
      <c r="N32" s="7">
        <f t="shared" si="31"/>
        <v>-1.4000000000000001</v>
      </c>
      <c r="O32" s="11"/>
      <c r="P32" s="6">
        <v>-0.31</v>
      </c>
      <c r="Q32" s="2"/>
      <c r="R32" s="7">
        <f t="shared" si="32"/>
        <v>-2.0520152775847116E-4</v>
      </c>
      <c r="S32" s="2"/>
      <c r="T32" s="6">
        <v>-0.16</v>
      </c>
      <c r="U32" s="2"/>
      <c r="V32" s="7">
        <f t="shared" si="33"/>
        <v>-9.987079216263958E-5</v>
      </c>
      <c r="W32" s="2"/>
      <c r="X32" s="6">
        <f t="shared" si="34"/>
        <v>-0.15</v>
      </c>
      <c r="Y32" s="2"/>
      <c r="Z32" s="7">
        <f t="shared" si="35"/>
        <v>0.9375</v>
      </c>
    </row>
    <row r="33" spans="1:26" s="29" customFormat="1" outlineLevel="1" collapsed="1" x14ac:dyDescent="0.25">
      <c r="A33" s="27"/>
      <c r="B33" s="14" t="str">
        <f>CONCATENATE("     ","Bank/card Fees                                    ")</f>
        <v xml:space="preserve">     Bank/card Fees                                    </v>
      </c>
      <c r="C33" s="14"/>
      <c r="D33" s="1">
        <f>SUM(OSRRefD22_3x_0)</f>
        <v>23.36</v>
      </c>
      <c r="E33" s="1"/>
      <c r="F33" s="5">
        <f t="shared" si="28"/>
        <v>1.9563342182619112E-2</v>
      </c>
      <c r="G33" s="1"/>
      <c r="H33" s="1">
        <f>SUM(OSRRefH22_3x_0)</f>
        <v>22.68</v>
      </c>
      <c r="I33" s="1"/>
      <c r="J33" s="5">
        <f t="shared" si="29"/>
        <v>1.8826420074874034E-2</v>
      </c>
      <c r="K33" s="1"/>
      <c r="L33" s="1">
        <f t="shared" si="30"/>
        <v>0.67999999999999972</v>
      </c>
      <c r="M33" s="1"/>
      <c r="N33" s="5">
        <f t="shared" si="31"/>
        <v>2.9982363315696637E-2</v>
      </c>
      <c r="O33" s="14"/>
      <c r="P33" s="1">
        <f>SUM(OSRRefP22_3x_0)</f>
        <v>31.55</v>
      </c>
      <c r="Q33" s="1"/>
      <c r="R33" s="5">
        <f t="shared" si="32"/>
        <v>2.0884220002515372E-2</v>
      </c>
      <c r="S33" s="1"/>
      <c r="T33" s="1">
        <f>SUM(OSRRefT22_3x_0)</f>
        <v>29.87</v>
      </c>
      <c r="U33" s="1"/>
      <c r="V33" s="5">
        <f t="shared" si="33"/>
        <v>1.8644628511862778E-2</v>
      </c>
      <c r="W33" s="1"/>
      <c r="X33" s="1">
        <f t="shared" si="34"/>
        <v>1.6799999999999997</v>
      </c>
      <c r="Y33" s="1"/>
      <c r="Z33" s="5">
        <f t="shared" si="35"/>
        <v>5.6243722798794769E-2</v>
      </c>
    </row>
    <row r="34" spans="1:26" s="24" customFormat="1" hidden="1" outlineLevel="2" x14ac:dyDescent="0.25">
      <c r="A34" s="28"/>
      <c r="B34" s="11" t="str">
        <f>CONCATENATE("          ", "6381", " - ", "BANK/CREDIT CARD FEES")</f>
        <v xml:space="preserve">          6381 - BANK/CREDIT CARD FEES</v>
      </c>
      <c r="C34" s="11"/>
      <c r="D34" s="6">
        <v>23.36</v>
      </c>
      <c r="E34" s="2"/>
      <c r="F34" s="7">
        <f t="shared" si="28"/>
        <v>1.9563342182619112E-2</v>
      </c>
      <c r="G34" s="2"/>
      <c r="H34" s="6">
        <v>22.68</v>
      </c>
      <c r="I34" s="2"/>
      <c r="J34" s="7">
        <f t="shared" si="29"/>
        <v>1.8826420074874034E-2</v>
      </c>
      <c r="K34" s="2"/>
      <c r="L34" s="6">
        <f t="shared" si="30"/>
        <v>0.67999999999999972</v>
      </c>
      <c r="M34" s="2"/>
      <c r="N34" s="7">
        <f t="shared" si="31"/>
        <v>2.9982363315696637E-2</v>
      </c>
      <c r="O34" s="11"/>
      <c r="P34" s="6">
        <v>31.55</v>
      </c>
      <c r="Q34" s="2"/>
      <c r="R34" s="7">
        <f t="shared" si="32"/>
        <v>2.0884220002515372E-2</v>
      </c>
      <c r="S34" s="2"/>
      <c r="T34" s="6">
        <v>29.87</v>
      </c>
      <c r="U34" s="2"/>
      <c r="V34" s="7">
        <f t="shared" si="33"/>
        <v>1.8644628511862778E-2</v>
      </c>
      <c r="W34" s="2"/>
      <c r="X34" s="6">
        <f t="shared" si="34"/>
        <v>1.6799999999999997</v>
      </c>
      <c r="Y34" s="2"/>
      <c r="Z34" s="7">
        <f t="shared" si="35"/>
        <v>5.6243722798794769E-2</v>
      </c>
    </row>
    <row r="35" spans="1:26" s="29" customFormat="1" outlineLevel="1" collapsed="1" x14ac:dyDescent="0.25">
      <c r="A35" s="27"/>
      <c r="B35" s="14" t="str">
        <f>CONCATENATE("     ","General                                           ")</f>
        <v xml:space="preserve">     General                                           </v>
      </c>
      <c r="C35" s="14"/>
      <c r="D35" s="1">
        <f>SUM(OSRRefD22_4x_0)</f>
        <v>24</v>
      </c>
      <c r="E35" s="1"/>
      <c r="F35" s="5">
        <f t="shared" si="28"/>
        <v>2.0099324160225113E-2</v>
      </c>
      <c r="G35" s="1"/>
      <c r="H35" s="1">
        <f>SUM(OSRRefH22_4x_0)</f>
        <v>5.95</v>
      </c>
      <c r="I35" s="1"/>
      <c r="J35" s="5">
        <f t="shared" si="29"/>
        <v>4.939029957914484E-3</v>
      </c>
      <c r="K35" s="1"/>
      <c r="L35" s="1">
        <f t="shared" si="30"/>
        <v>18.05</v>
      </c>
      <c r="M35" s="1"/>
      <c r="N35" s="5">
        <f t="shared" si="31"/>
        <v>3.0336134453781511</v>
      </c>
      <c r="O35" s="14"/>
      <c r="P35" s="1">
        <f>SUM(OSRRefP22_4x_0)</f>
        <v>1113.55</v>
      </c>
      <c r="Q35" s="1"/>
      <c r="R35" s="5">
        <f t="shared" si="32"/>
        <v>0.7371037459207922</v>
      </c>
      <c r="S35" s="1"/>
      <c r="T35" s="1">
        <f>SUM(OSRRefT22_4x_0)</f>
        <v>1040.1500000000001</v>
      </c>
      <c r="U35" s="1"/>
      <c r="V35" s="5">
        <f t="shared" si="33"/>
        <v>0.64925377792480976</v>
      </c>
      <c r="W35" s="1"/>
      <c r="X35" s="1">
        <f t="shared" si="34"/>
        <v>73.399999999999864</v>
      </c>
      <c r="Y35" s="1"/>
      <c r="Z35" s="5">
        <f t="shared" si="35"/>
        <v>7.0566745180983381E-2</v>
      </c>
    </row>
    <row r="36" spans="1:26" s="24" customFormat="1" hidden="1" outlineLevel="2" x14ac:dyDescent="0.25">
      <c r="A36" s="28"/>
      <c r="B36" s="11" t="str">
        <f>CONCATENATE("          ", "6279", " - ", "GENERAL EXPENSE")</f>
        <v xml:space="preserve">          6279 - GENERAL EXPENSE</v>
      </c>
      <c r="C36" s="11"/>
      <c r="D36" s="6">
        <v>24</v>
      </c>
      <c r="E36" s="2"/>
      <c r="F36" s="7">
        <f t="shared" si="28"/>
        <v>2.0099324160225113E-2</v>
      </c>
      <c r="G36" s="2"/>
      <c r="H36" s="6">
        <v>5.95</v>
      </c>
      <c r="I36" s="2"/>
      <c r="J36" s="7">
        <f t="shared" si="29"/>
        <v>4.939029957914484E-3</v>
      </c>
      <c r="K36" s="2"/>
      <c r="L36" s="6">
        <f t="shared" si="30"/>
        <v>18.05</v>
      </c>
      <c r="M36" s="2"/>
      <c r="N36" s="7">
        <f t="shared" si="31"/>
        <v>3.0336134453781511</v>
      </c>
      <c r="O36" s="11"/>
      <c r="P36" s="6">
        <v>1113.55</v>
      </c>
      <c r="Q36" s="2"/>
      <c r="R36" s="7">
        <f t="shared" si="32"/>
        <v>0.7371037459207922</v>
      </c>
      <c r="S36" s="2"/>
      <c r="T36" s="6">
        <v>1040.1500000000001</v>
      </c>
      <c r="U36" s="2"/>
      <c r="V36" s="7">
        <f t="shared" si="33"/>
        <v>0.64925377792480976</v>
      </c>
      <c r="W36" s="2"/>
      <c r="X36" s="6">
        <f t="shared" si="34"/>
        <v>73.399999999999864</v>
      </c>
      <c r="Y36" s="2"/>
      <c r="Z36" s="7">
        <f t="shared" si="35"/>
        <v>7.0566745180983381E-2</v>
      </c>
    </row>
    <row r="37" spans="1:26" s="29" customFormat="1" outlineLevel="1" collapsed="1" x14ac:dyDescent="0.25">
      <c r="A37" s="27"/>
      <c r="B37" s="14" t="str">
        <f>CONCATENATE("     ","R/H Commissions                                   ")</f>
        <v xml:space="preserve">     R/H Commissions                                   </v>
      </c>
      <c r="C37" s="14"/>
      <c r="D37" s="1">
        <f>SUM(OSRRefD22_5x_0)</f>
        <v>120.86</v>
      </c>
      <c r="E37" s="1"/>
      <c r="F37" s="5">
        <f t="shared" si="28"/>
        <v>0.10121684658353364</v>
      </c>
      <c r="G37" s="1"/>
      <c r="H37" s="1">
        <f>SUM(OSRRefH22_5x_0)</f>
        <v>96.38</v>
      </c>
      <c r="I37" s="1"/>
      <c r="J37" s="5">
        <f t="shared" si="29"/>
        <v>8.0003984427529068E-2</v>
      </c>
      <c r="K37" s="1"/>
      <c r="L37" s="1">
        <f t="shared" si="30"/>
        <v>24.480000000000004</v>
      </c>
      <c r="M37" s="1"/>
      <c r="N37" s="5">
        <f t="shared" si="31"/>
        <v>0.2539946046897697</v>
      </c>
      <c r="O37" s="14"/>
      <c r="P37" s="1">
        <f>SUM(OSRRefP22_5x_0)</f>
        <v>120.86</v>
      </c>
      <c r="Q37" s="1"/>
      <c r="R37" s="5">
        <f t="shared" si="32"/>
        <v>8.0002118209318795E-2</v>
      </c>
      <c r="S37" s="1"/>
      <c r="T37" s="1">
        <f>SUM(OSRRefT22_5x_0)</f>
        <v>128.16999999999999</v>
      </c>
      <c r="U37" s="1"/>
      <c r="V37" s="5">
        <f t="shared" si="33"/>
        <v>8.0002746446784456E-2</v>
      </c>
      <c r="W37" s="1"/>
      <c r="X37" s="1">
        <f t="shared" si="34"/>
        <v>-7.3099999999999881</v>
      </c>
      <c r="Y37" s="1"/>
      <c r="Z37" s="5">
        <f t="shared" si="35"/>
        <v>-5.7033627213856512E-2</v>
      </c>
    </row>
    <row r="38" spans="1:26" s="24" customFormat="1" hidden="1" outlineLevel="2" x14ac:dyDescent="0.25">
      <c r="A38" s="28"/>
      <c r="B38" s="11" t="str">
        <f>CONCATENATE("          ", "6387", " - ", "COMMISSION DUE HOUSING")</f>
        <v xml:space="preserve">          6387 - COMMISSION DUE HOUSING</v>
      </c>
      <c r="C38" s="11"/>
      <c r="D38" s="6">
        <v>120.86</v>
      </c>
      <c r="E38" s="2"/>
      <c r="F38" s="7">
        <f t="shared" si="28"/>
        <v>0.10121684658353364</v>
      </c>
      <c r="G38" s="2"/>
      <c r="H38" s="6">
        <v>96.38</v>
      </c>
      <c r="I38" s="2"/>
      <c r="J38" s="7">
        <f t="shared" si="29"/>
        <v>8.0003984427529068E-2</v>
      </c>
      <c r="K38" s="2"/>
      <c r="L38" s="6">
        <f t="shared" si="30"/>
        <v>24.480000000000004</v>
      </c>
      <c r="M38" s="2"/>
      <c r="N38" s="7">
        <f t="shared" si="31"/>
        <v>0.2539946046897697</v>
      </c>
      <c r="O38" s="11"/>
      <c r="P38" s="6">
        <v>120.86</v>
      </c>
      <c r="Q38" s="2"/>
      <c r="R38" s="7">
        <f t="shared" si="32"/>
        <v>8.0002118209318795E-2</v>
      </c>
      <c r="S38" s="2"/>
      <c r="T38" s="6">
        <v>128.16999999999999</v>
      </c>
      <c r="U38" s="2"/>
      <c r="V38" s="7">
        <f t="shared" si="33"/>
        <v>8.0002746446784456E-2</v>
      </c>
      <c r="W38" s="2"/>
      <c r="X38" s="6">
        <f t="shared" si="34"/>
        <v>-7.3099999999999881</v>
      </c>
      <c r="Y38" s="2"/>
      <c r="Z38" s="7">
        <f t="shared" si="35"/>
        <v>-5.7033627213856512E-2</v>
      </c>
    </row>
    <row r="39" spans="1:26" s="29" customFormat="1" outlineLevel="1" collapsed="1" x14ac:dyDescent="0.25">
      <c r="A39" s="27"/>
      <c r="B39" s="14" t="str">
        <f>CONCATENATE("     ","Supplies                                          ")</f>
        <v xml:space="preserve">     Supplies                                          </v>
      </c>
      <c r="C39" s="14"/>
      <c r="D39" s="1">
        <f>SUM(OSRRefD22_6x_0)</f>
        <v>30</v>
      </c>
      <c r="E39" s="1"/>
      <c r="F39" s="5">
        <f t="shared" si="28"/>
        <v>2.5124155200281391E-2</v>
      </c>
      <c r="G39" s="1"/>
      <c r="H39" s="1">
        <f>SUM(OSRRefH22_6x_0)</f>
        <v>264.86</v>
      </c>
      <c r="I39" s="1"/>
      <c r="J39" s="5">
        <f t="shared" si="29"/>
        <v>0.2198573906980219</v>
      </c>
      <c r="K39" s="1"/>
      <c r="L39" s="1">
        <f t="shared" si="30"/>
        <v>-234.86</v>
      </c>
      <c r="M39" s="1"/>
      <c r="N39" s="5">
        <f t="shared" si="31"/>
        <v>-0.8867326134561655</v>
      </c>
      <c r="O39" s="14"/>
      <c r="P39" s="1">
        <f>SUM(OSRRefP22_6x_0)</f>
        <v>1366.08</v>
      </c>
      <c r="Q39" s="1"/>
      <c r="R39" s="5">
        <f t="shared" si="32"/>
        <v>0.90426355819449122</v>
      </c>
      <c r="S39" s="1"/>
      <c r="T39" s="1">
        <f>SUM(OSRRefT22_6x_0)</f>
        <v>244.86</v>
      </c>
      <c r="U39" s="1"/>
      <c r="V39" s="5">
        <f t="shared" si="33"/>
        <v>0.15283976355589954</v>
      </c>
      <c r="W39" s="1"/>
      <c r="X39" s="1">
        <f t="shared" si="34"/>
        <v>1121.2199999999998</v>
      </c>
      <c r="Y39" s="1"/>
      <c r="Z39" s="5">
        <f t="shared" si="35"/>
        <v>4.5790247488360682</v>
      </c>
    </row>
    <row r="40" spans="1:26" s="24" customFormat="1" hidden="1" outlineLevel="2" x14ac:dyDescent="0.25">
      <c r="A40" s="28"/>
      <c r="B40" s="11" t="str">
        <f>CONCATENATE("          ", "6237", " - ", "JANITORIAL SUPPLIES")</f>
        <v xml:space="preserve">          6237 - JANITORIAL SUPPLIES</v>
      </c>
      <c r="C40" s="11"/>
      <c r="D40" s="6"/>
      <c r="E40" s="2"/>
      <c r="F40" s="7">
        <f t="shared" si="28"/>
        <v>0</v>
      </c>
      <c r="G40" s="2"/>
      <c r="H40" s="6">
        <v>58.06</v>
      </c>
      <c r="I40" s="2"/>
      <c r="J40" s="7">
        <f t="shared" si="29"/>
        <v>4.8194971320422678E-2</v>
      </c>
      <c r="K40" s="2"/>
      <c r="L40" s="6">
        <f t="shared" si="30"/>
        <v>-58.06</v>
      </c>
      <c r="M40" s="2"/>
      <c r="N40" s="7">
        <f t="shared" si="31"/>
        <v>-1</v>
      </c>
      <c r="O40" s="11"/>
      <c r="P40" s="6"/>
      <c r="Q40" s="2"/>
      <c r="R40" s="7">
        <f t="shared" si="32"/>
        <v>0</v>
      </c>
      <c r="S40" s="2"/>
      <c r="T40" s="6">
        <v>58.06</v>
      </c>
      <c r="U40" s="2"/>
      <c r="V40" s="7">
        <f t="shared" si="33"/>
        <v>3.6240613706017839E-2</v>
      </c>
      <c r="W40" s="2"/>
      <c r="X40" s="6">
        <f t="shared" si="34"/>
        <v>-58.06</v>
      </c>
      <c r="Y40" s="2"/>
      <c r="Z40" s="7">
        <f t="shared" si="35"/>
        <v>-1</v>
      </c>
    </row>
    <row r="41" spans="1:26" s="24" customFormat="1" hidden="1" outlineLevel="2" x14ac:dyDescent="0.25">
      <c r="A41" s="28"/>
      <c r="B41" s="11" t="str">
        <f>CONCATENATE("          ", "6243", " - ", "PAPER SUPPLIES")</f>
        <v xml:space="preserve">          6243 - PAPER SUPPLIES</v>
      </c>
      <c r="C41" s="11"/>
      <c r="D41" s="6"/>
      <c r="E41" s="2"/>
      <c r="F41" s="7">
        <f t="shared" si="28"/>
        <v>0</v>
      </c>
      <c r="G41" s="2"/>
      <c r="H41" s="6">
        <v>126.09</v>
      </c>
      <c r="I41" s="2"/>
      <c r="J41" s="7">
        <f t="shared" si="29"/>
        <v>0.10466593065435921</v>
      </c>
      <c r="K41" s="2"/>
      <c r="L41" s="6">
        <f t="shared" si="30"/>
        <v>-126.09</v>
      </c>
      <c r="M41" s="2"/>
      <c r="N41" s="7">
        <f t="shared" si="31"/>
        <v>-1</v>
      </c>
      <c r="O41" s="11"/>
      <c r="P41" s="6"/>
      <c r="Q41" s="2"/>
      <c r="R41" s="7">
        <f t="shared" si="32"/>
        <v>0</v>
      </c>
      <c r="S41" s="2"/>
      <c r="T41" s="6">
        <v>126.09</v>
      </c>
      <c r="U41" s="2"/>
      <c r="V41" s="7">
        <f t="shared" si="33"/>
        <v>7.8704426148670154E-2</v>
      </c>
      <c r="W41" s="2"/>
      <c r="X41" s="6">
        <f t="shared" si="34"/>
        <v>-126.09</v>
      </c>
      <c r="Y41" s="2"/>
      <c r="Z41" s="7">
        <f t="shared" si="35"/>
        <v>-1</v>
      </c>
    </row>
    <row r="42" spans="1:26" s="24" customFormat="1" hidden="1" outlineLevel="2" x14ac:dyDescent="0.25">
      <c r="A42" s="28"/>
      <c r="B42" s="11" t="str">
        <f>CONCATENATE("          ", "6247", " - ", "STORE SUPPLIES")</f>
        <v xml:space="preserve">          6247 - STORE SUPPLIES</v>
      </c>
      <c r="C42" s="11"/>
      <c r="D42" s="6">
        <v>30</v>
      </c>
      <c r="E42" s="2"/>
      <c r="F42" s="7">
        <f t="shared" si="28"/>
        <v>2.5124155200281391E-2</v>
      </c>
      <c r="G42" s="2"/>
      <c r="H42" s="6">
        <v>80.709999999999994</v>
      </c>
      <c r="I42" s="2"/>
      <c r="J42" s="7">
        <f t="shared" si="29"/>
        <v>6.6996488723239989E-2</v>
      </c>
      <c r="K42" s="2"/>
      <c r="L42" s="6">
        <f t="shared" si="30"/>
        <v>-50.709999999999994</v>
      </c>
      <c r="M42" s="2"/>
      <c r="N42" s="7">
        <f t="shared" si="31"/>
        <v>-0.62829884772642797</v>
      </c>
      <c r="O42" s="11"/>
      <c r="P42" s="6">
        <v>252.48</v>
      </c>
      <c r="Q42" s="2"/>
      <c r="R42" s="7">
        <f t="shared" si="32"/>
        <v>0.16712671525309292</v>
      </c>
      <c r="S42" s="2"/>
      <c r="T42" s="6">
        <v>60.71</v>
      </c>
      <c r="U42" s="2"/>
      <c r="V42" s="7">
        <f t="shared" si="33"/>
        <v>3.7894723701211552E-2</v>
      </c>
      <c r="W42" s="2"/>
      <c r="X42" s="6">
        <f t="shared" si="34"/>
        <v>191.76999999999998</v>
      </c>
      <c r="Y42" s="2"/>
      <c r="Z42" s="7">
        <f t="shared" si="35"/>
        <v>3.1587876791302913</v>
      </c>
    </row>
    <row r="43" spans="1:26" s="24" customFormat="1" hidden="1" outlineLevel="2" x14ac:dyDescent="0.25">
      <c r="A43" s="28"/>
      <c r="B43" s="11" t="str">
        <f>CONCATENATE("          ", "6248", " - ", "UNIFORMS")</f>
        <v xml:space="preserve">          6248 - UNIFORMS</v>
      </c>
      <c r="C43" s="11"/>
      <c r="D43" s="6"/>
      <c r="E43" s="2"/>
      <c r="F43" s="7">
        <f t="shared" si="28"/>
        <v>0</v>
      </c>
      <c r="G43" s="2"/>
      <c r="H43" s="6"/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>
        <v>1113.5999999999999</v>
      </c>
      <c r="Q43" s="2"/>
      <c r="R43" s="7">
        <f t="shared" si="32"/>
        <v>0.73713684294139836</v>
      </c>
      <c r="S43" s="2"/>
      <c r="T43" s="6"/>
      <c r="U43" s="2"/>
      <c r="V43" s="7">
        <f t="shared" si="33"/>
        <v>0</v>
      </c>
      <c r="W43" s="2"/>
      <c r="X43" s="6">
        <f t="shared" si="34"/>
        <v>1113.5999999999999</v>
      </c>
      <c r="Y43" s="2"/>
      <c r="Z43" s="7">
        <f t="shared" si="35"/>
        <v>0</v>
      </c>
    </row>
    <row r="44" spans="1:26" s="29" customFormat="1" outlineLevel="1" collapsed="1" x14ac:dyDescent="0.25">
      <c r="A44" s="27"/>
      <c r="B44" s="14" t="str">
        <f>CONCATENATE("     ","Telephone/Data Lines                              ")</f>
        <v xml:space="preserve">     Telephone/Data Lines                              </v>
      </c>
      <c r="C44" s="14"/>
      <c r="D44" s="1">
        <f>SUM(OSRRefD22_7x_0)</f>
        <v>0</v>
      </c>
      <c r="E44" s="1"/>
      <c r="F44" s="5">
        <f t="shared" ref="F44:F45" si="36">IF(D$12=0,0,D44/D$12)</f>
        <v>0</v>
      </c>
      <c r="G44" s="1"/>
      <c r="H44" s="1">
        <f>SUM(OSRRefH22_7x_0)</f>
        <v>40</v>
      </c>
      <c r="I44" s="1"/>
      <c r="J44" s="5">
        <f t="shared" ref="J44:J45" si="37">IF(H$12=0,0,H44/H$12)</f>
        <v>3.3203562742282249E-2</v>
      </c>
      <c r="K44" s="1"/>
      <c r="L44" s="1">
        <f t="shared" ref="L44:L45" si="38">+D44-H44</f>
        <v>-40</v>
      </c>
      <c r="M44" s="1"/>
      <c r="N44" s="5">
        <f t="shared" ref="N44:N45" si="39">IF(H44=0,0,L44/H44)</f>
        <v>-1</v>
      </c>
      <c r="O44" s="14"/>
      <c r="P44" s="1">
        <f>SUM(OSRRefP22_7x_0)</f>
        <v>186.5</v>
      </c>
      <c r="Q44" s="1"/>
      <c r="R44" s="5">
        <f t="shared" ref="R44:R45" si="40">IF(P$12=0,0,P44/P$12)</f>
        <v>0.12345188686114476</v>
      </c>
      <c r="S44" s="1"/>
      <c r="T44" s="1">
        <f>SUM(OSRRefT22_7x_0)</f>
        <v>166.5</v>
      </c>
      <c r="U44" s="1"/>
      <c r="V44" s="5">
        <f t="shared" ref="V44:V45" si="41">IF(T$12=0,0,T44/T$12)</f>
        <v>0.1039280430942468</v>
      </c>
      <c r="W44" s="1"/>
      <c r="X44" s="1">
        <f t="shared" ref="X44:X45" si="42">+P44-T44</f>
        <v>20</v>
      </c>
      <c r="Y44" s="1"/>
      <c r="Z44" s="5">
        <f t="shared" ref="Z44:Z45" si="43">IF(T44=0,0,X44/T44)</f>
        <v>0.12012012012012012</v>
      </c>
    </row>
    <row r="45" spans="1:26" s="24" customFormat="1" hidden="1" outlineLevel="2" x14ac:dyDescent="0.25">
      <c r="A45" s="28"/>
      <c r="B45" s="11" t="str">
        <f>CONCATENATE("          ", "6309", " - ", "TELEPHONE")</f>
        <v xml:space="preserve">          6309 - TELEPHONE</v>
      </c>
      <c r="C45" s="11"/>
      <c r="D45" s="6"/>
      <c r="E45" s="2"/>
      <c r="F45" s="7">
        <f t="shared" si="36"/>
        <v>0</v>
      </c>
      <c r="G45" s="2"/>
      <c r="H45" s="6">
        <v>40</v>
      </c>
      <c r="I45" s="2"/>
      <c r="J45" s="7">
        <f t="shared" si="37"/>
        <v>3.3203562742282249E-2</v>
      </c>
      <c r="K45" s="2"/>
      <c r="L45" s="6">
        <f t="shared" si="38"/>
        <v>-40</v>
      </c>
      <c r="M45" s="2"/>
      <c r="N45" s="7">
        <f t="shared" si="39"/>
        <v>-1</v>
      </c>
      <c r="O45" s="11"/>
      <c r="P45" s="6">
        <v>186.5</v>
      </c>
      <c r="Q45" s="2"/>
      <c r="R45" s="7">
        <f t="shared" si="40"/>
        <v>0.12345188686114476</v>
      </c>
      <c r="S45" s="2"/>
      <c r="T45" s="6">
        <v>166.5</v>
      </c>
      <c r="U45" s="2"/>
      <c r="V45" s="7">
        <f t="shared" si="41"/>
        <v>0.1039280430942468</v>
      </c>
      <c r="W45" s="2"/>
      <c r="X45" s="6">
        <f t="shared" si="42"/>
        <v>20</v>
      </c>
      <c r="Y45" s="2"/>
      <c r="Z45" s="7">
        <f t="shared" si="43"/>
        <v>0.12012012012012012</v>
      </c>
    </row>
    <row r="46" spans="1:26" s="53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5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6" t="s">
        <v>3</v>
      </c>
      <c r="C49" s="26"/>
      <c r="D49" s="21">
        <f>+D21-D23+D47</f>
        <v>-1501.11</v>
      </c>
      <c r="E49" s="13"/>
      <c r="F49" s="20">
        <f>IF(D$12=0,0,D49/D$12)</f>
        <v>-1.2571373537564798</v>
      </c>
      <c r="G49" s="13"/>
      <c r="H49" s="21">
        <f>+H21-H23+H47</f>
        <v>-2084.4499999999998</v>
      </c>
      <c r="I49" s="13"/>
      <c r="J49" s="20">
        <f>IF(H$12=0,0,H49/H$12)</f>
        <v>-1.7302791589537556</v>
      </c>
      <c r="K49" s="15"/>
      <c r="L49" s="21">
        <f>+D49-H49</f>
        <v>583.33999999999992</v>
      </c>
      <c r="M49" s="15"/>
      <c r="N49" s="20">
        <f>IF(H49=0,0,L49/H49)</f>
        <v>-0.27985319868550457</v>
      </c>
      <c r="O49" s="25"/>
      <c r="P49" s="21">
        <f>+P21-P23+P47</f>
        <v>-5438.489999999998</v>
      </c>
      <c r="Q49" s="13"/>
      <c r="R49" s="20">
        <f>IF(P$12=0,0,P49/P$12)</f>
        <v>-3.5999563119327984</v>
      </c>
      <c r="S49" s="13"/>
      <c r="T49" s="21">
        <f>+T21-T23+T47</f>
        <v>-3975.1400000000003</v>
      </c>
      <c r="U49" s="13"/>
      <c r="V49" s="20">
        <f>IF(T$12=0,0,T49/T$12)</f>
        <v>-2.4812523797337196</v>
      </c>
      <c r="W49" s="15"/>
      <c r="X49" s="21">
        <f>+P49-T49</f>
        <v>-1463.3499999999976</v>
      </c>
      <c r="Y49" s="15"/>
      <c r="Z49" s="20">
        <f>IF(T49=0,0,X49/T49)</f>
        <v>0.36812539935700317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1"/>
      <c r="B51" s="10" t="s">
        <v>13</v>
      </c>
      <c r="C51" s="10"/>
      <c r="D51" s="4">
        <v>122.79</v>
      </c>
      <c r="E51" s="4"/>
      <c r="F51" s="12">
        <f>IF(D$12=0,0,D51/D$12)</f>
        <v>0.10283316723475175</v>
      </c>
      <c r="G51" s="4"/>
      <c r="H51" s="4">
        <v>101.77</v>
      </c>
      <c r="I51" s="4"/>
      <c r="J51" s="12">
        <f>IF(H$12=0,0,H51/H$12)</f>
        <v>8.4478164507051604E-2</v>
      </c>
      <c r="K51" s="4"/>
      <c r="L51" s="4">
        <f>+D51-H51</f>
        <v>21.02000000000001</v>
      </c>
      <c r="M51" s="4"/>
      <c r="N51" s="12">
        <f>IF(H51=0,0,L51/H51)</f>
        <v>0.20654416822246252</v>
      </c>
      <c r="O51" s="10"/>
      <c r="P51" s="4">
        <v>162.27000000000001</v>
      </c>
      <c r="Q51" s="4"/>
      <c r="R51" s="12">
        <f>IF(P$12=0,0,P51/P$12)</f>
        <v>0.10741307067537781</v>
      </c>
      <c r="S51" s="4"/>
      <c r="T51" s="4">
        <v>142.34</v>
      </c>
      <c r="U51" s="4"/>
      <c r="V51" s="12">
        <f>IF(T$12=0,0,T51/T$12)</f>
        <v>8.8847553477688232E-2</v>
      </c>
      <c r="W51" s="4"/>
      <c r="X51" s="4">
        <f>+P51-T51</f>
        <v>19.930000000000007</v>
      </c>
      <c r="Y51" s="4"/>
      <c r="Z51" s="12">
        <f>IF(T51=0,0,X51/T51)</f>
        <v>0.14001686103695382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6" t="s">
        <v>4</v>
      </c>
      <c r="C53" s="26"/>
      <c r="D53" s="35">
        <f>+D49-D51</f>
        <v>-1623.8999999999999</v>
      </c>
      <c r="E53" s="13"/>
      <c r="F53" s="30">
        <f>IF(D$12=0,0,D53/D$12)</f>
        <v>-1.3599705209912316</v>
      </c>
      <c r="G53" s="13"/>
      <c r="H53" s="35">
        <f>+H49-H51</f>
        <v>-2186.2199999999998</v>
      </c>
      <c r="I53" s="13"/>
      <c r="J53" s="30">
        <f>IF(H$12=0,0,H53/H$12)</f>
        <v>-1.8147573234608072</v>
      </c>
      <c r="K53" s="15"/>
      <c r="L53" s="35">
        <f>D53-H53</f>
        <v>562.31999999999994</v>
      </c>
      <c r="M53" s="15"/>
      <c r="N53" s="30">
        <f>IF(H53=0,0,L53/H53)</f>
        <v>-0.25721107665285287</v>
      </c>
      <c r="O53" s="25"/>
      <c r="P53" s="35">
        <f>+P49-P51</f>
        <v>-5600.7599999999984</v>
      </c>
      <c r="Q53" s="13"/>
      <c r="R53" s="30">
        <f>IF(P$12=0,0,P53/P$12)</f>
        <v>-3.7073693826081766</v>
      </c>
      <c r="S53" s="13"/>
      <c r="T53" s="35">
        <f>+T49-T51</f>
        <v>-4117.4800000000005</v>
      </c>
      <c r="U53" s="13"/>
      <c r="V53" s="30">
        <f>IF(T$12=0,0,T53/T$12)</f>
        <v>-2.5700999332114076</v>
      </c>
      <c r="W53" s="15"/>
      <c r="X53" s="35">
        <f>P53-T53</f>
        <v>-1483.2799999999979</v>
      </c>
      <c r="Y53" s="15"/>
      <c r="Z53" s="30">
        <f>IF(T53=0,0,X53/T53)</f>
        <v>0.3602397582987647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6" t="s">
        <v>5</v>
      </c>
      <c r="C56" s="26"/>
      <c r="D56" s="36">
        <f>SUM(D53:D55)</f>
        <v>-1623.8999999999999</v>
      </c>
      <c r="E56" s="13"/>
      <c r="F56" s="31">
        <f>IF(D$12=0,0,D56/D$12)</f>
        <v>-1.3599705209912316</v>
      </c>
      <c r="G56" s="13"/>
      <c r="H56" s="36">
        <f>SUM(H53:H55)</f>
        <v>-2186.2199999999998</v>
      </c>
      <c r="I56" s="13"/>
      <c r="J56" s="31">
        <f>IF(H$12=0,0,H56/H$12)</f>
        <v>-1.8147573234608072</v>
      </c>
      <c r="K56" s="15"/>
      <c r="L56" s="36">
        <f>+D56-H56</f>
        <v>562.31999999999994</v>
      </c>
      <c r="M56" s="15"/>
      <c r="N56" s="31">
        <f>IF(H56=0,0,L56/H56)</f>
        <v>-0.25721107665285287</v>
      </c>
      <c r="O56" s="25"/>
      <c r="P56" s="36">
        <f>SUM(P53:P55)</f>
        <v>-5600.7599999999984</v>
      </c>
      <c r="Q56" s="13"/>
      <c r="R56" s="31">
        <f>IF(P$12=0,0,P56/P$12)</f>
        <v>-3.7073693826081766</v>
      </c>
      <c r="S56" s="13"/>
      <c r="T56" s="36">
        <f>SUM(T53:T55)</f>
        <v>-4117.4800000000005</v>
      </c>
      <c r="U56" s="13"/>
      <c r="V56" s="31">
        <f>IF(T$12=0,0,T56/T$12)</f>
        <v>-2.5700999332114076</v>
      </c>
      <c r="W56" s="15"/>
      <c r="X56" s="36">
        <f>+P56-T56</f>
        <v>-1483.2799999999979</v>
      </c>
      <c r="Y56" s="15"/>
      <c r="Z56" s="31">
        <f>IF(T56=0,0,X56/T56)</f>
        <v>0.3602397582987647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A58" s="9"/>
      <c r="B58" s="55">
        <v>43756.463527083331</v>
      </c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56" t="s">
        <v>313</v>
      </c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7"/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","444", " - ", "Parkside Dining Hall")</f>
        <v>Department 444 - Parkside Dining Hall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540956.72</v>
      </c>
      <c r="E12" s="4"/>
      <c r="F12" s="12"/>
      <c r="G12" s="4"/>
      <c r="H12" s="4">
        <f>SUM(OSRRefH13x_0)</f>
        <v>558631.19999999995</v>
      </c>
      <c r="I12" s="4"/>
      <c r="J12" s="12"/>
      <c r="K12" s="4"/>
      <c r="L12" s="4">
        <f t="shared" ref="L12:L15" si="0">+D12-H12</f>
        <v>-17674.479999999981</v>
      </c>
      <c r="M12" s="4"/>
      <c r="N12" s="12">
        <f t="shared" ref="N12:N15" si="1">IF(H12=0,0,L12/H12)</f>
        <v>-3.1638905954411392E-2</v>
      </c>
      <c r="O12" s="10"/>
      <c r="P12" s="4">
        <f>SUM(OSRRefP13x_0)</f>
        <v>942462.93</v>
      </c>
      <c r="Q12" s="4"/>
      <c r="R12" s="12"/>
      <c r="S12" s="4"/>
      <c r="T12" s="4">
        <f>SUM(OSRRefT13x_0)</f>
        <v>950496.29000000015</v>
      </c>
      <c r="U12" s="4"/>
      <c r="V12" s="12"/>
      <c r="W12" s="4"/>
      <c r="X12" s="4">
        <f t="shared" ref="X12:X15" si="2">+P12-T12</f>
        <v>-8033.3600000001024</v>
      </c>
      <c r="Y12" s="4"/>
      <c r="Z12" s="12">
        <f t="shared" ref="Z12:Z15" si="3">IF(T12=0,0,X12/T12)</f>
        <v>-8.4517531362485396E-3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--579.61</f>
        <v>579.61</v>
      </c>
      <c r="E13" s="2"/>
      <c r="F13" s="19"/>
      <c r="G13" s="2"/>
      <c r="H13" s="2">
        <f>--523.89</f>
        <v>523.89</v>
      </c>
      <c r="I13" s="2"/>
      <c r="J13" s="19"/>
      <c r="K13" s="2"/>
      <c r="L13" s="2">
        <f t="shared" si="0"/>
        <v>55.720000000000027</v>
      </c>
      <c r="M13" s="2"/>
      <c r="N13" s="19">
        <f t="shared" si="1"/>
        <v>0.10635820496669153</v>
      </c>
      <c r="O13" s="11"/>
      <c r="P13" s="2">
        <f>--1278.03</f>
        <v>1278.03</v>
      </c>
      <c r="Q13" s="2"/>
      <c r="R13" s="19"/>
      <c r="S13" s="2"/>
      <c r="T13" s="2">
        <f>--822.92</f>
        <v>822.92</v>
      </c>
      <c r="U13" s="2"/>
      <c r="V13" s="19"/>
      <c r="W13" s="2"/>
      <c r="X13" s="2">
        <f t="shared" si="2"/>
        <v>455.11</v>
      </c>
      <c r="Y13" s="2"/>
      <c r="Z13" s="19">
        <f t="shared" si="3"/>
        <v>0.55304282311767861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--535163.52</f>
        <v>535163.52</v>
      </c>
      <c r="E14" s="2"/>
      <c r="F14" s="19"/>
      <c r="G14" s="2"/>
      <c r="H14" s="2">
        <f>--551255.86</f>
        <v>551255.86</v>
      </c>
      <c r="I14" s="2"/>
      <c r="J14" s="19"/>
      <c r="K14" s="2"/>
      <c r="L14" s="2">
        <f t="shared" si="0"/>
        <v>-16092.339999999967</v>
      </c>
      <c r="M14" s="2"/>
      <c r="N14" s="19">
        <f t="shared" si="1"/>
        <v>-2.9192143191003841E-2</v>
      </c>
      <c r="O14" s="11"/>
      <c r="P14" s="2">
        <f>--917325.43</f>
        <v>917325.43</v>
      </c>
      <c r="Q14" s="2"/>
      <c r="R14" s="19"/>
      <c r="S14" s="2"/>
      <c r="T14" s="2">
        <f>--916964.56</f>
        <v>916964.56</v>
      </c>
      <c r="U14" s="2"/>
      <c r="V14" s="19"/>
      <c r="W14" s="2"/>
      <c r="X14" s="2">
        <f t="shared" si="2"/>
        <v>360.86999999999534</v>
      </c>
      <c r="Y14" s="2"/>
      <c r="Z14" s="19">
        <f t="shared" si="3"/>
        <v>3.9354847040107559E-4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--5213.59</f>
        <v>5213.59</v>
      </c>
      <c r="E15" s="2"/>
      <c r="F15" s="19"/>
      <c r="G15" s="2"/>
      <c r="H15" s="2">
        <f>--6851.45</f>
        <v>6851.45</v>
      </c>
      <c r="I15" s="2"/>
      <c r="J15" s="19"/>
      <c r="K15" s="2"/>
      <c r="L15" s="2">
        <f t="shared" si="0"/>
        <v>-1637.8599999999997</v>
      </c>
      <c r="M15" s="2"/>
      <c r="N15" s="19">
        <f t="shared" si="1"/>
        <v>-0.23905304716519857</v>
      </c>
      <c r="O15" s="11"/>
      <c r="P15" s="2">
        <f>--23859.47</f>
        <v>23859.47</v>
      </c>
      <c r="Q15" s="2"/>
      <c r="R15" s="19"/>
      <c r="S15" s="2"/>
      <c r="T15" s="2">
        <f>--32708.81</f>
        <v>32708.81</v>
      </c>
      <c r="U15" s="2"/>
      <c r="V15" s="19"/>
      <c r="W15" s="2"/>
      <c r="X15" s="2">
        <f t="shared" si="2"/>
        <v>-8849.34</v>
      </c>
      <c r="Y15" s="2"/>
      <c r="Z15" s="19">
        <f t="shared" si="3"/>
        <v>-0.27054912728405589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120972.92</v>
      </c>
      <c r="E17" s="4"/>
      <c r="F17" s="12">
        <f t="shared" ref="F17:F19" si="4">IF(D$12=0,0,D17/D$12)</f>
        <v>0.22362772385931357</v>
      </c>
      <c r="G17" s="4"/>
      <c r="H17" s="4">
        <f>SUM(OSRRefH16x_0)</f>
        <v>117701.84999999999</v>
      </c>
      <c r="I17" s="4"/>
      <c r="J17" s="12">
        <f t="shared" ref="J17:J19" si="5">IF(H$12=0,0,H17/H$12)</f>
        <v>0.21069687836984399</v>
      </c>
      <c r="K17" s="4"/>
      <c r="L17" s="4">
        <f t="shared" ref="L17:L19" si="6">+D17-H17</f>
        <v>3271.070000000007</v>
      </c>
      <c r="M17" s="4"/>
      <c r="N17" s="12">
        <f t="shared" ref="N17:N19" si="7">IF(H17=0,0,L17/H17)</f>
        <v>2.7791151965750813E-2</v>
      </c>
      <c r="O17" s="10"/>
      <c r="P17" s="4">
        <f>SUM(OSRRefP16x_0)</f>
        <v>252545.42</v>
      </c>
      <c r="Q17" s="4"/>
      <c r="R17" s="12">
        <f t="shared" ref="R17:R19" si="8">IF(P$12=0,0,P17/P$12)</f>
        <v>0.26796323967882746</v>
      </c>
      <c r="S17" s="4"/>
      <c r="T17" s="4">
        <f>SUM(OSRRefT16x_0)</f>
        <v>265407.44</v>
      </c>
      <c r="U17" s="4"/>
      <c r="V17" s="12">
        <f t="shared" ref="V17:V19" si="9">IF(T$12=0,0,T17/T$12)</f>
        <v>0.27923037974193454</v>
      </c>
      <c r="W17" s="4"/>
      <c r="X17" s="4">
        <f t="shared" ref="X17:X19" si="10">+P17-T17</f>
        <v>-12862.01999999999</v>
      </c>
      <c r="Y17" s="4"/>
      <c r="Z17" s="12">
        <f t="shared" ref="Z17:Z19" si="11">IF(T17=0,0,X17/T17)</f>
        <v>-4.8461414646100313E-2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116290.92</v>
      </c>
      <c r="E18" s="2"/>
      <c r="F18" s="19">
        <f t="shared" si="4"/>
        <v>0.21497268764865329</v>
      </c>
      <c r="G18" s="2"/>
      <c r="H18" s="2">
        <v>116072.34999999999</v>
      </c>
      <c r="I18" s="2"/>
      <c r="J18" s="19">
        <f t="shared" si="5"/>
        <v>0.20777992707890286</v>
      </c>
      <c r="K18" s="2"/>
      <c r="L18" s="2">
        <f t="shared" si="6"/>
        <v>218.57000000000698</v>
      </c>
      <c r="M18" s="2"/>
      <c r="N18" s="19">
        <f t="shared" si="7"/>
        <v>1.8830496668673202E-3</v>
      </c>
      <c r="O18" s="11"/>
      <c r="P18" s="2">
        <v>259944.17</v>
      </c>
      <c r="Q18" s="2"/>
      <c r="R18" s="19">
        <f t="shared" si="8"/>
        <v>0.27581368107496812</v>
      </c>
      <c r="S18" s="2"/>
      <c r="T18" s="2">
        <v>275736.94</v>
      </c>
      <c r="U18" s="2"/>
      <c r="V18" s="19">
        <f t="shared" si="9"/>
        <v>0.29009786035040702</v>
      </c>
      <c r="W18" s="2"/>
      <c r="X18" s="2">
        <f t="shared" si="10"/>
        <v>-15792.76999999999</v>
      </c>
      <c r="Y18" s="2"/>
      <c r="Z18" s="19">
        <f t="shared" si="11"/>
        <v>-5.727477065640893E-2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4682</v>
      </c>
      <c r="E19" s="2"/>
      <c r="F19" s="19">
        <f t="shared" si="4"/>
        <v>8.6550362106602545E-3</v>
      </c>
      <c r="G19" s="2"/>
      <c r="H19" s="2">
        <v>1629.5</v>
      </c>
      <c r="I19" s="2"/>
      <c r="J19" s="19">
        <f t="shared" si="5"/>
        <v>2.9169512909411437E-3</v>
      </c>
      <c r="K19" s="2"/>
      <c r="L19" s="2">
        <f t="shared" si="6"/>
        <v>3052.5</v>
      </c>
      <c r="M19" s="2"/>
      <c r="N19" s="19">
        <f t="shared" si="7"/>
        <v>1.873274010432648</v>
      </c>
      <c r="O19" s="11"/>
      <c r="P19" s="2">
        <v>-7398.75</v>
      </c>
      <c r="Q19" s="2"/>
      <c r="R19" s="19">
        <f t="shared" si="8"/>
        <v>-7.8504413961406408E-3</v>
      </c>
      <c r="S19" s="2"/>
      <c r="T19" s="2">
        <v>-10329.5</v>
      </c>
      <c r="U19" s="2"/>
      <c r="V19" s="19">
        <f t="shared" si="9"/>
        <v>-1.0867480608472441E-2</v>
      </c>
      <c r="W19" s="2"/>
      <c r="X19" s="2">
        <f t="shared" si="10"/>
        <v>2930.75</v>
      </c>
      <c r="Y19" s="2"/>
      <c r="Z19" s="19">
        <f t="shared" si="11"/>
        <v>-0.28372622101747424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6</v>
      </c>
      <c r="C21" s="26"/>
      <c r="D21" s="21">
        <f>D12-D17</f>
        <v>419983.8</v>
      </c>
      <c r="E21" s="13"/>
      <c r="F21" s="20">
        <f>IF(D$12=0,0,D21/D$12)</f>
        <v>0.77637227614068649</v>
      </c>
      <c r="G21" s="13"/>
      <c r="H21" s="21">
        <f>H12-H17</f>
        <v>440929.35</v>
      </c>
      <c r="I21" s="13"/>
      <c r="J21" s="20">
        <f>IF(H$12=0,0,H21/H$12)</f>
        <v>0.78930312163015603</v>
      </c>
      <c r="K21" s="15"/>
      <c r="L21" s="21">
        <f>+D21-H21</f>
        <v>-20945.549999999988</v>
      </c>
      <c r="M21" s="15"/>
      <c r="N21" s="20">
        <f>IF(H21=0,0,L21/H21)</f>
        <v>-4.7503188435970498E-2</v>
      </c>
      <c r="O21" s="25"/>
      <c r="P21" s="21">
        <f>P12-P17</f>
        <v>689917.51</v>
      </c>
      <c r="Q21" s="13"/>
      <c r="R21" s="20">
        <f>IF(P$12=0,0,P21/P$12)</f>
        <v>0.73203676032117249</v>
      </c>
      <c r="S21" s="13"/>
      <c r="T21" s="21">
        <f>T12-T17</f>
        <v>685088.85000000009</v>
      </c>
      <c r="U21" s="13"/>
      <c r="V21" s="20">
        <f>IF(T$12=0,0,T21/T$12)</f>
        <v>0.72076962025806535</v>
      </c>
      <c r="W21" s="15"/>
      <c r="X21" s="21">
        <f>+P21-T21</f>
        <v>4828.6599999999162</v>
      </c>
      <c r="Y21" s="15"/>
      <c r="Z21" s="20">
        <f>IF(T21=0,0,X21/T21)</f>
        <v>7.048224474825295E-3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2">
        <f>SUM(OSRRefD22x_0)</f>
        <v>208457.49000000002</v>
      </c>
      <c r="E23" s="22"/>
      <c r="F23" s="34">
        <f t="shared" ref="F23:F33" si="12">IF(D$12=0,0,D23/D$12)</f>
        <v>0.38534966346291072</v>
      </c>
      <c r="G23" s="22"/>
      <c r="H23" s="22">
        <f>SUM(OSRRefH22x_0)</f>
        <v>182890.41</v>
      </c>
      <c r="I23" s="22"/>
      <c r="J23" s="34">
        <f t="shared" ref="J23:J33" si="13">IF(H$12=0,0,H23/H$12)</f>
        <v>0.32739025317597731</v>
      </c>
      <c r="K23" s="4"/>
      <c r="L23" s="22">
        <f t="shared" ref="L23:L33" si="14">+D23-H23</f>
        <v>25567.080000000016</v>
      </c>
      <c r="M23" s="4"/>
      <c r="N23" s="34">
        <f t="shared" ref="N23:N33" si="15">IF(H23=0,0,L23/H23)</f>
        <v>0.13979453597375618</v>
      </c>
      <c r="O23" s="10"/>
      <c r="P23" s="22">
        <f>SUM(OSRRefP22x_0)</f>
        <v>500286.56000000006</v>
      </c>
      <c r="Q23" s="22"/>
      <c r="R23" s="34">
        <f t="shared" ref="R23:R33" si="16">IF(P$12=0,0,P23/P$12)</f>
        <v>0.53082889955151868</v>
      </c>
      <c r="S23" s="22"/>
      <c r="T23" s="22">
        <f>SUM(OSRRefT22x_0)</f>
        <v>459454.09</v>
      </c>
      <c r="U23" s="22"/>
      <c r="V23" s="34">
        <f t="shared" ref="V23:V33" si="17">IF(T$12=0,0,T23/T$12)</f>
        <v>0.48338335965519652</v>
      </c>
      <c r="W23" s="4"/>
      <c r="X23" s="22">
        <f t="shared" ref="X23:X33" si="18">+P23-T23</f>
        <v>40832.47000000003</v>
      </c>
      <c r="Y23" s="4"/>
      <c r="Z23" s="34">
        <f t="shared" ref="Z23:Z33" si="19">IF(T23=0,0,X23/T23)</f>
        <v>8.8871708596608701E-2</v>
      </c>
    </row>
    <row r="24" spans="1:26" s="29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33212.689999999995</v>
      </c>
      <c r="E24" s="1"/>
      <c r="F24" s="5">
        <f t="shared" si="12"/>
        <v>6.1396205596632565E-2</v>
      </c>
      <c r="G24" s="1"/>
      <c r="H24" s="1">
        <f>SUM(OSRRefH22_0x_0)</f>
        <v>30164.199999999997</v>
      </c>
      <c r="I24" s="1"/>
      <c r="J24" s="5">
        <f t="shared" si="13"/>
        <v>5.3996626038789096E-2</v>
      </c>
      <c r="K24" s="1"/>
      <c r="L24" s="1">
        <f t="shared" si="14"/>
        <v>3048.489999999998</v>
      </c>
      <c r="M24" s="1"/>
      <c r="N24" s="5">
        <f t="shared" si="15"/>
        <v>0.10106318085677718</v>
      </c>
      <c r="O24" s="14"/>
      <c r="P24" s="1">
        <f>SUM(OSRRefP22_0x_0)</f>
        <v>100204.04</v>
      </c>
      <c r="Q24" s="1"/>
      <c r="R24" s="5">
        <f t="shared" si="16"/>
        <v>0.10632146560926273</v>
      </c>
      <c r="S24" s="1"/>
      <c r="T24" s="1">
        <f>SUM(OSRRefT22_0x_0)</f>
        <v>85302.84</v>
      </c>
      <c r="U24" s="1"/>
      <c r="V24" s="5">
        <f t="shared" si="17"/>
        <v>8.9745579122670727E-2</v>
      </c>
      <c r="W24" s="1"/>
      <c r="X24" s="1">
        <f t="shared" si="18"/>
        <v>14901.199999999997</v>
      </c>
      <c r="Y24" s="1"/>
      <c r="Z24" s="5">
        <f t="shared" si="19"/>
        <v>0.17468586040042744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6">
        <v>4491.6499999999996</v>
      </c>
      <c r="E25" s="2"/>
      <c r="F25" s="7">
        <f t="shared" si="12"/>
        <v>8.3031596316984462E-3</v>
      </c>
      <c r="G25" s="2"/>
      <c r="H25" s="6">
        <v>4383.4399999999996</v>
      </c>
      <c r="I25" s="2"/>
      <c r="J25" s="7">
        <f t="shared" si="13"/>
        <v>7.8467511302626851E-3</v>
      </c>
      <c r="K25" s="2"/>
      <c r="L25" s="6">
        <f t="shared" si="14"/>
        <v>108.21000000000004</v>
      </c>
      <c r="M25" s="2"/>
      <c r="N25" s="7">
        <f t="shared" si="15"/>
        <v>2.468609128903328E-2</v>
      </c>
      <c r="O25" s="11"/>
      <c r="P25" s="6">
        <v>14623.26</v>
      </c>
      <c r="Q25" s="2"/>
      <c r="R25" s="7">
        <f t="shared" si="16"/>
        <v>1.5516005494242622E-2</v>
      </c>
      <c r="S25" s="2"/>
      <c r="T25" s="6">
        <v>14204.22</v>
      </c>
      <c r="U25" s="2"/>
      <c r="V25" s="7">
        <f t="shared" si="17"/>
        <v>1.4944003621518603E-2</v>
      </c>
      <c r="W25" s="2"/>
      <c r="X25" s="6">
        <f t="shared" si="18"/>
        <v>419.04000000000087</v>
      </c>
      <c r="Y25" s="2"/>
      <c r="Z25" s="7">
        <f t="shared" si="19"/>
        <v>2.9501091929018342E-2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6">
        <v>4149.25</v>
      </c>
      <c r="E26" s="2"/>
      <c r="F26" s="7">
        <f t="shared" si="12"/>
        <v>7.67020696221317E-3</v>
      </c>
      <c r="G26" s="2"/>
      <c r="H26" s="6"/>
      <c r="I26" s="2"/>
      <c r="J26" s="7">
        <f t="shared" si="13"/>
        <v>0</v>
      </c>
      <c r="K26" s="2"/>
      <c r="L26" s="6">
        <f t="shared" si="14"/>
        <v>4149.25</v>
      </c>
      <c r="M26" s="2"/>
      <c r="N26" s="7">
        <f t="shared" si="15"/>
        <v>0</v>
      </c>
      <c r="O26" s="11"/>
      <c r="P26" s="6">
        <v>9580.01</v>
      </c>
      <c r="Q26" s="2"/>
      <c r="R26" s="7">
        <f t="shared" si="16"/>
        <v>1.0164866643614301E-2</v>
      </c>
      <c r="S26" s="2"/>
      <c r="T26" s="6">
        <v>5615.85</v>
      </c>
      <c r="U26" s="2"/>
      <c r="V26" s="7">
        <f t="shared" si="17"/>
        <v>5.9083344765080564E-3</v>
      </c>
      <c r="W26" s="2"/>
      <c r="X26" s="6">
        <f t="shared" si="18"/>
        <v>3964.16</v>
      </c>
      <c r="Y26" s="2"/>
      <c r="Z26" s="7">
        <f t="shared" si="19"/>
        <v>0.70588779970975002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6">
        <v>16686.48</v>
      </c>
      <c r="E27" s="2"/>
      <c r="F27" s="7">
        <f t="shared" si="12"/>
        <v>3.0846238493903912E-2</v>
      </c>
      <c r="G27" s="2"/>
      <c r="H27" s="6">
        <v>17882.009999999998</v>
      </c>
      <c r="I27" s="2"/>
      <c r="J27" s="7">
        <f t="shared" si="13"/>
        <v>3.2010403285745587E-2</v>
      </c>
      <c r="K27" s="2"/>
      <c r="L27" s="6">
        <f t="shared" si="14"/>
        <v>-1195.5299999999988</v>
      </c>
      <c r="M27" s="2"/>
      <c r="N27" s="7">
        <f t="shared" si="15"/>
        <v>-6.6856578203456932E-2</v>
      </c>
      <c r="O27" s="11"/>
      <c r="P27" s="6">
        <v>50059.44</v>
      </c>
      <c r="Q27" s="2"/>
      <c r="R27" s="7">
        <f t="shared" si="16"/>
        <v>5.3115553308818203E-2</v>
      </c>
      <c r="S27" s="2"/>
      <c r="T27" s="6">
        <v>40642.76</v>
      </c>
      <c r="U27" s="2"/>
      <c r="V27" s="7">
        <f t="shared" si="17"/>
        <v>4.2759514611045976E-2</v>
      </c>
      <c r="W27" s="2"/>
      <c r="X27" s="6">
        <f t="shared" si="18"/>
        <v>9416.68</v>
      </c>
      <c r="Y27" s="2"/>
      <c r="Z27" s="7">
        <f t="shared" si="19"/>
        <v>0.23169391055135036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6">
        <v>278.02999999999997</v>
      </c>
      <c r="E28" s="2"/>
      <c r="F28" s="7">
        <f t="shared" si="12"/>
        <v>5.139597859141116E-4</v>
      </c>
      <c r="G28" s="2"/>
      <c r="H28" s="6">
        <v>250.6</v>
      </c>
      <c r="I28" s="2"/>
      <c r="J28" s="7">
        <f t="shared" si="13"/>
        <v>4.4859649801156829E-4</v>
      </c>
      <c r="K28" s="2"/>
      <c r="L28" s="6">
        <f t="shared" si="14"/>
        <v>27.429999999999978</v>
      </c>
      <c r="M28" s="2"/>
      <c r="N28" s="7">
        <f t="shared" si="15"/>
        <v>0.10945730247406217</v>
      </c>
      <c r="O28" s="11"/>
      <c r="P28" s="6">
        <v>641.92999999999995</v>
      </c>
      <c r="Q28" s="2"/>
      <c r="R28" s="7">
        <f t="shared" si="16"/>
        <v>6.8111962769718687E-4</v>
      </c>
      <c r="S28" s="2"/>
      <c r="T28" s="6">
        <v>667.76</v>
      </c>
      <c r="U28" s="2"/>
      <c r="V28" s="7">
        <f t="shared" si="17"/>
        <v>7.0253824978106947E-4</v>
      </c>
      <c r="W28" s="2"/>
      <c r="X28" s="6">
        <f t="shared" si="18"/>
        <v>-25.830000000000041</v>
      </c>
      <c r="Y28" s="2"/>
      <c r="Z28" s="7">
        <f t="shared" si="19"/>
        <v>-3.8681562237929859E-2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6">
        <v>1216.6600000000001</v>
      </c>
      <c r="E29" s="2"/>
      <c r="F29" s="7">
        <f t="shared" si="12"/>
        <v>2.2490893541353921E-3</v>
      </c>
      <c r="G29" s="2"/>
      <c r="H29" s="6">
        <v>1114.74</v>
      </c>
      <c r="I29" s="2"/>
      <c r="J29" s="7">
        <f t="shared" si="13"/>
        <v>1.9954846775475485E-3</v>
      </c>
      <c r="K29" s="2"/>
      <c r="L29" s="6">
        <f t="shared" si="14"/>
        <v>101.92000000000007</v>
      </c>
      <c r="M29" s="2"/>
      <c r="N29" s="7">
        <f t="shared" si="15"/>
        <v>9.1429391607011565E-2</v>
      </c>
      <c r="O29" s="11"/>
      <c r="P29" s="6">
        <v>3649.98</v>
      </c>
      <c r="Q29" s="2"/>
      <c r="R29" s="7">
        <f t="shared" si="16"/>
        <v>3.8728101486177283E-3</v>
      </c>
      <c r="S29" s="2"/>
      <c r="T29" s="6">
        <v>3258.38</v>
      </c>
      <c r="U29" s="2"/>
      <c r="V29" s="7">
        <f t="shared" si="17"/>
        <v>3.4280828176614974E-3</v>
      </c>
      <c r="W29" s="2"/>
      <c r="X29" s="6">
        <f t="shared" si="18"/>
        <v>391.59999999999991</v>
      </c>
      <c r="Y29" s="2"/>
      <c r="Z29" s="7">
        <f t="shared" si="19"/>
        <v>0.1201824219397369</v>
      </c>
    </row>
    <row r="30" spans="1:26" s="24" customFormat="1" hidden="1" outlineLevel="2" x14ac:dyDescent="0.25">
      <c r="A30" s="28"/>
      <c r="B30" s="11" t="str">
        <f>CONCATENATE("          ", "6117", " - ", "RETIREMENT STAFF HOURLY")</f>
        <v xml:space="preserve">          6117 - RETIREMENT STAFF HOURLY</v>
      </c>
      <c r="C30" s="11"/>
      <c r="D30" s="6">
        <v>1023.16</v>
      </c>
      <c r="E30" s="2"/>
      <c r="F30" s="7">
        <f t="shared" si="12"/>
        <v>1.8913897585004582E-3</v>
      </c>
      <c r="G30" s="2"/>
      <c r="H30" s="6">
        <v>1062.25</v>
      </c>
      <c r="I30" s="2"/>
      <c r="J30" s="7">
        <f t="shared" si="13"/>
        <v>1.9015228651747345E-3</v>
      </c>
      <c r="K30" s="2"/>
      <c r="L30" s="6">
        <f t="shared" si="14"/>
        <v>-39.090000000000032</v>
      </c>
      <c r="M30" s="2"/>
      <c r="N30" s="7">
        <f t="shared" si="15"/>
        <v>-3.6799246881619237E-2</v>
      </c>
      <c r="O30" s="11"/>
      <c r="P30" s="6">
        <v>2293.7199999999998</v>
      </c>
      <c r="Q30" s="2"/>
      <c r="R30" s="7">
        <f t="shared" si="16"/>
        <v>2.4337508956453063E-3</v>
      </c>
      <c r="S30" s="2"/>
      <c r="T30" s="6">
        <v>2310.75</v>
      </c>
      <c r="U30" s="2"/>
      <c r="V30" s="7">
        <f t="shared" si="17"/>
        <v>2.4310983896633615E-3</v>
      </c>
      <c r="W30" s="2"/>
      <c r="X30" s="6">
        <f t="shared" si="18"/>
        <v>-17.0300000000002</v>
      </c>
      <c r="Y30" s="2"/>
      <c r="Z30" s="7">
        <f t="shared" si="19"/>
        <v>-7.369901547116824E-3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6">
        <v>2637.87</v>
      </c>
      <c r="E31" s="2"/>
      <c r="F31" s="7">
        <f t="shared" si="12"/>
        <v>4.8763050766797017E-3</v>
      </c>
      <c r="G31" s="2"/>
      <c r="H31" s="6">
        <v>2548.98</v>
      </c>
      <c r="I31" s="2"/>
      <c r="J31" s="7">
        <f t="shared" si="13"/>
        <v>4.5629030387131977E-3</v>
      </c>
      <c r="K31" s="2"/>
      <c r="L31" s="6">
        <f t="shared" si="14"/>
        <v>88.889999999999873</v>
      </c>
      <c r="M31" s="2"/>
      <c r="N31" s="7">
        <f t="shared" si="15"/>
        <v>3.4872772638467102E-2</v>
      </c>
      <c r="O31" s="11"/>
      <c r="P31" s="6">
        <v>8731.1200000000008</v>
      </c>
      <c r="Q31" s="2"/>
      <c r="R31" s="7">
        <f t="shared" si="16"/>
        <v>9.2641521720116891E-3</v>
      </c>
      <c r="S31" s="2"/>
      <c r="T31" s="6">
        <v>8252.33</v>
      </c>
      <c r="U31" s="2"/>
      <c r="V31" s="7">
        <f t="shared" si="17"/>
        <v>8.6821275230858589E-3</v>
      </c>
      <c r="W31" s="2"/>
      <c r="X31" s="6">
        <f t="shared" si="18"/>
        <v>478.79000000000087</v>
      </c>
      <c r="Y31" s="2"/>
      <c r="Z31" s="7">
        <f t="shared" si="19"/>
        <v>5.8018765609228043E-2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6">
        <v>1637.04</v>
      </c>
      <c r="E32" s="2"/>
      <c r="F32" s="7">
        <f t="shared" si="12"/>
        <v>3.0261940363731873E-3</v>
      </c>
      <c r="G32" s="2"/>
      <c r="H32" s="6">
        <v>1581.95</v>
      </c>
      <c r="I32" s="2"/>
      <c r="J32" s="7">
        <f t="shared" si="13"/>
        <v>2.831832522064647E-3</v>
      </c>
      <c r="K32" s="2"/>
      <c r="L32" s="6">
        <f t="shared" si="14"/>
        <v>55.089999999999918</v>
      </c>
      <c r="M32" s="2"/>
      <c r="N32" s="7">
        <f t="shared" si="15"/>
        <v>3.4824109485129061E-2</v>
      </c>
      <c r="O32" s="11"/>
      <c r="P32" s="6">
        <v>7003.37</v>
      </c>
      <c r="Q32" s="2"/>
      <c r="R32" s="7">
        <f t="shared" si="16"/>
        <v>7.4309235695880363E-3</v>
      </c>
      <c r="S32" s="2"/>
      <c r="T32" s="6">
        <v>6513.32</v>
      </c>
      <c r="U32" s="2"/>
      <c r="V32" s="7">
        <f t="shared" si="17"/>
        <v>6.8525464733797106E-3</v>
      </c>
      <c r="W32" s="2"/>
      <c r="X32" s="6">
        <f t="shared" si="18"/>
        <v>490.05000000000018</v>
      </c>
      <c r="Y32" s="2"/>
      <c r="Z32" s="7">
        <f t="shared" si="19"/>
        <v>7.5238127406606806E-2</v>
      </c>
    </row>
    <row r="33" spans="1:26" s="24" customFormat="1" hidden="1" outlineLevel="2" x14ac:dyDescent="0.25">
      <c r="A33" s="28"/>
      <c r="B33" s="11" t="str">
        <f>CONCATENATE("          ", "6156", " - ", "EMPLOYEE MEALS")</f>
        <v xml:space="preserve">          6156 - EMPLOYEE MEALS</v>
      </c>
      <c r="C33" s="11"/>
      <c r="D33" s="6">
        <v>1092.55</v>
      </c>
      <c r="E33" s="2"/>
      <c r="F33" s="7">
        <f t="shared" si="12"/>
        <v>2.0196624972141949E-3</v>
      </c>
      <c r="G33" s="2"/>
      <c r="H33" s="6">
        <v>1340.23</v>
      </c>
      <c r="I33" s="2"/>
      <c r="J33" s="7">
        <f t="shared" si="13"/>
        <v>2.399132021269131E-3</v>
      </c>
      <c r="K33" s="2"/>
      <c r="L33" s="6">
        <f t="shared" si="14"/>
        <v>-247.68000000000006</v>
      </c>
      <c r="M33" s="2"/>
      <c r="N33" s="7">
        <f t="shared" si="15"/>
        <v>-0.18480410078867066</v>
      </c>
      <c r="O33" s="11"/>
      <c r="P33" s="6">
        <v>3621.21</v>
      </c>
      <c r="Q33" s="2"/>
      <c r="R33" s="7">
        <f t="shared" si="16"/>
        <v>3.8422837490276673E-3</v>
      </c>
      <c r="S33" s="2"/>
      <c r="T33" s="6">
        <v>3837.47</v>
      </c>
      <c r="U33" s="2"/>
      <c r="V33" s="7">
        <f t="shared" si="17"/>
        <v>4.0373329600265975E-3</v>
      </c>
      <c r="W33" s="2"/>
      <c r="X33" s="6">
        <f t="shared" si="18"/>
        <v>-216.25999999999976</v>
      </c>
      <c r="Y33" s="2"/>
      <c r="Z33" s="7">
        <f t="shared" si="19"/>
        <v>-5.6354837953130517E-2</v>
      </c>
    </row>
    <row r="34" spans="1:26" s="29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106053.77</v>
      </c>
      <c r="E34" s="1"/>
      <c r="F34" s="5">
        <f t="shared" ref="F34:F40" si="20">IF(D$12=0,0,D34/D$12)</f>
        <v>0.19604853046284371</v>
      </c>
      <c r="G34" s="1"/>
      <c r="H34" s="1">
        <f>SUM(OSRRefH22_1x_0)</f>
        <v>93561.489999999991</v>
      </c>
      <c r="I34" s="1"/>
      <c r="J34" s="5">
        <f t="shared" ref="J34:J40" si="21">IF(H$12=0,0,H34/H$12)</f>
        <v>0.16748346673082348</v>
      </c>
      <c r="K34" s="1"/>
      <c r="L34" s="1">
        <f t="shared" ref="L34:L40" si="22">+D34-H34</f>
        <v>12492.280000000013</v>
      </c>
      <c r="M34" s="1"/>
      <c r="N34" s="5">
        <f t="shared" ref="N34:N40" si="23">IF(H34=0,0,L34/H34)</f>
        <v>0.13351946404444837</v>
      </c>
      <c r="O34" s="14"/>
      <c r="P34" s="1">
        <f>SUM(OSRRefP22_1x_0)</f>
        <v>263133.11</v>
      </c>
      <c r="Q34" s="1"/>
      <c r="R34" s="5">
        <f t="shared" ref="R34:R40" si="24">IF(P$12=0,0,P34/P$12)</f>
        <v>0.27919730487436784</v>
      </c>
      <c r="S34" s="1"/>
      <c r="T34" s="1">
        <f>SUM(OSRRefT22_1x_0)</f>
        <v>245235</v>
      </c>
      <c r="U34" s="1"/>
      <c r="V34" s="5">
        <f t="shared" ref="V34:V40" si="25">IF(T$12=0,0,T34/T$12)</f>
        <v>0.2580073195235722</v>
      </c>
      <c r="W34" s="1"/>
      <c r="X34" s="1">
        <f t="shared" ref="X34:X40" si="26">+P34-T34</f>
        <v>17898.109999999986</v>
      </c>
      <c r="Y34" s="1"/>
      <c r="Z34" s="5">
        <f t="shared" ref="Z34:Z40" si="27">IF(T34=0,0,X34/T34)</f>
        <v>7.2983505617061128E-2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6">
        <v>14132.89</v>
      </c>
      <c r="E35" s="2"/>
      <c r="F35" s="7">
        <f t="shared" si="20"/>
        <v>2.612573146332298E-2</v>
      </c>
      <c r="G35" s="2"/>
      <c r="H35" s="6">
        <v>14095.92</v>
      </c>
      <c r="I35" s="2"/>
      <c r="J35" s="7">
        <f t="shared" si="21"/>
        <v>2.5232962283524445E-2</v>
      </c>
      <c r="K35" s="2"/>
      <c r="L35" s="6">
        <f t="shared" si="22"/>
        <v>36.969999999999345</v>
      </c>
      <c r="M35" s="2"/>
      <c r="N35" s="7">
        <f t="shared" si="23"/>
        <v>2.6227447374842752E-3</v>
      </c>
      <c r="O35" s="11"/>
      <c r="P35" s="6">
        <v>46434.67</v>
      </c>
      <c r="Q35" s="2"/>
      <c r="R35" s="7">
        <f t="shared" si="24"/>
        <v>4.9269492222893049E-2</v>
      </c>
      <c r="S35" s="2"/>
      <c r="T35" s="6">
        <v>40610.86</v>
      </c>
      <c r="U35" s="2"/>
      <c r="V35" s="7">
        <f t="shared" si="25"/>
        <v>4.2725953196513788E-2</v>
      </c>
      <c r="W35" s="2"/>
      <c r="X35" s="6">
        <f t="shared" si="26"/>
        <v>5823.8099999999977</v>
      </c>
      <c r="Y35" s="2"/>
      <c r="Z35" s="7">
        <f t="shared" si="27"/>
        <v>0.14340523692431034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6">
        <v>21827.75</v>
      </c>
      <c r="E36" s="2"/>
      <c r="F36" s="7">
        <f t="shared" si="20"/>
        <v>4.0350270535506057E-2</v>
      </c>
      <c r="G36" s="2"/>
      <c r="H36" s="6">
        <v>21670.41</v>
      </c>
      <c r="I36" s="2"/>
      <c r="J36" s="7">
        <f t="shared" si="21"/>
        <v>3.8791979395350638E-2</v>
      </c>
      <c r="K36" s="2"/>
      <c r="L36" s="6">
        <f t="shared" si="22"/>
        <v>157.34000000000015</v>
      </c>
      <c r="M36" s="2"/>
      <c r="N36" s="7">
        <f t="shared" si="23"/>
        <v>7.2605917469951032E-3</v>
      </c>
      <c r="O36" s="11"/>
      <c r="P36" s="6">
        <v>54012.270000000004</v>
      </c>
      <c r="Q36" s="2"/>
      <c r="R36" s="7">
        <f t="shared" si="24"/>
        <v>5.7309702356144659E-2</v>
      </c>
      <c r="S36" s="2"/>
      <c r="T36" s="6">
        <v>56486.61</v>
      </c>
      <c r="U36" s="2"/>
      <c r="V36" s="7">
        <f t="shared" si="25"/>
        <v>5.9428543377060411E-2</v>
      </c>
      <c r="W36" s="2"/>
      <c r="X36" s="6">
        <f t="shared" si="26"/>
        <v>-2474.3399999999965</v>
      </c>
      <c r="Y36" s="2"/>
      <c r="Z36" s="7">
        <f t="shared" si="27"/>
        <v>-4.3804009481184951E-2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6">
        <v>20488.88</v>
      </c>
      <c r="E37" s="2"/>
      <c r="F37" s="7">
        <f t="shared" si="20"/>
        <v>3.7875266620220567E-2</v>
      </c>
      <c r="G37" s="2"/>
      <c r="H37" s="6">
        <v>21137.53</v>
      </c>
      <c r="I37" s="2"/>
      <c r="J37" s="7">
        <f t="shared" si="21"/>
        <v>3.783807635520537E-2</v>
      </c>
      <c r="K37" s="2"/>
      <c r="L37" s="6">
        <f t="shared" si="22"/>
        <v>-648.64999999999782</v>
      </c>
      <c r="M37" s="2"/>
      <c r="N37" s="7">
        <f t="shared" si="23"/>
        <v>-3.0687123803017566E-2</v>
      </c>
      <c r="O37" s="11"/>
      <c r="P37" s="6">
        <v>53355.96</v>
      </c>
      <c r="Q37" s="2"/>
      <c r="R37" s="7">
        <f t="shared" si="24"/>
        <v>5.6613324833900892E-2</v>
      </c>
      <c r="S37" s="2"/>
      <c r="T37" s="6">
        <v>52413.689999999995</v>
      </c>
      <c r="U37" s="2"/>
      <c r="V37" s="7">
        <f t="shared" si="25"/>
        <v>5.5143497719491348E-2</v>
      </c>
      <c r="W37" s="2"/>
      <c r="X37" s="6">
        <f t="shared" si="26"/>
        <v>942.27000000000407</v>
      </c>
      <c r="Y37" s="2"/>
      <c r="Z37" s="7">
        <f t="shared" si="27"/>
        <v>1.7977555100585442E-2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6">
        <v>1506</v>
      </c>
      <c r="E38" s="2"/>
      <c r="F38" s="7">
        <f t="shared" si="20"/>
        <v>2.7839565427711112E-3</v>
      </c>
      <c r="G38" s="2"/>
      <c r="H38" s="6">
        <v>772.56</v>
      </c>
      <c r="I38" s="2"/>
      <c r="J38" s="7">
        <f t="shared" si="21"/>
        <v>1.3829517577965569E-3</v>
      </c>
      <c r="K38" s="2"/>
      <c r="L38" s="6">
        <f t="shared" si="22"/>
        <v>733.44</v>
      </c>
      <c r="M38" s="2"/>
      <c r="N38" s="7">
        <f t="shared" si="23"/>
        <v>0.94936315625970813</v>
      </c>
      <c r="O38" s="11"/>
      <c r="P38" s="6">
        <v>5928</v>
      </c>
      <c r="Q38" s="2"/>
      <c r="R38" s="7">
        <f t="shared" si="24"/>
        <v>6.2899025641252543E-3</v>
      </c>
      <c r="S38" s="2"/>
      <c r="T38" s="6">
        <v>4411.0600000000004</v>
      </c>
      <c r="U38" s="2"/>
      <c r="V38" s="7">
        <f t="shared" si="25"/>
        <v>4.6407966516102865E-3</v>
      </c>
      <c r="W38" s="2"/>
      <c r="X38" s="6">
        <f t="shared" si="26"/>
        <v>1516.9399999999996</v>
      </c>
      <c r="Y38" s="2"/>
      <c r="Z38" s="7">
        <f t="shared" si="27"/>
        <v>0.34389466477445318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6">
        <v>36257.25</v>
      </c>
      <c r="E39" s="2"/>
      <c r="F39" s="7">
        <f t="shared" si="20"/>
        <v>6.7024308340230987E-2</v>
      </c>
      <c r="G39" s="2"/>
      <c r="H39" s="6">
        <v>25316.82</v>
      </c>
      <c r="I39" s="2"/>
      <c r="J39" s="7">
        <f t="shared" si="21"/>
        <v>4.5319380657578741E-2</v>
      </c>
      <c r="K39" s="2"/>
      <c r="L39" s="6">
        <f t="shared" si="22"/>
        <v>10940.43</v>
      </c>
      <c r="M39" s="2"/>
      <c r="N39" s="7">
        <f t="shared" si="23"/>
        <v>0.43214076649437017</v>
      </c>
      <c r="O39" s="11"/>
      <c r="P39" s="6">
        <v>80776.210000000006</v>
      </c>
      <c r="Q39" s="2"/>
      <c r="R39" s="7">
        <f t="shared" si="24"/>
        <v>8.5707572604473689E-2</v>
      </c>
      <c r="S39" s="2"/>
      <c r="T39" s="6">
        <v>75313.279999999999</v>
      </c>
      <c r="U39" s="2"/>
      <c r="V39" s="7">
        <f t="shared" si="25"/>
        <v>7.9235743255767987E-2</v>
      </c>
      <c r="W39" s="2"/>
      <c r="X39" s="6">
        <f t="shared" si="26"/>
        <v>5462.9300000000076</v>
      </c>
      <c r="Y39" s="2"/>
      <c r="Z39" s="7">
        <f t="shared" si="27"/>
        <v>7.2536078630488637E-2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6">
        <v>11841</v>
      </c>
      <c r="E40" s="2"/>
      <c r="F40" s="7">
        <f t="shared" si="20"/>
        <v>2.1888996960791985E-2</v>
      </c>
      <c r="G40" s="2"/>
      <c r="H40" s="6">
        <v>10568.25</v>
      </c>
      <c r="I40" s="2"/>
      <c r="J40" s="7">
        <f t="shared" si="21"/>
        <v>1.8918116281367744E-2</v>
      </c>
      <c r="K40" s="2"/>
      <c r="L40" s="6">
        <f t="shared" si="22"/>
        <v>1272.75</v>
      </c>
      <c r="M40" s="2"/>
      <c r="N40" s="7">
        <f t="shared" si="23"/>
        <v>0.12043148108721879</v>
      </c>
      <c r="O40" s="11"/>
      <c r="P40" s="6">
        <v>22626</v>
      </c>
      <c r="Q40" s="2"/>
      <c r="R40" s="7">
        <f t="shared" si="24"/>
        <v>2.4007310292830295E-2</v>
      </c>
      <c r="S40" s="2"/>
      <c r="T40" s="6">
        <v>15999.5</v>
      </c>
      <c r="U40" s="2"/>
      <c r="V40" s="7">
        <f t="shared" si="25"/>
        <v>1.6832785323128402E-2</v>
      </c>
      <c r="W40" s="2"/>
      <c r="X40" s="6">
        <f t="shared" si="26"/>
        <v>6626.5</v>
      </c>
      <c r="Y40" s="2"/>
      <c r="Z40" s="7">
        <f t="shared" si="27"/>
        <v>0.4141691927872746</v>
      </c>
    </row>
    <row r="41" spans="1:26" s="29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20.73</v>
      </c>
      <c r="E41" s="1"/>
      <c r="F41" s="5">
        <f t="shared" ref="F41:F61" si="28">IF(D$12=0,0,D41/D$12)</f>
        <v>3.8320995439339402E-5</v>
      </c>
      <c r="G41" s="1"/>
      <c r="H41" s="1">
        <f>SUM(OSRRefH22_2x_0)</f>
        <v>1531.33</v>
      </c>
      <c r="I41" s="1"/>
      <c r="J41" s="5">
        <f t="shared" ref="J41:J61" si="29">IF(H$12=0,0,H41/H$12)</f>
        <v>2.741218177574042E-3</v>
      </c>
      <c r="K41" s="1"/>
      <c r="L41" s="1">
        <f t="shared" ref="L41:L61" si="30">+D41-H41</f>
        <v>-1510.6</v>
      </c>
      <c r="M41" s="1"/>
      <c r="N41" s="5">
        <f t="shared" ref="N41:N61" si="31">IF(H41=0,0,L41/H41)</f>
        <v>-0.98646274806867229</v>
      </c>
      <c r="O41" s="14"/>
      <c r="P41" s="1">
        <f>SUM(OSRRefP22_2x_0)</f>
        <v>2160.88</v>
      </c>
      <c r="Q41" s="1"/>
      <c r="R41" s="5">
        <f t="shared" ref="R41:R61" si="32">IF(P$12=0,0,P41/P$12)</f>
        <v>2.2928010547852529E-3</v>
      </c>
      <c r="S41" s="1"/>
      <c r="T41" s="1">
        <f>SUM(OSRRefT22_2x_0)</f>
        <v>2602.7399999999998</v>
      </c>
      <c r="U41" s="1"/>
      <c r="V41" s="5">
        <f t="shared" ref="V41:V61" si="33">IF(T$12=0,0,T41/T$12)</f>
        <v>2.7382958012387394E-3</v>
      </c>
      <c r="W41" s="1"/>
      <c r="X41" s="1">
        <f t="shared" ref="X41:X61" si="34">+P41-T41</f>
        <v>-441.85999999999967</v>
      </c>
      <c r="Y41" s="1"/>
      <c r="Z41" s="5">
        <f t="shared" ref="Z41:Z61" si="35">IF(T41=0,0,X41/T41)</f>
        <v>-0.16976724528765827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6">
        <v>20.73</v>
      </c>
      <c r="E42" s="2"/>
      <c r="F42" s="7">
        <f t="shared" si="28"/>
        <v>3.8320995439339402E-5</v>
      </c>
      <c r="G42" s="2"/>
      <c r="H42" s="6">
        <v>1531.33</v>
      </c>
      <c r="I42" s="2"/>
      <c r="J42" s="7">
        <f t="shared" si="29"/>
        <v>2.741218177574042E-3</v>
      </c>
      <c r="K42" s="2"/>
      <c r="L42" s="6">
        <f t="shared" si="30"/>
        <v>-1510.6</v>
      </c>
      <c r="M42" s="2"/>
      <c r="N42" s="7">
        <f t="shared" si="31"/>
        <v>-0.98646274806867229</v>
      </c>
      <c r="O42" s="11"/>
      <c r="P42" s="6">
        <v>2160.88</v>
      </c>
      <c r="Q42" s="2"/>
      <c r="R42" s="7">
        <f t="shared" si="32"/>
        <v>2.2928010547852529E-3</v>
      </c>
      <c r="S42" s="2"/>
      <c r="T42" s="6">
        <v>2602.7399999999998</v>
      </c>
      <c r="U42" s="2"/>
      <c r="V42" s="7">
        <f t="shared" si="33"/>
        <v>2.7382958012387394E-3</v>
      </c>
      <c r="W42" s="2"/>
      <c r="X42" s="6">
        <f t="shared" si="34"/>
        <v>-441.85999999999967</v>
      </c>
      <c r="Y42" s="2"/>
      <c r="Z42" s="7">
        <f t="shared" si="35"/>
        <v>-0.16976724528765827</v>
      </c>
    </row>
    <row r="43" spans="1:26" s="29" customFormat="1" outlineLevel="1" collapsed="1" x14ac:dyDescent="0.25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4.95</v>
      </c>
      <c r="E43" s="1"/>
      <c r="F43" s="5">
        <f t="shared" si="28"/>
        <v>9.1504547720564426E-6</v>
      </c>
      <c r="G43" s="1"/>
      <c r="H43" s="1">
        <f>SUM(OSRRefH22_3x_0)</f>
        <v>-4.0599999999999996</v>
      </c>
      <c r="I43" s="1"/>
      <c r="J43" s="5">
        <f t="shared" si="29"/>
        <v>-7.2677644929248495E-6</v>
      </c>
      <c r="K43" s="1"/>
      <c r="L43" s="1">
        <f t="shared" si="30"/>
        <v>9.01</v>
      </c>
      <c r="M43" s="1"/>
      <c r="N43" s="5">
        <f t="shared" si="31"/>
        <v>-2.2192118226600988</v>
      </c>
      <c r="O43" s="14"/>
      <c r="P43" s="1">
        <f>SUM(OSRRefP22_3x_0)</f>
        <v>2.95</v>
      </c>
      <c r="Q43" s="1"/>
      <c r="R43" s="5">
        <f t="shared" si="32"/>
        <v>3.1300965863983638E-6</v>
      </c>
      <c r="S43" s="1"/>
      <c r="T43" s="1">
        <f>SUM(OSRRefT22_3x_0)</f>
        <v>-20.95</v>
      </c>
      <c r="U43" s="1"/>
      <c r="V43" s="5">
        <f t="shared" si="33"/>
        <v>-2.2041117067379605E-5</v>
      </c>
      <c r="W43" s="1"/>
      <c r="X43" s="1">
        <f t="shared" si="34"/>
        <v>23.9</v>
      </c>
      <c r="Y43" s="1"/>
      <c r="Z43" s="5">
        <f t="shared" si="35"/>
        <v>-1.1408114558472553</v>
      </c>
    </row>
    <row r="44" spans="1:26" s="24" customFormat="1" hidden="1" outlineLevel="2" x14ac:dyDescent="0.25">
      <c r="A44" s="28"/>
      <c r="B44" s="11" t="str">
        <f>CONCATENATE("          ", "6272", " - ", "CASH (OVER/SHORT)")</f>
        <v xml:space="preserve">          6272 - CASH (OVER/SHORT)</v>
      </c>
      <c r="C44" s="11"/>
      <c r="D44" s="6">
        <v>4.95</v>
      </c>
      <c r="E44" s="2"/>
      <c r="F44" s="7">
        <f t="shared" si="28"/>
        <v>9.1504547720564426E-6</v>
      </c>
      <c r="G44" s="2"/>
      <c r="H44" s="6">
        <v>-4.0599999999999996</v>
      </c>
      <c r="I44" s="2"/>
      <c r="J44" s="7">
        <f t="shared" si="29"/>
        <v>-7.2677644929248495E-6</v>
      </c>
      <c r="K44" s="2"/>
      <c r="L44" s="6">
        <f t="shared" si="30"/>
        <v>9.01</v>
      </c>
      <c r="M44" s="2"/>
      <c r="N44" s="7">
        <f t="shared" si="31"/>
        <v>-2.2192118226600988</v>
      </c>
      <c r="O44" s="11"/>
      <c r="P44" s="6">
        <v>2.95</v>
      </c>
      <c r="Q44" s="2"/>
      <c r="R44" s="7">
        <f t="shared" si="32"/>
        <v>3.1300965863983638E-6</v>
      </c>
      <c r="S44" s="2"/>
      <c r="T44" s="6">
        <v>-20.95</v>
      </c>
      <c r="U44" s="2"/>
      <c r="V44" s="7">
        <f t="shared" si="33"/>
        <v>-2.2041117067379605E-5</v>
      </c>
      <c r="W44" s="2"/>
      <c r="X44" s="6">
        <f t="shared" si="34"/>
        <v>23.9</v>
      </c>
      <c r="Y44" s="2"/>
      <c r="Z44" s="7">
        <f t="shared" si="35"/>
        <v>-1.1408114558472553</v>
      </c>
    </row>
    <row r="45" spans="1:26" s="29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156.07</v>
      </c>
      <c r="E45" s="1"/>
      <c r="F45" s="5">
        <f t="shared" si="28"/>
        <v>2.8850736894441389E-4</v>
      </c>
      <c r="G45" s="1"/>
      <c r="H45" s="1">
        <f>SUM(OSRRefH22_4x_0)</f>
        <v>163.28</v>
      </c>
      <c r="I45" s="1"/>
      <c r="J45" s="5">
        <f t="shared" si="29"/>
        <v>2.9228585872038656E-4</v>
      </c>
      <c r="K45" s="1"/>
      <c r="L45" s="1">
        <f t="shared" si="30"/>
        <v>-7.210000000000008</v>
      </c>
      <c r="M45" s="1"/>
      <c r="N45" s="5">
        <f t="shared" si="31"/>
        <v>-4.4157275845173982E-2</v>
      </c>
      <c r="O45" s="14"/>
      <c r="P45" s="1">
        <f>SUM(OSRRefP22_4x_0)</f>
        <v>524.38</v>
      </c>
      <c r="Q45" s="1"/>
      <c r="R45" s="5">
        <f t="shared" si="32"/>
        <v>5.5639323660188942E-4</v>
      </c>
      <c r="S45" s="1"/>
      <c r="T45" s="1">
        <f>SUM(OSRRefT22_4x_0)</f>
        <v>617.88</v>
      </c>
      <c r="U45" s="1"/>
      <c r="V45" s="5">
        <f t="shared" si="33"/>
        <v>6.5006040160346115E-4</v>
      </c>
      <c r="W45" s="1"/>
      <c r="X45" s="1">
        <f t="shared" si="34"/>
        <v>-93.5</v>
      </c>
      <c r="Y45" s="1"/>
      <c r="Z45" s="5">
        <f t="shared" si="35"/>
        <v>-0.15132388165986924</v>
      </c>
    </row>
    <row r="46" spans="1:26" s="24" customFormat="1" hidden="1" outlineLevel="2" x14ac:dyDescent="0.25">
      <c r="A46" s="28"/>
      <c r="B46" s="11" t="str">
        <f>CONCATENATE("          ", "6381", " - ", "BANK/CREDIT CARD FEES")</f>
        <v xml:space="preserve">          6381 - BANK/CREDIT CARD FEES</v>
      </c>
      <c r="C46" s="11"/>
      <c r="D46" s="6">
        <v>156.07</v>
      </c>
      <c r="E46" s="2"/>
      <c r="F46" s="7">
        <f t="shared" si="28"/>
        <v>2.8850736894441389E-4</v>
      </c>
      <c r="G46" s="2"/>
      <c r="H46" s="6">
        <v>163.28</v>
      </c>
      <c r="I46" s="2"/>
      <c r="J46" s="7">
        <f t="shared" si="29"/>
        <v>2.9228585872038656E-4</v>
      </c>
      <c r="K46" s="2"/>
      <c r="L46" s="6">
        <f t="shared" si="30"/>
        <v>-7.210000000000008</v>
      </c>
      <c r="M46" s="2"/>
      <c r="N46" s="7">
        <f t="shared" si="31"/>
        <v>-4.4157275845173982E-2</v>
      </c>
      <c r="O46" s="11"/>
      <c r="P46" s="6">
        <v>524.38</v>
      </c>
      <c r="Q46" s="2"/>
      <c r="R46" s="7">
        <f t="shared" si="32"/>
        <v>5.5639323660188942E-4</v>
      </c>
      <c r="S46" s="2"/>
      <c r="T46" s="6">
        <v>617.88</v>
      </c>
      <c r="U46" s="2"/>
      <c r="V46" s="7">
        <f t="shared" si="33"/>
        <v>6.5006040160346115E-4</v>
      </c>
      <c r="W46" s="2"/>
      <c r="X46" s="6">
        <f t="shared" si="34"/>
        <v>-93.5</v>
      </c>
      <c r="Y46" s="2"/>
      <c r="Z46" s="7">
        <f t="shared" si="35"/>
        <v>-0.15132388165986924</v>
      </c>
    </row>
    <row r="47" spans="1:26" s="29" customFormat="1" outlineLevel="1" collapsed="1" x14ac:dyDescent="0.25">
      <c r="A47" s="27"/>
      <c r="B47" s="14" t="str">
        <f>CONCATENATE("     ","Donations                                         ")</f>
        <v xml:space="preserve">     Donations                                         </v>
      </c>
      <c r="C47" s="14"/>
      <c r="D47" s="1">
        <f>SUM(OSRRefD22_5x_0)</f>
        <v>4128.3599999999997</v>
      </c>
      <c r="E47" s="1"/>
      <c r="F47" s="5">
        <f t="shared" si="28"/>
        <v>7.6315901944983694E-3</v>
      </c>
      <c r="G47" s="1"/>
      <c r="H47" s="1">
        <f>SUM(OSRRefH22_5x_0)</f>
        <v>2135.12</v>
      </c>
      <c r="I47" s="1"/>
      <c r="J47" s="5">
        <f t="shared" si="29"/>
        <v>3.8220564837767746E-3</v>
      </c>
      <c r="K47" s="1"/>
      <c r="L47" s="1">
        <f t="shared" si="30"/>
        <v>1993.2399999999998</v>
      </c>
      <c r="M47" s="1"/>
      <c r="N47" s="5">
        <f t="shared" si="31"/>
        <v>0.93354940237551043</v>
      </c>
      <c r="O47" s="14"/>
      <c r="P47" s="1">
        <f>SUM(OSRRefP22_5x_0)</f>
        <v>6186.03</v>
      </c>
      <c r="Q47" s="1"/>
      <c r="R47" s="5">
        <f t="shared" si="32"/>
        <v>6.5636852157145318E-3</v>
      </c>
      <c r="S47" s="1"/>
      <c r="T47" s="1">
        <f>SUM(OSRRefT22_5x_0)</f>
        <v>4720.49</v>
      </c>
      <c r="U47" s="1"/>
      <c r="V47" s="5">
        <f t="shared" si="33"/>
        <v>4.9663423725725417E-3</v>
      </c>
      <c r="W47" s="1"/>
      <c r="X47" s="1">
        <f t="shared" si="34"/>
        <v>1465.54</v>
      </c>
      <c r="Y47" s="1"/>
      <c r="Z47" s="5">
        <f t="shared" si="35"/>
        <v>0.31046353238752755</v>
      </c>
    </row>
    <row r="48" spans="1:26" s="24" customFormat="1" hidden="1" outlineLevel="2" x14ac:dyDescent="0.25">
      <c r="A48" s="28"/>
      <c r="B48" s="11" t="str">
        <f>CONCATENATE("          ", "6399", " - ", "DONATION-ON CAMPUS")</f>
        <v xml:space="preserve">          6399 - DONATION-ON CAMPUS</v>
      </c>
      <c r="C48" s="11"/>
      <c r="D48" s="6">
        <v>4128.3599999999997</v>
      </c>
      <c r="E48" s="2"/>
      <c r="F48" s="7">
        <f t="shared" si="28"/>
        <v>7.6315901944983694E-3</v>
      </c>
      <c r="G48" s="2"/>
      <c r="H48" s="6">
        <v>2135.12</v>
      </c>
      <c r="I48" s="2"/>
      <c r="J48" s="7">
        <f t="shared" si="29"/>
        <v>3.8220564837767746E-3</v>
      </c>
      <c r="K48" s="2"/>
      <c r="L48" s="6">
        <f t="shared" si="30"/>
        <v>1993.2399999999998</v>
      </c>
      <c r="M48" s="2"/>
      <c r="N48" s="7">
        <f t="shared" si="31"/>
        <v>0.93354940237551043</v>
      </c>
      <c r="O48" s="11"/>
      <c r="P48" s="6">
        <v>6186.03</v>
      </c>
      <c r="Q48" s="2"/>
      <c r="R48" s="7">
        <f t="shared" si="32"/>
        <v>6.5636852157145318E-3</v>
      </c>
      <c r="S48" s="2"/>
      <c r="T48" s="6">
        <v>4720.49</v>
      </c>
      <c r="U48" s="2"/>
      <c r="V48" s="7">
        <f t="shared" si="33"/>
        <v>4.9663423725725417E-3</v>
      </c>
      <c r="W48" s="2"/>
      <c r="X48" s="6">
        <f t="shared" si="34"/>
        <v>1465.54</v>
      </c>
      <c r="Y48" s="2"/>
      <c r="Z48" s="7">
        <f t="shared" si="35"/>
        <v>0.31046353238752755</v>
      </c>
    </row>
    <row r="49" spans="1:26" s="29" customFormat="1" outlineLevel="1" collapsed="1" x14ac:dyDescent="0.25">
      <c r="A49" s="27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SUM(OSRRefD22_6x_0)</f>
        <v>692.57</v>
      </c>
      <c r="E49" s="1"/>
      <c r="F49" s="5">
        <f t="shared" si="28"/>
        <v>1.280268780097602E-3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692.57</v>
      </c>
      <c r="M49" s="1"/>
      <c r="N49" s="5">
        <f t="shared" si="31"/>
        <v>0</v>
      </c>
      <c r="O49" s="14"/>
      <c r="P49" s="1">
        <f>SUM(OSRRefP22_6x_0)</f>
        <v>805.63</v>
      </c>
      <c r="Q49" s="1"/>
      <c r="R49" s="5">
        <f t="shared" si="32"/>
        <v>8.5481346200003854E-4</v>
      </c>
      <c r="S49" s="1"/>
      <c r="T49" s="1">
        <f>SUM(OSRRefT22_6x_0)</f>
        <v>65</v>
      </c>
      <c r="U49" s="1"/>
      <c r="V49" s="5">
        <f t="shared" si="33"/>
        <v>6.8385327416690904E-5</v>
      </c>
      <c r="W49" s="1"/>
      <c r="X49" s="1">
        <f t="shared" si="34"/>
        <v>740.63</v>
      </c>
      <c r="Y49" s="1"/>
      <c r="Z49" s="5">
        <f t="shared" si="35"/>
        <v>11.394307692307692</v>
      </c>
    </row>
    <row r="50" spans="1:26" s="24" customFormat="1" hidden="1" outlineLevel="2" x14ac:dyDescent="0.25">
      <c r="A50" s="28"/>
      <c r="B50" s="11" t="str">
        <f>CONCATENATE("          ", "6277", " - ", "EMPLOYEE APPRECIATION")</f>
        <v xml:space="preserve">          6277 - EMPLOYEE APPRECIATION</v>
      </c>
      <c r="C50" s="11"/>
      <c r="D50" s="6">
        <v>692.57</v>
      </c>
      <c r="E50" s="2"/>
      <c r="F50" s="7">
        <f t="shared" si="28"/>
        <v>1.280268780097602E-3</v>
      </c>
      <c r="G50" s="2"/>
      <c r="H50" s="6"/>
      <c r="I50" s="2"/>
      <c r="J50" s="7">
        <f t="shared" si="29"/>
        <v>0</v>
      </c>
      <c r="K50" s="2"/>
      <c r="L50" s="6">
        <f t="shared" si="30"/>
        <v>692.57</v>
      </c>
      <c r="M50" s="2"/>
      <c r="N50" s="7">
        <f t="shared" si="31"/>
        <v>0</v>
      </c>
      <c r="O50" s="11"/>
      <c r="P50" s="6">
        <v>805.63</v>
      </c>
      <c r="Q50" s="2"/>
      <c r="R50" s="7">
        <f t="shared" si="32"/>
        <v>8.5481346200003854E-4</v>
      </c>
      <c r="S50" s="2"/>
      <c r="T50" s="6">
        <v>65</v>
      </c>
      <c r="U50" s="2"/>
      <c r="V50" s="7">
        <f t="shared" si="33"/>
        <v>6.8385327416690904E-5</v>
      </c>
      <c r="W50" s="2"/>
      <c r="X50" s="6">
        <f t="shared" si="34"/>
        <v>740.63</v>
      </c>
      <c r="Y50" s="2"/>
      <c r="Z50" s="7">
        <f t="shared" si="35"/>
        <v>11.394307692307692</v>
      </c>
    </row>
    <row r="51" spans="1:26" s="29" customFormat="1" outlineLevel="1" collapsed="1" x14ac:dyDescent="0.25">
      <c r="A51" s="27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SUM(OSRRefD22_7x_0)</f>
        <v>-367.97</v>
      </c>
      <c r="E51" s="1"/>
      <c r="F51" s="5">
        <f t="shared" si="28"/>
        <v>-6.8022077625729471E-4</v>
      </c>
      <c r="G51" s="1"/>
      <c r="H51" s="1">
        <f>SUM(OSRRefH22_7x_0)</f>
        <v>367.49</v>
      </c>
      <c r="I51" s="1"/>
      <c r="J51" s="5">
        <f t="shared" si="29"/>
        <v>6.5784009199629386E-4</v>
      </c>
      <c r="K51" s="1"/>
      <c r="L51" s="1">
        <f t="shared" si="30"/>
        <v>-735.46</v>
      </c>
      <c r="M51" s="1"/>
      <c r="N51" s="5">
        <f t="shared" si="31"/>
        <v>-2.0013061579906939</v>
      </c>
      <c r="O51" s="14"/>
      <c r="P51" s="1">
        <f>SUM(OSRRefP22_7x_0)</f>
        <v>700.33</v>
      </c>
      <c r="Q51" s="1"/>
      <c r="R51" s="5">
        <f t="shared" si="32"/>
        <v>7.4308492961097151E-4</v>
      </c>
      <c r="S51" s="1"/>
      <c r="T51" s="1">
        <f>SUM(OSRRefT22_7x_0)</f>
        <v>759.76</v>
      </c>
      <c r="U51" s="1"/>
      <c r="V51" s="5">
        <f t="shared" si="33"/>
        <v>7.9932979012469353E-4</v>
      </c>
      <c r="W51" s="1"/>
      <c r="X51" s="1">
        <f t="shared" si="34"/>
        <v>-59.42999999999995</v>
      </c>
      <c r="Y51" s="1"/>
      <c r="Z51" s="5">
        <f t="shared" si="35"/>
        <v>-7.8222070127408588E-2</v>
      </c>
    </row>
    <row r="52" spans="1:26" s="24" customFormat="1" hidden="1" outlineLevel="2" x14ac:dyDescent="0.25">
      <c r="A52" s="28"/>
      <c r="B52" s="11" t="str">
        <f>CONCATENATE("          ", "6351", " - ", "EQUIPMENT RENTAL")</f>
        <v xml:space="preserve">          6351 - EQUIPMENT RENTAL</v>
      </c>
      <c r="C52" s="11"/>
      <c r="D52" s="6">
        <v>-367.97</v>
      </c>
      <c r="E52" s="2"/>
      <c r="F52" s="7">
        <f t="shared" si="28"/>
        <v>-6.8022077625729471E-4</v>
      </c>
      <c r="G52" s="2"/>
      <c r="H52" s="6">
        <v>367.49</v>
      </c>
      <c r="I52" s="2"/>
      <c r="J52" s="7">
        <f t="shared" si="29"/>
        <v>6.5784009199629386E-4</v>
      </c>
      <c r="K52" s="2"/>
      <c r="L52" s="6">
        <f t="shared" si="30"/>
        <v>-735.46</v>
      </c>
      <c r="M52" s="2"/>
      <c r="N52" s="7">
        <f t="shared" si="31"/>
        <v>-2.0013061579906939</v>
      </c>
      <c r="O52" s="11"/>
      <c r="P52" s="6">
        <v>700.33</v>
      </c>
      <c r="Q52" s="2"/>
      <c r="R52" s="7">
        <f t="shared" si="32"/>
        <v>7.4308492961097151E-4</v>
      </c>
      <c r="S52" s="2"/>
      <c r="T52" s="6">
        <v>759.76</v>
      </c>
      <c r="U52" s="2"/>
      <c r="V52" s="7">
        <f t="shared" si="33"/>
        <v>7.9932979012469353E-4</v>
      </c>
      <c r="W52" s="2"/>
      <c r="X52" s="6">
        <f t="shared" si="34"/>
        <v>-59.42999999999995</v>
      </c>
      <c r="Y52" s="2"/>
      <c r="Z52" s="7">
        <f t="shared" si="35"/>
        <v>-7.8222070127408588E-2</v>
      </c>
    </row>
    <row r="53" spans="1:26" s="29" customFormat="1" outlineLevel="1" collapsed="1" x14ac:dyDescent="0.25">
      <c r="A53" s="27"/>
      <c r="B53" s="14" t="str">
        <f>CONCATENATE("     ","Freight out/Postage                               ")</f>
        <v xml:space="preserve">     Freight out/Postage                               </v>
      </c>
      <c r="C53" s="14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3.7</v>
      </c>
      <c r="I53" s="1"/>
      <c r="J53" s="5">
        <f t="shared" si="29"/>
        <v>6.6233321733551587E-6</v>
      </c>
      <c r="K53" s="1"/>
      <c r="L53" s="1">
        <f t="shared" si="30"/>
        <v>-3.7</v>
      </c>
      <c r="M53" s="1"/>
      <c r="N53" s="5">
        <f t="shared" si="31"/>
        <v>-1</v>
      </c>
      <c r="O53" s="14"/>
      <c r="P53" s="1">
        <f>SUM(OSRRefP22_8x_0)</f>
        <v>0</v>
      </c>
      <c r="Q53" s="1"/>
      <c r="R53" s="5">
        <f t="shared" si="32"/>
        <v>0</v>
      </c>
      <c r="S53" s="1"/>
      <c r="T53" s="1">
        <f>SUM(OSRRefT22_8x_0)</f>
        <v>3.7</v>
      </c>
      <c r="U53" s="1"/>
      <c r="V53" s="5">
        <f t="shared" si="33"/>
        <v>3.8927032529500978E-6</v>
      </c>
      <c r="W53" s="1"/>
      <c r="X53" s="1">
        <f t="shared" si="34"/>
        <v>-3.7</v>
      </c>
      <c r="Y53" s="1"/>
      <c r="Z53" s="5">
        <f t="shared" si="35"/>
        <v>-1</v>
      </c>
    </row>
    <row r="54" spans="1:26" s="24" customFormat="1" hidden="1" outlineLevel="2" x14ac:dyDescent="0.25">
      <c r="A54" s="28"/>
      <c r="B54" s="11" t="str">
        <f>CONCATENATE("          ", "6307", " - ", "POSTAGE")</f>
        <v xml:space="preserve">          6307 - POSTAGE</v>
      </c>
      <c r="C54" s="11"/>
      <c r="D54" s="6"/>
      <c r="E54" s="2"/>
      <c r="F54" s="7">
        <f t="shared" si="28"/>
        <v>0</v>
      </c>
      <c r="G54" s="2"/>
      <c r="H54" s="6">
        <v>3.7</v>
      </c>
      <c r="I54" s="2"/>
      <c r="J54" s="7">
        <f t="shared" si="29"/>
        <v>6.6233321733551587E-6</v>
      </c>
      <c r="K54" s="2"/>
      <c r="L54" s="6">
        <f t="shared" si="30"/>
        <v>-3.7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3.7</v>
      </c>
      <c r="U54" s="2"/>
      <c r="V54" s="7">
        <f t="shared" si="33"/>
        <v>3.8927032529500978E-6</v>
      </c>
      <c r="W54" s="2"/>
      <c r="X54" s="6">
        <f t="shared" si="34"/>
        <v>-3.7</v>
      </c>
      <c r="Y54" s="2"/>
      <c r="Z54" s="7">
        <f t="shared" si="35"/>
        <v>-1</v>
      </c>
    </row>
    <row r="55" spans="1:26" s="29" customFormat="1" outlineLevel="1" collapsed="1" x14ac:dyDescent="0.25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SUM(OSRRefD22_9x_0)</f>
        <v>60</v>
      </c>
      <c r="E55" s="1"/>
      <c r="F55" s="5">
        <f t="shared" si="28"/>
        <v>1.1091460329765383E-4</v>
      </c>
      <c r="G55" s="1"/>
      <c r="H55" s="1">
        <f>SUM(OSRRefH22_9x_0)</f>
        <v>0</v>
      </c>
      <c r="I55" s="1"/>
      <c r="J55" s="5">
        <f t="shared" si="29"/>
        <v>0</v>
      </c>
      <c r="K55" s="1"/>
      <c r="L55" s="1">
        <f t="shared" si="30"/>
        <v>60</v>
      </c>
      <c r="M55" s="1"/>
      <c r="N55" s="5">
        <f t="shared" si="31"/>
        <v>0</v>
      </c>
      <c r="O55" s="14"/>
      <c r="P55" s="1">
        <f>SUM(OSRRefP22_9x_0)</f>
        <v>1937.1</v>
      </c>
      <c r="Q55" s="1"/>
      <c r="R55" s="5">
        <f t="shared" si="32"/>
        <v>2.055359355088905E-3</v>
      </c>
      <c r="S55" s="1"/>
      <c r="T55" s="1">
        <f>SUM(OSRRefT22_9x_0)</f>
        <v>1750.53</v>
      </c>
      <c r="U55" s="1"/>
      <c r="V55" s="5">
        <f t="shared" si="33"/>
        <v>1.8417010338883065E-3</v>
      </c>
      <c r="W55" s="1"/>
      <c r="X55" s="1">
        <f t="shared" si="34"/>
        <v>186.56999999999994</v>
      </c>
      <c r="Y55" s="1"/>
      <c r="Z55" s="5">
        <f t="shared" si="35"/>
        <v>0.10657915031447615</v>
      </c>
    </row>
    <row r="56" spans="1:26" s="24" customFormat="1" hidden="1" outlineLevel="2" x14ac:dyDescent="0.25">
      <c r="A56" s="28"/>
      <c r="B56" s="11" t="str">
        <f>CONCATENATE("          ", "6279", " - ", "GENERAL EXPENSE")</f>
        <v xml:space="preserve">          6279 - GENERAL EXPENSE</v>
      </c>
      <c r="C56" s="11"/>
      <c r="D56" s="6">
        <v>60</v>
      </c>
      <c r="E56" s="2"/>
      <c r="F56" s="7">
        <f t="shared" si="28"/>
        <v>1.1091460329765383E-4</v>
      </c>
      <c r="G56" s="2"/>
      <c r="H56" s="6"/>
      <c r="I56" s="2"/>
      <c r="J56" s="7">
        <f t="shared" si="29"/>
        <v>0</v>
      </c>
      <c r="K56" s="2"/>
      <c r="L56" s="6">
        <f t="shared" si="30"/>
        <v>60</v>
      </c>
      <c r="M56" s="2"/>
      <c r="N56" s="7">
        <f t="shared" si="31"/>
        <v>0</v>
      </c>
      <c r="O56" s="11"/>
      <c r="P56" s="6">
        <v>1937.1</v>
      </c>
      <c r="Q56" s="2"/>
      <c r="R56" s="7">
        <f t="shared" si="32"/>
        <v>2.055359355088905E-3</v>
      </c>
      <c r="S56" s="2"/>
      <c r="T56" s="6">
        <v>1750.53</v>
      </c>
      <c r="U56" s="2"/>
      <c r="V56" s="7">
        <f t="shared" si="33"/>
        <v>1.8417010338883065E-3</v>
      </c>
      <c r="W56" s="2"/>
      <c r="X56" s="6">
        <f t="shared" si="34"/>
        <v>186.56999999999994</v>
      </c>
      <c r="Y56" s="2"/>
      <c r="Z56" s="7">
        <f t="shared" si="35"/>
        <v>0.10657915031447615</v>
      </c>
    </row>
    <row r="57" spans="1:26" s="29" customFormat="1" outlineLevel="1" collapsed="1" x14ac:dyDescent="0.25">
      <c r="A57" s="27"/>
      <c r="B57" s="14" t="str">
        <f>CONCATENATE("     ","R/H Commissions                                   ")</f>
        <v xml:space="preserve">     R/H Commissions                                   </v>
      </c>
      <c r="C57" s="14"/>
      <c r="D57" s="1">
        <f>SUM(OSRRefD22_10x_0)</f>
        <v>40866.22</v>
      </c>
      <c r="E57" s="1"/>
      <c r="F57" s="5">
        <f t="shared" si="28"/>
        <v>7.5544342992910782E-2</v>
      </c>
      <c r="G57" s="1"/>
      <c r="H57" s="1">
        <f>SUM(OSRRefH22_10x_0)</f>
        <v>39399.689999999995</v>
      </c>
      <c r="I57" s="1"/>
      <c r="J57" s="5">
        <f t="shared" si="29"/>
        <v>7.0528982269518772E-2</v>
      </c>
      <c r="K57" s="1"/>
      <c r="L57" s="1">
        <f t="shared" si="30"/>
        <v>1466.5300000000061</v>
      </c>
      <c r="M57" s="1"/>
      <c r="N57" s="5">
        <f t="shared" si="31"/>
        <v>3.7221866466462208E-2</v>
      </c>
      <c r="O57" s="14"/>
      <c r="P57" s="1">
        <f>SUM(OSRRefP22_10x_0)</f>
        <v>72203.010000000009</v>
      </c>
      <c r="Q57" s="1"/>
      <c r="R57" s="5">
        <f t="shared" si="32"/>
        <v>7.6610981399554898E-2</v>
      </c>
      <c r="S57" s="1"/>
      <c r="T57" s="1">
        <f>SUM(OSRRefT22_10x_0)</f>
        <v>70542.080000000002</v>
      </c>
      <c r="U57" s="1"/>
      <c r="V57" s="5">
        <f t="shared" si="33"/>
        <v>7.4216049806990814E-2</v>
      </c>
      <c r="W57" s="1"/>
      <c r="X57" s="1">
        <f t="shared" si="34"/>
        <v>1660.9300000000076</v>
      </c>
      <c r="Y57" s="1"/>
      <c r="Z57" s="5">
        <f t="shared" si="35"/>
        <v>2.3545237112373316E-2</v>
      </c>
    </row>
    <row r="58" spans="1:26" s="24" customFormat="1" hidden="1" outlineLevel="2" x14ac:dyDescent="0.25">
      <c r="A58" s="28"/>
      <c r="B58" s="11" t="str">
        <f>CONCATENATE("          ", "6387", " - ", "COMMISSION DUE HOUSING")</f>
        <v xml:space="preserve">          6387 - COMMISSION DUE HOUSING</v>
      </c>
      <c r="C58" s="11"/>
      <c r="D58" s="6">
        <v>40866.22</v>
      </c>
      <c r="E58" s="2"/>
      <c r="F58" s="7">
        <f t="shared" si="28"/>
        <v>7.5544342992910782E-2</v>
      </c>
      <c r="G58" s="2"/>
      <c r="H58" s="6">
        <v>39399.689999999995</v>
      </c>
      <c r="I58" s="2"/>
      <c r="J58" s="7">
        <f t="shared" si="29"/>
        <v>7.0528982269518772E-2</v>
      </c>
      <c r="K58" s="2"/>
      <c r="L58" s="6">
        <f t="shared" si="30"/>
        <v>1466.5300000000061</v>
      </c>
      <c r="M58" s="2"/>
      <c r="N58" s="7">
        <f t="shared" si="31"/>
        <v>3.7221866466462208E-2</v>
      </c>
      <c r="O58" s="11"/>
      <c r="P58" s="6">
        <v>72203.010000000009</v>
      </c>
      <c r="Q58" s="2"/>
      <c r="R58" s="7">
        <f t="shared" si="32"/>
        <v>7.6610981399554898E-2</v>
      </c>
      <c r="S58" s="2"/>
      <c r="T58" s="6">
        <v>70542.080000000002</v>
      </c>
      <c r="U58" s="2"/>
      <c r="V58" s="7">
        <f t="shared" si="33"/>
        <v>7.4216049806990814E-2</v>
      </c>
      <c r="W58" s="2"/>
      <c r="X58" s="6">
        <f t="shared" si="34"/>
        <v>1660.9300000000076</v>
      </c>
      <c r="Y58" s="2"/>
      <c r="Z58" s="7">
        <f t="shared" si="35"/>
        <v>2.3545237112373316E-2</v>
      </c>
    </row>
    <row r="59" spans="1:26" s="29" customFormat="1" outlineLevel="1" collapsed="1" x14ac:dyDescent="0.25">
      <c r="A59" s="27"/>
      <c r="B59" s="14" t="str">
        <f>CONCATENATE("     ","Repair and Maintenance                            ")</f>
        <v xml:space="preserve">     Repair and Maintenance                            </v>
      </c>
      <c r="C59" s="14"/>
      <c r="D59" s="1">
        <f>SUM(OSRRefD22_11x_0)</f>
        <v>114.28999999999999</v>
      </c>
      <c r="E59" s="1"/>
      <c r="F59" s="5">
        <f t="shared" si="28"/>
        <v>2.1127383351481427E-4</v>
      </c>
      <c r="G59" s="1"/>
      <c r="H59" s="1">
        <f>SUM(OSRRefH22_11x_0)</f>
        <v>78.67</v>
      </c>
      <c r="I59" s="1"/>
      <c r="J59" s="5">
        <f t="shared" si="29"/>
        <v>1.4082636272374333E-4</v>
      </c>
      <c r="K59" s="1"/>
      <c r="L59" s="1">
        <f t="shared" si="30"/>
        <v>35.61999999999999</v>
      </c>
      <c r="M59" s="1"/>
      <c r="N59" s="5">
        <f t="shared" si="31"/>
        <v>0.45277742468539456</v>
      </c>
      <c r="O59" s="14"/>
      <c r="P59" s="1">
        <f>SUM(OSRRefP22_11x_0)</f>
        <v>143.5</v>
      </c>
      <c r="Q59" s="1"/>
      <c r="R59" s="5">
        <f t="shared" si="32"/>
        <v>1.5226063055870004E-4</v>
      </c>
      <c r="S59" s="1"/>
      <c r="T59" s="1">
        <f>SUM(OSRRefT22_11x_0)</f>
        <v>1918.84</v>
      </c>
      <c r="U59" s="1"/>
      <c r="V59" s="5">
        <f t="shared" si="33"/>
        <v>2.0187769486191259E-3</v>
      </c>
      <c r="W59" s="1"/>
      <c r="X59" s="1">
        <f t="shared" si="34"/>
        <v>-1775.34</v>
      </c>
      <c r="Y59" s="1"/>
      <c r="Z59" s="5">
        <f t="shared" si="35"/>
        <v>-0.9252152342039982</v>
      </c>
    </row>
    <row r="60" spans="1:26" s="24" customFormat="1" hidden="1" outlineLevel="2" x14ac:dyDescent="0.25">
      <c r="A60" s="28"/>
      <c r="B60" s="11" t="str">
        <f>CONCATENATE("          ", "6373", " - ", "MAINTENANCE CONTRACTS")</f>
        <v xml:space="preserve">          6373 - MAINTENANCE CONTRACTS</v>
      </c>
      <c r="C60" s="11"/>
      <c r="D60" s="6">
        <v>8.8000000000000007</v>
      </c>
      <c r="E60" s="2"/>
      <c r="F60" s="7">
        <f t="shared" si="28"/>
        <v>1.6267475150322562E-5</v>
      </c>
      <c r="G60" s="2"/>
      <c r="H60" s="6">
        <v>78.67</v>
      </c>
      <c r="I60" s="2"/>
      <c r="J60" s="7">
        <f t="shared" si="29"/>
        <v>1.4082636272374333E-4</v>
      </c>
      <c r="K60" s="2"/>
      <c r="L60" s="6">
        <f t="shared" si="30"/>
        <v>-69.87</v>
      </c>
      <c r="M60" s="2"/>
      <c r="N60" s="7">
        <f t="shared" si="31"/>
        <v>-0.88814033303673579</v>
      </c>
      <c r="O60" s="11"/>
      <c r="P60" s="6">
        <v>38.01</v>
      </c>
      <c r="Q60" s="2"/>
      <c r="R60" s="7">
        <f t="shared" si="32"/>
        <v>4.0330498728475186E-5</v>
      </c>
      <c r="S60" s="2"/>
      <c r="T60" s="6">
        <v>110.24</v>
      </c>
      <c r="U60" s="2"/>
      <c r="V60" s="7">
        <f t="shared" si="33"/>
        <v>1.1598151529870777E-4</v>
      </c>
      <c r="W60" s="2"/>
      <c r="X60" s="6">
        <f t="shared" si="34"/>
        <v>-72.22999999999999</v>
      </c>
      <c r="Y60" s="2"/>
      <c r="Z60" s="7">
        <f t="shared" si="35"/>
        <v>-0.65520682148040632</v>
      </c>
    </row>
    <row r="61" spans="1:26" s="24" customFormat="1" hidden="1" outlineLevel="2" x14ac:dyDescent="0.25">
      <c r="A61" s="28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105.49</v>
      </c>
      <c r="E61" s="2"/>
      <c r="F61" s="7">
        <f t="shared" si="28"/>
        <v>1.9500635836449171E-4</v>
      </c>
      <c r="G61" s="2"/>
      <c r="H61" s="6"/>
      <c r="I61" s="2"/>
      <c r="J61" s="7">
        <f t="shared" si="29"/>
        <v>0</v>
      </c>
      <c r="K61" s="2"/>
      <c r="L61" s="6">
        <f t="shared" si="30"/>
        <v>105.49</v>
      </c>
      <c r="M61" s="2"/>
      <c r="N61" s="7">
        <f t="shared" si="31"/>
        <v>0</v>
      </c>
      <c r="O61" s="11"/>
      <c r="P61" s="6">
        <v>105.49</v>
      </c>
      <c r="Q61" s="2"/>
      <c r="R61" s="7">
        <f t="shared" si="32"/>
        <v>1.1193013183022487E-4</v>
      </c>
      <c r="S61" s="2"/>
      <c r="T61" s="6">
        <v>1808.6</v>
      </c>
      <c r="U61" s="2"/>
      <c r="V61" s="7">
        <f t="shared" si="33"/>
        <v>1.9027954333204178E-3</v>
      </c>
      <c r="W61" s="2"/>
      <c r="X61" s="6">
        <f t="shared" si="34"/>
        <v>-1703.11</v>
      </c>
      <c r="Y61" s="2"/>
      <c r="Z61" s="7">
        <f t="shared" si="35"/>
        <v>-0.94167311732832026</v>
      </c>
    </row>
    <row r="62" spans="1:26" s="29" customFormat="1" outlineLevel="1" collapsed="1" x14ac:dyDescent="0.25">
      <c r="A62" s="27"/>
      <c r="B62" s="14" t="str">
        <f>CONCATENATE("     ","Services                                          ")</f>
        <v xml:space="preserve">     Services                                          </v>
      </c>
      <c r="C62" s="14"/>
      <c r="D62" s="1">
        <f>SUM(OSRRefD22_12x_0)</f>
        <v>8164.41</v>
      </c>
      <c r="E62" s="1"/>
      <c r="F62" s="5">
        <f t="shared" ref="F62:F65" si="36">IF(D$12=0,0,D62/D$12)</f>
        <v>1.5092538271823299E-2</v>
      </c>
      <c r="G62" s="1"/>
      <c r="H62" s="1">
        <f>SUM(OSRRefH22_12x_0)</f>
        <v>5178.4500000000007</v>
      </c>
      <c r="I62" s="1"/>
      <c r="J62" s="5">
        <f t="shared" ref="J62:J65" si="37">IF(H$12=0,0,H62/H$12)</f>
        <v>9.2698904035435209E-3</v>
      </c>
      <c r="K62" s="1"/>
      <c r="L62" s="1">
        <f t="shared" ref="L62:L65" si="38">+D62-H62</f>
        <v>2985.9599999999991</v>
      </c>
      <c r="M62" s="1"/>
      <c r="N62" s="5">
        <f t="shared" ref="N62:N65" si="39">IF(H62=0,0,L62/H62)</f>
        <v>0.57661269298728357</v>
      </c>
      <c r="O62" s="14"/>
      <c r="P62" s="1">
        <f>SUM(OSRRefP22_12x_0)</f>
        <v>19887.080000000002</v>
      </c>
      <c r="Q62" s="1"/>
      <c r="R62" s="5">
        <f t="shared" ref="R62:R65" si="40">IF(P$12=0,0,P62/P$12)</f>
        <v>2.1101180075061416E-2</v>
      </c>
      <c r="S62" s="1"/>
      <c r="T62" s="1">
        <f>SUM(OSRRefT22_12x_0)</f>
        <v>15717.470000000001</v>
      </c>
      <c r="U62" s="1"/>
      <c r="V62" s="5">
        <f t="shared" ref="V62:V65" si="41">IF(T$12=0,0,T62/T$12)</f>
        <v>1.6536066647877184E-2</v>
      </c>
      <c r="W62" s="1"/>
      <c r="X62" s="1">
        <f t="shared" ref="X62:X65" si="42">+P62-T62</f>
        <v>4169.6100000000006</v>
      </c>
      <c r="Y62" s="1"/>
      <c r="Z62" s="5">
        <f t="shared" ref="Z62:Z65" si="43">IF(T62=0,0,X62/T62)</f>
        <v>0.26528506178157174</v>
      </c>
    </row>
    <row r="63" spans="1:26" s="24" customFormat="1" hidden="1" outlineLevel="2" x14ac:dyDescent="0.25">
      <c r="A63" s="28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421.34</v>
      </c>
      <c r="E63" s="2"/>
      <c r="F63" s="7">
        <f t="shared" si="36"/>
        <v>7.7887931589055775E-4</v>
      </c>
      <c r="G63" s="2"/>
      <c r="H63" s="6">
        <v>421.34</v>
      </c>
      <c r="I63" s="2"/>
      <c r="J63" s="7">
        <f t="shared" si="37"/>
        <v>7.5423642646526006E-4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1264.02</v>
      </c>
      <c r="Q63" s="2"/>
      <c r="R63" s="7">
        <f t="shared" si="40"/>
        <v>1.341188029538732E-3</v>
      </c>
      <c r="S63" s="2"/>
      <c r="T63" s="6">
        <v>1264.02</v>
      </c>
      <c r="U63" s="2"/>
      <c r="V63" s="7">
        <f t="shared" si="41"/>
        <v>1.3298526394037791E-3</v>
      </c>
      <c r="W63" s="2"/>
      <c r="X63" s="6">
        <f t="shared" si="42"/>
        <v>0</v>
      </c>
      <c r="Y63" s="2"/>
      <c r="Z63" s="7">
        <f t="shared" si="43"/>
        <v>0</v>
      </c>
    </row>
    <row r="64" spans="1:26" s="24" customFormat="1" hidden="1" outlineLevel="2" x14ac:dyDescent="0.25">
      <c r="A64" s="28"/>
      <c r="B64" s="11" t="str">
        <f>CONCATENATE("          ", "6285", " - ", "JANITORIAL SERVICES")</f>
        <v xml:space="preserve">          6285 - JANITORIAL SERVICES</v>
      </c>
      <c r="C64" s="11"/>
      <c r="D64" s="6">
        <v>6383.67</v>
      </c>
      <c r="E64" s="2"/>
      <c r="F64" s="7">
        <f t="shared" si="36"/>
        <v>1.1800703760552231E-2</v>
      </c>
      <c r="G64" s="2"/>
      <c r="H64" s="6">
        <v>3635.73</v>
      </c>
      <c r="I64" s="2"/>
      <c r="J64" s="7">
        <f t="shared" si="37"/>
        <v>6.5082831034142027E-3</v>
      </c>
      <c r="K64" s="2"/>
      <c r="L64" s="6">
        <f t="shared" si="38"/>
        <v>2747.94</v>
      </c>
      <c r="M64" s="2"/>
      <c r="N64" s="7">
        <f t="shared" si="39"/>
        <v>0.75581520079873921</v>
      </c>
      <c r="O64" s="11"/>
      <c r="P64" s="6">
        <v>14404.51</v>
      </c>
      <c r="Q64" s="2"/>
      <c r="R64" s="7">
        <f t="shared" si="40"/>
        <v>1.5283900874488505E-2</v>
      </c>
      <c r="S64" s="2"/>
      <c r="T64" s="6">
        <v>10907.19</v>
      </c>
      <c r="U64" s="2"/>
      <c r="V64" s="7">
        <f t="shared" si="41"/>
        <v>1.1475257836093183E-2</v>
      </c>
      <c r="W64" s="2"/>
      <c r="X64" s="6">
        <f t="shared" si="42"/>
        <v>3497.3199999999997</v>
      </c>
      <c r="Y64" s="2"/>
      <c r="Z64" s="7">
        <f t="shared" si="43"/>
        <v>0.3206435388033031</v>
      </c>
    </row>
    <row r="65" spans="1:26" s="24" customFormat="1" hidden="1" outlineLevel="2" x14ac:dyDescent="0.25">
      <c r="A65" s="28"/>
      <c r="B65" s="11" t="str">
        <f>CONCATENATE("          ", "6286", " - ", "LAUNDRY EXPENSE")</f>
        <v xml:space="preserve">          6286 - LAUNDRY EXPENSE</v>
      </c>
      <c r="C65" s="11"/>
      <c r="D65" s="6">
        <v>1359.4</v>
      </c>
      <c r="E65" s="2"/>
      <c r="F65" s="7">
        <f t="shared" si="36"/>
        <v>2.5129551953805107E-3</v>
      </c>
      <c r="G65" s="2"/>
      <c r="H65" s="6">
        <v>1121.3800000000001</v>
      </c>
      <c r="I65" s="2"/>
      <c r="J65" s="7">
        <f t="shared" si="37"/>
        <v>2.0073708736640565E-3</v>
      </c>
      <c r="K65" s="2"/>
      <c r="L65" s="6">
        <f t="shared" si="38"/>
        <v>238.01999999999998</v>
      </c>
      <c r="M65" s="2"/>
      <c r="N65" s="7">
        <f t="shared" si="39"/>
        <v>0.2122563270256291</v>
      </c>
      <c r="O65" s="11"/>
      <c r="P65" s="6">
        <v>4218.55</v>
      </c>
      <c r="Q65" s="2"/>
      <c r="R65" s="7">
        <f t="shared" si="40"/>
        <v>4.4760911710341753E-3</v>
      </c>
      <c r="S65" s="2"/>
      <c r="T65" s="6">
        <v>3546.26</v>
      </c>
      <c r="U65" s="2"/>
      <c r="V65" s="7">
        <f t="shared" si="41"/>
        <v>3.73095617238022E-3</v>
      </c>
      <c r="W65" s="2"/>
      <c r="X65" s="6">
        <f t="shared" si="42"/>
        <v>672.29</v>
      </c>
      <c r="Y65" s="2"/>
      <c r="Z65" s="7">
        <f t="shared" si="43"/>
        <v>0.18957718836182341</v>
      </c>
    </row>
    <row r="66" spans="1:26" s="29" customFormat="1" outlineLevel="1" collapsed="1" x14ac:dyDescent="0.25">
      <c r="A66" s="27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SUM(OSRRefD22_13x_0)</f>
        <v>14830.4</v>
      </c>
      <c r="E66" s="1"/>
      <c r="F66" s="5">
        <f t="shared" ref="F66:F73" si="44">IF(D$12=0,0,D66/D$12)</f>
        <v>2.7415132212425423E-2</v>
      </c>
      <c r="G66" s="1"/>
      <c r="H66" s="1">
        <f>SUM(OSRRefH22_13x_0)</f>
        <v>9906.0499999999993</v>
      </c>
      <c r="I66" s="1"/>
      <c r="J66" s="5">
        <f t="shared" ref="J66:J73" si="45">IF(H$12=0,0,H66/H$12)</f>
        <v>1.7732718831314827E-2</v>
      </c>
      <c r="K66" s="1"/>
      <c r="L66" s="1">
        <f t="shared" ref="L66:L73" si="46">+D66-H66</f>
        <v>4924.3500000000004</v>
      </c>
      <c r="M66" s="1"/>
      <c r="N66" s="5">
        <f t="shared" ref="N66:N73" si="47">IF(H66=0,0,L66/H66)</f>
        <v>0.49710530433422007</v>
      </c>
      <c r="O66" s="14"/>
      <c r="P66" s="1">
        <f>SUM(OSRRefP22_13x_0)</f>
        <v>30718.929999999997</v>
      </c>
      <c r="Q66" s="1"/>
      <c r="R66" s="5">
        <f t="shared" ref="R66:R73" si="48">IF(P$12=0,0,P66/P$12)</f>
        <v>3.2594311162986535E-2</v>
      </c>
      <c r="S66" s="1"/>
      <c r="T66" s="1">
        <f>SUM(OSRRefT22_13x_0)</f>
        <v>29039.100000000002</v>
      </c>
      <c r="U66" s="1"/>
      <c r="V66" s="5">
        <f t="shared" ref="V66:V73" si="49">IF(T$12=0,0,T66/T$12)</f>
        <v>3.0551513252092755E-2</v>
      </c>
      <c r="W66" s="1"/>
      <c r="X66" s="1">
        <f t="shared" ref="X66:X73" si="50">+P66-T66</f>
        <v>1679.8299999999945</v>
      </c>
      <c r="Y66" s="1"/>
      <c r="Z66" s="5">
        <f t="shared" ref="Z66:Z73" si="51">IF(T66=0,0,X66/T66)</f>
        <v>5.7847178459387319E-2</v>
      </c>
    </row>
    <row r="67" spans="1:26" s="24" customFormat="1" hidden="1" outlineLevel="2" x14ac:dyDescent="0.25">
      <c r="A67" s="28"/>
      <c r="B67" s="11" t="str">
        <f>CONCATENATE("          ", "6237", " - ", "JANITORIAL SUPPLIES")</f>
        <v xml:space="preserve">          6237 - JANITORIAL SUPPLIES</v>
      </c>
      <c r="C67" s="11"/>
      <c r="D67" s="6">
        <v>3300.04</v>
      </c>
      <c r="E67" s="2"/>
      <c r="F67" s="7">
        <f t="shared" si="44"/>
        <v>6.1003771244398262E-3</v>
      </c>
      <c r="G67" s="2"/>
      <c r="H67" s="6">
        <v>4923.49</v>
      </c>
      <c r="I67" s="2"/>
      <c r="J67" s="7">
        <f t="shared" si="45"/>
        <v>8.8134891141060517E-3</v>
      </c>
      <c r="K67" s="2"/>
      <c r="L67" s="6">
        <f t="shared" si="46"/>
        <v>-1623.4499999999998</v>
      </c>
      <c r="M67" s="2"/>
      <c r="N67" s="7">
        <f t="shared" si="47"/>
        <v>-0.32973561437110666</v>
      </c>
      <c r="O67" s="11"/>
      <c r="P67" s="6">
        <v>10664.07</v>
      </c>
      <c r="Q67" s="2"/>
      <c r="R67" s="7">
        <f t="shared" si="48"/>
        <v>1.1315108170885829E-2</v>
      </c>
      <c r="S67" s="2"/>
      <c r="T67" s="6">
        <v>10013.700000000001</v>
      </c>
      <c r="U67" s="2"/>
      <c r="V67" s="7">
        <f t="shared" si="49"/>
        <v>1.053523312542335E-2</v>
      </c>
      <c r="W67" s="2"/>
      <c r="X67" s="6">
        <f t="shared" si="50"/>
        <v>650.36999999999898</v>
      </c>
      <c r="Y67" s="2"/>
      <c r="Z67" s="7">
        <f t="shared" si="51"/>
        <v>6.4948021210940898E-2</v>
      </c>
    </row>
    <row r="68" spans="1:26" s="24" customFormat="1" hidden="1" outlineLevel="2" x14ac:dyDescent="0.25">
      <c r="A68" s="28"/>
      <c r="B68" s="11" t="str">
        <f>CONCATENATE("          ", "6239", " - ", "KITCHEN SUPPLIES")</f>
        <v xml:space="preserve">          6239 - KITCHEN SUPPLIES</v>
      </c>
      <c r="C68" s="11"/>
      <c r="D68" s="6">
        <v>8940.1200000000008</v>
      </c>
      <c r="E68" s="2"/>
      <c r="F68" s="7">
        <f t="shared" si="44"/>
        <v>1.6526497720557018E-2</v>
      </c>
      <c r="G68" s="2"/>
      <c r="H68" s="6">
        <v>660.28</v>
      </c>
      <c r="I68" s="2"/>
      <c r="J68" s="7">
        <f t="shared" si="45"/>
        <v>1.1819604776818768E-3</v>
      </c>
      <c r="K68" s="2"/>
      <c r="L68" s="6">
        <f t="shared" si="46"/>
        <v>8279.84</v>
      </c>
      <c r="M68" s="2"/>
      <c r="N68" s="7">
        <f t="shared" si="47"/>
        <v>12.539892166959472</v>
      </c>
      <c r="O68" s="11"/>
      <c r="P68" s="6">
        <v>10813.2</v>
      </c>
      <c r="Q68" s="2"/>
      <c r="R68" s="7">
        <f t="shared" si="48"/>
        <v>1.1473342511200945E-2</v>
      </c>
      <c r="S68" s="2"/>
      <c r="T68" s="6">
        <v>4379.0200000000004</v>
      </c>
      <c r="U68" s="2"/>
      <c r="V68" s="7">
        <f t="shared" si="49"/>
        <v>4.6070879456036589E-3</v>
      </c>
      <c r="W68" s="2"/>
      <c r="X68" s="6">
        <f t="shared" si="50"/>
        <v>6434.18</v>
      </c>
      <c r="Y68" s="2"/>
      <c r="Z68" s="7">
        <f t="shared" si="51"/>
        <v>1.469319619458235</v>
      </c>
    </row>
    <row r="69" spans="1:26" s="24" customFormat="1" hidden="1" outlineLevel="2" x14ac:dyDescent="0.25">
      <c r="A69" s="28"/>
      <c r="B69" s="11" t="str">
        <f>CONCATENATE("          ", "6241", " - ", "OFFICE EXPENSE")</f>
        <v xml:space="preserve">          6241 - OFFICE EXPENSE</v>
      </c>
      <c r="C69" s="11"/>
      <c r="D69" s="6">
        <v>147.97999999999999</v>
      </c>
      <c r="E69" s="2"/>
      <c r="F69" s="7">
        <f t="shared" si="44"/>
        <v>2.7355238326644689E-4</v>
      </c>
      <c r="G69" s="2"/>
      <c r="H69" s="6">
        <v>334.95</v>
      </c>
      <c r="I69" s="2"/>
      <c r="J69" s="7">
        <f t="shared" si="45"/>
        <v>5.9959057066630013E-4</v>
      </c>
      <c r="K69" s="2"/>
      <c r="L69" s="6">
        <f t="shared" si="46"/>
        <v>-186.97</v>
      </c>
      <c r="M69" s="2"/>
      <c r="N69" s="7">
        <f t="shared" si="47"/>
        <v>-0.5582027168234065</v>
      </c>
      <c r="O69" s="11"/>
      <c r="P69" s="6">
        <v>980.57</v>
      </c>
      <c r="Q69" s="2"/>
      <c r="R69" s="7">
        <f t="shared" si="48"/>
        <v>1.0404334948219129E-3</v>
      </c>
      <c r="S69" s="2"/>
      <c r="T69" s="6">
        <v>1405.72</v>
      </c>
      <c r="U69" s="2"/>
      <c r="V69" s="7">
        <f t="shared" si="49"/>
        <v>1.4789326531721653E-3</v>
      </c>
      <c r="W69" s="2"/>
      <c r="X69" s="6">
        <f t="shared" si="50"/>
        <v>-425.15</v>
      </c>
      <c r="Y69" s="2"/>
      <c r="Z69" s="7">
        <f t="shared" si="51"/>
        <v>-0.30244287624847049</v>
      </c>
    </row>
    <row r="70" spans="1:26" s="24" customFormat="1" hidden="1" outlineLevel="2" x14ac:dyDescent="0.25">
      <c r="A70" s="28"/>
      <c r="B70" s="11" t="str">
        <f>CONCATENATE("          ", "6243", " - ", "PAPER SUPPLIES")</f>
        <v xml:space="preserve">          6243 - PAPER SUPPLIES</v>
      </c>
      <c r="C70" s="11"/>
      <c r="D70" s="6">
        <v>2442.2600000000002</v>
      </c>
      <c r="E70" s="2"/>
      <c r="F70" s="7">
        <f t="shared" si="44"/>
        <v>4.5147049841621351E-3</v>
      </c>
      <c r="G70" s="2"/>
      <c r="H70" s="6">
        <v>3987.33</v>
      </c>
      <c r="I70" s="2"/>
      <c r="J70" s="7">
        <f t="shared" si="45"/>
        <v>7.1376786688606012E-3</v>
      </c>
      <c r="K70" s="2"/>
      <c r="L70" s="6">
        <f t="shared" si="46"/>
        <v>-1545.0699999999997</v>
      </c>
      <c r="M70" s="2"/>
      <c r="N70" s="7">
        <f t="shared" si="47"/>
        <v>-0.38749489006427856</v>
      </c>
      <c r="O70" s="11"/>
      <c r="P70" s="6">
        <v>6398.37</v>
      </c>
      <c r="Q70" s="2"/>
      <c r="R70" s="7">
        <f t="shared" si="48"/>
        <v>6.7889885069537959E-3</v>
      </c>
      <c r="S70" s="2"/>
      <c r="T70" s="6">
        <v>10239.57</v>
      </c>
      <c r="U70" s="2"/>
      <c r="V70" s="7">
        <f t="shared" si="49"/>
        <v>1.0772866877786549E-2</v>
      </c>
      <c r="W70" s="2"/>
      <c r="X70" s="6">
        <f t="shared" si="50"/>
        <v>-3841.2</v>
      </c>
      <c r="Y70" s="2"/>
      <c r="Z70" s="7">
        <f t="shared" si="51"/>
        <v>-0.37513294015276033</v>
      </c>
    </row>
    <row r="71" spans="1:26" s="24" customFormat="1" hidden="1" outlineLevel="2" x14ac:dyDescent="0.25">
      <c r="A71" s="28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>
        <v>441</v>
      </c>
      <c r="Q71" s="2"/>
      <c r="R71" s="7">
        <f t="shared" si="48"/>
        <v>4.6792291342429774E-4</v>
      </c>
      <c r="S71" s="2"/>
      <c r="T71" s="6"/>
      <c r="U71" s="2"/>
      <c r="V71" s="7">
        <f t="shared" si="49"/>
        <v>0</v>
      </c>
      <c r="W71" s="2"/>
      <c r="X71" s="6">
        <f t="shared" si="50"/>
        <v>441</v>
      </c>
      <c r="Y71" s="2"/>
      <c r="Z71" s="7">
        <f t="shared" si="51"/>
        <v>0</v>
      </c>
    </row>
    <row r="72" spans="1:26" s="24" customFormat="1" hidden="1" outlineLevel="2" x14ac:dyDescent="0.25">
      <c r="A72" s="28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>
        <v>153.87</v>
      </c>
      <c r="Q72" s="2"/>
      <c r="R72" s="7">
        <f t="shared" si="48"/>
        <v>1.6326371584715802E-4</v>
      </c>
      <c r="S72" s="2"/>
      <c r="T72" s="6"/>
      <c r="U72" s="2"/>
      <c r="V72" s="7">
        <f t="shared" si="49"/>
        <v>0</v>
      </c>
      <c r="W72" s="2"/>
      <c r="X72" s="6">
        <f t="shared" si="50"/>
        <v>153.87</v>
      </c>
      <c r="Y72" s="2"/>
      <c r="Z72" s="7">
        <f t="shared" si="51"/>
        <v>0</v>
      </c>
    </row>
    <row r="73" spans="1:26" s="24" customFormat="1" hidden="1" outlineLevel="2" x14ac:dyDescent="0.25">
      <c r="A73" s="28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1267.8499999999999</v>
      </c>
      <c r="Q73" s="2"/>
      <c r="R73" s="7">
        <f t="shared" si="48"/>
        <v>1.3452518498525982E-3</v>
      </c>
      <c r="S73" s="2"/>
      <c r="T73" s="6">
        <v>3001.09</v>
      </c>
      <c r="U73" s="2"/>
      <c r="V73" s="7">
        <f t="shared" si="49"/>
        <v>3.1573926501070296E-3</v>
      </c>
      <c r="W73" s="2"/>
      <c r="X73" s="6">
        <f t="shared" si="50"/>
        <v>-1733.2400000000002</v>
      </c>
      <c r="Y73" s="2"/>
      <c r="Z73" s="7">
        <f t="shared" si="51"/>
        <v>-0.57753682828572295</v>
      </c>
    </row>
    <row r="74" spans="1:26" s="29" customFormat="1" outlineLevel="1" collapsed="1" x14ac:dyDescent="0.25">
      <c r="A74" s="27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SUM(OSRRefD22_14x_0)</f>
        <v>425</v>
      </c>
      <c r="E74" s="1"/>
      <c r="F74" s="5">
        <f t="shared" ref="F74:F79" si="52">IF(D$12=0,0,D74/D$12)</f>
        <v>7.8564510669171467E-4</v>
      </c>
      <c r="G74" s="1"/>
      <c r="H74" s="1">
        <f>SUM(OSRRefH22_14x_0)</f>
        <v>325</v>
      </c>
      <c r="I74" s="1"/>
      <c r="J74" s="5">
        <f t="shared" ref="J74:J79" si="53">IF(H$12=0,0,H74/H$12)</f>
        <v>5.8177917738930446E-4</v>
      </c>
      <c r="K74" s="1"/>
      <c r="L74" s="1">
        <f t="shared" ref="L74:L79" si="54">+D74-H74</f>
        <v>100</v>
      </c>
      <c r="M74" s="1"/>
      <c r="N74" s="5">
        <f t="shared" ref="N74:N79" si="55">IF(H74=0,0,L74/H74)</f>
        <v>0.30769230769230771</v>
      </c>
      <c r="O74" s="14"/>
      <c r="P74" s="1">
        <f>SUM(OSRRefP22_14x_0)</f>
        <v>1030.45</v>
      </c>
      <c r="Q74" s="1"/>
      <c r="R74" s="5">
        <f t="shared" ref="R74:R79" si="56">IF(P$12=0,0,P74/P$12)</f>
        <v>1.093358653374303E-3</v>
      </c>
      <c r="S74" s="1"/>
      <c r="T74" s="1">
        <f>SUM(OSRRefT22_14x_0)</f>
        <v>683.8</v>
      </c>
      <c r="U74" s="1"/>
      <c r="V74" s="5">
        <f t="shared" ref="V74:V79" si="57">IF(T$12=0,0,T74/T$12)</f>
        <v>7.194136444235883E-4</v>
      </c>
      <c r="W74" s="1"/>
      <c r="X74" s="1">
        <f t="shared" ref="X74:X79" si="58">+P74-T74</f>
        <v>346.65000000000009</v>
      </c>
      <c r="Y74" s="1"/>
      <c r="Z74" s="5">
        <f t="shared" ref="Z74:Z79" si="59">IF(T74=0,0,X74/T74)</f>
        <v>0.50694647557765449</v>
      </c>
    </row>
    <row r="75" spans="1:26" s="24" customFormat="1" hidden="1" outlineLevel="2" x14ac:dyDescent="0.25">
      <c r="A75" s="28"/>
      <c r="B75" s="11" t="str">
        <f>CONCATENATE("          ", "6309", " - ", "TELEPHONE")</f>
        <v xml:space="preserve">          6309 - TELEPHONE</v>
      </c>
      <c r="C75" s="11"/>
      <c r="D75" s="6">
        <v>425</v>
      </c>
      <c r="E75" s="2"/>
      <c r="F75" s="7">
        <f t="shared" si="52"/>
        <v>7.8564510669171467E-4</v>
      </c>
      <c r="G75" s="2"/>
      <c r="H75" s="6">
        <v>325</v>
      </c>
      <c r="I75" s="2"/>
      <c r="J75" s="7">
        <f t="shared" si="53"/>
        <v>5.8177917738930446E-4</v>
      </c>
      <c r="K75" s="2"/>
      <c r="L75" s="6">
        <f t="shared" si="54"/>
        <v>100</v>
      </c>
      <c r="M75" s="2"/>
      <c r="N75" s="7">
        <f t="shared" si="55"/>
        <v>0.30769230769230771</v>
      </c>
      <c r="O75" s="11"/>
      <c r="P75" s="6">
        <v>1030.45</v>
      </c>
      <c r="Q75" s="2"/>
      <c r="R75" s="7">
        <f t="shared" si="56"/>
        <v>1.093358653374303E-3</v>
      </c>
      <c r="S75" s="2"/>
      <c r="T75" s="6">
        <v>683.8</v>
      </c>
      <c r="U75" s="2"/>
      <c r="V75" s="7">
        <f t="shared" si="57"/>
        <v>7.194136444235883E-4</v>
      </c>
      <c r="W75" s="2"/>
      <c r="X75" s="6">
        <f t="shared" si="58"/>
        <v>346.65000000000009</v>
      </c>
      <c r="Y75" s="2"/>
      <c r="Z75" s="7">
        <f t="shared" si="59"/>
        <v>0.50694647557765449</v>
      </c>
    </row>
    <row r="76" spans="1:26" s="29" customFormat="1" outlineLevel="1" collapsed="1" x14ac:dyDescent="0.25">
      <c r="A76" s="27"/>
      <c r="B76" s="14" t="str">
        <f>CONCATENATE("     ","Training                                          ")</f>
        <v xml:space="preserve">     Training                                          </v>
      </c>
      <c r="C76" s="14"/>
      <c r="D76" s="1">
        <f>SUM(OSRRefD22_15x_0)</f>
        <v>96</v>
      </c>
      <c r="E76" s="1"/>
      <c r="F76" s="5">
        <f t="shared" si="52"/>
        <v>1.7746336527624614E-4</v>
      </c>
      <c r="G76" s="1"/>
      <c r="H76" s="1">
        <f>SUM(OSRRefH22_15x_0)</f>
        <v>80</v>
      </c>
      <c r="I76" s="1"/>
      <c r="J76" s="5">
        <f t="shared" si="53"/>
        <v>1.4320718212659802E-4</v>
      </c>
      <c r="K76" s="1"/>
      <c r="L76" s="1">
        <f t="shared" si="54"/>
        <v>16</v>
      </c>
      <c r="M76" s="1"/>
      <c r="N76" s="5">
        <f t="shared" si="55"/>
        <v>0.2</v>
      </c>
      <c r="O76" s="14"/>
      <c r="P76" s="1">
        <f>SUM(OSRRefP22_15x_0)</f>
        <v>590</v>
      </c>
      <c r="Q76" s="1"/>
      <c r="R76" s="5">
        <f t="shared" si="56"/>
        <v>6.2601931727967271E-4</v>
      </c>
      <c r="S76" s="1"/>
      <c r="T76" s="1">
        <f>SUM(OSRRefT22_15x_0)</f>
        <v>515.80999999999995</v>
      </c>
      <c r="U76" s="1"/>
      <c r="V76" s="5">
        <f t="shared" si="57"/>
        <v>5.4267439592005124E-4</v>
      </c>
      <c r="W76" s="1"/>
      <c r="X76" s="1">
        <f t="shared" si="58"/>
        <v>74.190000000000055</v>
      </c>
      <c r="Y76" s="1"/>
      <c r="Z76" s="5">
        <f t="shared" si="59"/>
        <v>0.14383203117426971</v>
      </c>
    </row>
    <row r="77" spans="1:26" s="24" customFormat="1" hidden="1" outlineLevel="2" x14ac:dyDescent="0.25">
      <c r="A77" s="28"/>
      <c r="B77" s="11" t="str">
        <f>CONCATENATE("          ", "6376", " - ", "TRAINING")</f>
        <v xml:space="preserve">          6376 - TRAINING</v>
      </c>
      <c r="C77" s="11"/>
      <c r="D77" s="6">
        <v>96</v>
      </c>
      <c r="E77" s="2"/>
      <c r="F77" s="7">
        <f t="shared" si="52"/>
        <v>1.7746336527624614E-4</v>
      </c>
      <c r="G77" s="2"/>
      <c r="H77" s="6">
        <v>80</v>
      </c>
      <c r="I77" s="2"/>
      <c r="J77" s="7">
        <f t="shared" si="53"/>
        <v>1.4320718212659802E-4</v>
      </c>
      <c r="K77" s="2"/>
      <c r="L77" s="6">
        <f t="shared" si="54"/>
        <v>16</v>
      </c>
      <c r="M77" s="2"/>
      <c r="N77" s="7">
        <f t="shared" si="55"/>
        <v>0.2</v>
      </c>
      <c r="O77" s="11"/>
      <c r="P77" s="6">
        <v>590</v>
      </c>
      <c r="Q77" s="2"/>
      <c r="R77" s="7">
        <f t="shared" si="56"/>
        <v>6.2601931727967271E-4</v>
      </c>
      <c r="S77" s="2"/>
      <c r="T77" s="6">
        <v>515.80999999999995</v>
      </c>
      <c r="U77" s="2"/>
      <c r="V77" s="7">
        <f t="shared" si="57"/>
        <v>5.4267439592005124E-4</v>
      </c>
      <c r="W77" s="2"/>
      <c r="X77" s="6">
        <f t="shared" si="58"/>
        <v>74.190000000000055</v>
      </c>
      <c r="Y77" s="2"/>
      <c r="Z77" s="7">
        <f t="shared" si="59"/>
        <v>0.14383203117426971</v>
      </c>
    </row>
    <row r="78" spans="1:26" s="29" customFormat="1" outlineLevel="1" collapsed="1" x14ac:dyDescent="0.25">
      <c r="A78" s="27"/>
      <c r="B78" s="14" t="str">
        <f>CONCATENATE("     ","Travel                                            ")</f>
        <v xml:space="preserve">     Travel                                            </v>
      </c>
      <c r="C78" s="14"/>
      <c r="D78" s="1">
        <f>SUM(OSRRefD22_16x_0)</f>
        <v>0</v>
      </c>
      <c r="E78" s="1"/>
      <c r="F78" s="5">
        <f t="shared" si="52"/>
        <v>0</v>
      </c>
      <c r="G78" s="1"/>
      <c r="H78" s="1">
        <f>SUM(OSRRefH22_16x_0)</f>
        <v>0</v>
      </c>
      <c r="I78" s="1"/>
      <c r="J78" s="5">
        <f t="shared" si="53"/>
        <v>0</v>
      </c>
      <c r="K78" s="1"/>
      <c r="L78" s="1">
        <f t="shared" si="54"/>
        <v>0</v>
      </c>
      <c r="M78" s="1"/>
      <c r="N78" s="5">
        <f t="shared" si="55"/>
        <v>0</v>
      </c>
      <c r="O78" s="14"/>
      <c r="P78" s="1">
        <f>SUM(OSRRefP22_16x_0)</f>
        <v>59.14</v>
      </c>
      <c r="Q78" s="1"/>
      <c r="R78" s="5">
        <f t="shared" si="56"/>
        <v>6.2750478684609902E-5</v>
      </c>
      <c r="S78" s="1"/>
      <c r="T78" s="1">
        <f>SUM(OSRRefT22_16x_0)</f>
        <v>0</v>
      </c>
      <c r="U78" s="1"/>
      <c r="V78" s="5">
        <f t="shared" si="57"/>
        <v>0</v>
      </c>
      <c r="W78" s="1"/>
      <c r="X78" s="1">
        <f t="shared" si="58"/>
        <v>59.14</v>
      </c>
      <c r="Y78" s="1"/>
      <c r="Z78" s="5">
        <f t="shared" si="59"/>
        <v>0</v>
      </c>
    </row>
    <row r="79" spans="1:26" s="24" customFormat="1" hidden="1" outlineLevel="2" x14ac:dyDescent="0.25">
      <c r="A79" s="28"/>
      <c r="B79" s="11" t="str">
        <f>CONCATENATE("          ", "6292", " - ", "TRAVEL/CONFERENCE")</f>
        <v xml:space="preserve">          6292 - TRAVEL/CONFERENCE</v>
      </c>
      <c r="C79" s="11"/>
      <c r="D79" s="6"/>
      <c r="E79" s="2"/>
      <c r="F79" s="7">
        <f t="shared" si="52"/>
        <v>0</v>
      </c>
      <c r="G79" s="2"/>
      <c r="H79" s="6"/>
      <c r="I79" s="2"/>
      <c r="J79" s="7">
        <f t="shared" si="53"/>
        <v>0</v>
      </c>
      <c r="K79" s="2"/>
      <c r="L79" s="6">
        <f t="shared" si="54"/>
        <v>0</v>
      </c>
      <c r="M79" s="2"/>
      <c r="N79" s="7">
        <f t="shared" si="55"/>
        <v>0</v>
      </c>
      <c r="O79" s="11"/>
      <c r="P79" s="6">
        <v>59.14</v>
      </c>
      <c r="Q79" s="2"/>
      <c r="R79" s="7">
        <f t="shared" si="56"/>
        <v>6.2750478684609902E-5</v>
      </c>
      <c r="S79" s="2"/>
      <c r="T79" s="6"/>
      <c r="U79" s="2"/>
      <c r="V79" s="7">
        <f t="shared" si="57"/>
        <v>0</v>
      </c>
      <c r="W79" s="2"/>
      <c r="X79" s="6">
        <f t="shared" si="58"/>
        <v>59.14</v>
      </c>
      <c r="Y79" s="2"/>
      <c r="Z79" s="7">
        <f t="shared" si="59"/>
        <v>0</v>
      </c>
    </row>
    <row r="80" spans="1:26" s="53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5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6" t="s">
        <v>3</v>
      </c>
      <c r="C83" s="26"/>
      <c r="D83" s="21">
        <f>+D21-D23+D81</f>
        <v>211526.30999999997</v>
      </c>
      <c r="E83" s="13"/>
      <c r="F83" s="20">
        <f>IF(D$12=0,0,D83/D$12)</f>
        <v>0.39102261267777572</v>
      </c>
      <c r="G83" s="13"/>
      <c r="H83" s="21">
        <f>+H21-H23+H81</f>
        <v>258038.93999999997</v>
      </c>
      <c r="I83" s="13"/>
      <c r="J83" s="20">
        <f>IF(H$12=0,0,H83/H$12)</f>
        <v>0.46191286845417873</v>
      </c>
      <c r="K83" s="15"/>
      <c r="L83" s="21">
        <f>+D83-H83</f>
        <v>-46512.630000000005</v>
      </c>
      <c r="M83" s="15"/>
      <c r="N83" s="20">
        <f>IF(H83=0,0,L83/H83)</f>
        <v>-0.18025430580361246</v>
      </c>
      <c r="O83" s="25"/>
      <c r="P83" s="21">
        <f>+P21-P23+P81</f>
        <v>189630.94999999995</v>
      </c>
      <c r="Q83" s="13"/>
      <c r="R83" s="20">
        <f>IF(P$12=0,0,P83/P$12)</f>
        <v>0.20120786076965377</v>
      </c>
      <c r="S83" s="13"/>
      <c r="T83" s="21">
        <f>+T21-T23+T81</f>
        <v>225634.76000000007</v>
      </c>
      <c r="U83" s="13"/>
      <c r="V83" s="20">
        <f>IF(T$12=0,0,T83/T$12)</f>
        <v>0.23738626060286888</v>
      </c>
      <c r="W83" s="15"/>
      <c r="X83" s="21">
        <f>+P83-T83</f>
        <v>-36003.810000000114</v>
      </c>
      <c r="Y83" s="15"/>
      <c r="Z83" s="20">
        <f>IF(T83=0,0,X83/T83)</f>
        <v>-0.15956677065182734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>
        <v>51172.51</v>
      </c>
      <c r="E85" s="4"/>
      <c r="F85" s="12">
        <f>IF(D$12=0,0,D85/D$12)</f>
        <v>9.4596310773253742E-2</v>
      </c>
      <c r="G85" s="4"/>
      <c r="H85" s="4">
        <v>44441.270000000004</v>
      </c>
      <c r="I85" s="4"/>
      <c r="J85" s="12">
        <f>IF(H$12=0,0,H85/H$12)</f>
        <v>7.9553863085341472E-2</v>
      </c>
      <c r="K85" s="4"/>
      <c r="L85" s="4">
        <f>+D85-H85</f>
        <v>6731.239999999998</v>
      </c>
      <c r="M85" s="4"/>
      <c r="N85" s="12">
        <f>IF(H85=0,0,L85/H85)</f>
        <v>0.15146371829607924</v>
      </c>
      <c r="O85" s="10"/>
      <c r="P85" s="4">
        <v>101233.01000000001</v>
      </c>
      <c r="Q85" s="4"/>
      <c r="R85" s="12">
        <f>IF(P$12=0,0,P85/P$12)</f>
        <v>0.1074132539090954</v>
      </c>
      <c r="S85" s="4"/>
      <c r="T85" s="4">
        <v>84448.85</v>
      </c>
      <c r="U85" s="4"/>
      <c r="V85" s="12">
        <f>IF(T$12=0,0,T85/T$12)</f>
        <v>8.8847111649431043E-2</v>
      </c>
      <c r="W85" s="4"/>
      <c r="X85" s="4">
        <f>+P85-T85</f>
        <v>16784.160000000003</v>
      </c>
      <c r="Y85" s="4"/>
      <c r="Z85" s="12">
        <f>IF(T85=0,0,X85/T85)</f>
        <v>0.19874942050720645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6" t="s">
        <v>4</v>
      </c>
      <c r="C87" s="26"/>
      <c r="D87" s="35">
        <f>+D83-D85</f>
        <v>160353.79999999996</v>
      </c>
      <c r="E87" s="13"/>
      <c r="F87" s="30">
        <f>IF(D$12=0,0,D87/D$12)</f>
        <v>0.29642630190452196</v>
      </c>
      <c r="G87" s="13"/>
      <c r="H87" s="35">
        <f>+H83-H85</f>
        <v>213597.66999999998</v>
      </c>
      <c r="I87" s="13"/>
      <c r="J87" s="30">
        <f>IF(H$12=0,0,H87/H$12)</f>
        <v>0.38235900536883727</v>
      </c>
      <c r="K87" s="15"/>
      <c r="L87" s="35">
        <f>D87-H87</f>
        <v>-53243.870000000024</v>
      </c>
      <c r="M87" s="15"/>
      <c r="N87" s="30">
        <f>IF(H87=0,0,L87/H87)</f>
        <v>-0.24927177342337128</v>
      </c>
      <c r="O87" s="25"/>
      <c r="P87" s="35">
        <f>+P83-P85</f>
        <v>88397.939999999944</v>
      </c>
      <c r="Q87" s="13"/>
      <c r="R87" s="30">
        <f>IF(P$12=0,0,P87/P$12)</f>
        <v>9.3794606860558363E-2</v>
      </c>
      <c r="S87" s="13"/>
      <c r="T87" s="35">
        <f>+T83-T85</f>
        <v>141185.91000000006</v>
      </c>
      <c r="U87" s="13"/>
      <c r="V87" s="30">
        <f>IF(T$12=0,0,T87/T$12)</f>
        <v>0.14853914895343784</v>
      </c>
      <c r="W87" s="15"/>
      <c r="X87" s="35">
        <f>P87-T87</f>
        <v>-52787.970000000118</v>
      </c>
      <c r="Y87" s="15"/>
      <c r="Z87" s="30">
        <f>IF(T87=0,0,X87/T87)</f>
        <v>-0.37388978829403086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6" t="s">
        <v>5</v>
      </c>
      <c r="C90" s="26"/>
      <c r="D90" s="36">
        <f>SUM(D87:D89)</f>
        <v>160353.79999999996</v>
      </c>
      <c r="E90" s="13"/>
      <c r="F90" s="31">
        <f>IF(D$12=0,0,D90/D$12)</f>
        <v>0.29642630190452196</v>
      </c>
      <c r="G90" s="13"/>
      <c r="H90" s="36">
        <f>SUM(H87:H89)</f>
        <v>213597.66999999998</v>
      </c>
      <c r="I90" s="13"/>
      <c r="J90" s="31">
        <f>IF(H$12=0,0,H90/H$12)</f>
        <v>0.38235900536883727</v>
      </c>
      <c r="K90" s="15"/>
      <c r="L90" s="36">
        <f>+D90-H90</f>
        <v>-53243.870000000024</v>
      </c>
      <c r="M90" s="15"/>
      <c r="N90" s="31">
        <f>IF(H90=0,0,L90/H90)</f>
        <v>-0.24927177342337128</v>
      </c>
      <c r="O90" s="25"/>
      <c r="P90" s="36">
        <f>SUM(P87:P89)</f>
        <v>88397.939999999944</v>
      </c>
      <c r="Q90" s="13"/>
      <c r="R90" s="31">
        <f>IF(P$12=0,0,P90/P$12)</f>
        <v>9.3794606860558363E-2</v>
      </c>
      <c r="S90" s="13"/>
      <c r="T90" s="36">
        <f>SUM(T87:T89)</f>
        <v>141185.91000000006</v>
      </c>
      <c r="U90" s="13"/>
      <c r="V90" s="31">
        <f>IF(T$12=0,0,T90/T$12)</f>
        <v>0.14853914895343784</v>
      </c>
      <c r="W90" s="15"/>
      <c r="X90" s="36">
        <f>+P90-T90</f>
        <v>-52787.970000000118</v>
      </c>
      <c r="Y90" s="15"/>
      <c r="Z90" s="31">
        <f>IF(T90=0,0,X90/T90)</f>
        <v>-0.37388978829403086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5">
        <v>43756.463544062499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6" t="s">
        <v>313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7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","445", " - ", "Central Park Coffee House")</f>
        <v>Department 445 - Central Park Coffee House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0</v>
      </c>
      <c r="E18" s="22"/>
      <c r="F18" s="34">
        <f t="shared" ref="F18:F20" si="0">IF(D$12=0,0,D18/D$12)</f>
        <v>0</v>
      </c>
      <c r="G18" s="22"/>
      <c r="H18" s="22">
        <f>SUM(OSRRefH22x_0)</f>
        <v>0</v>
      </c>
      <c r="I18" s="22"/>
      <c r="J18" s="34">
        <f t="shared" ref="J18:J20" si="1">IF(H$12=0,0,H18/H$12)</f>
        <v>0</v>
      </c>
      <c r="K18" s="4"/>
      <c r="L18" s="22">
        <f t="shared" ref="L18:L20" si="2">+D18-H18</f>
        <v>0</v>
      </c>
      <c r="M18" s="4"/>
      <c r="N18" s="34">
        <f t="shared" ref="N18:N20" si="3">IF(H18=0,0,L18/H18)</f>
        <v>0</v>
      </c>
      <c r="O18" s="10"/>
      <c r="P18" s="22">
        <f>SUM(OSRRefP22x_0)</f>
        <v>0</v>
      </c>
      <c r="Q18" s="22"/>
      <c r="R18" s="34">
        <f t="shared" ref="R18:R20" si="4">IF(P$12=0,0,P18/P$12)</f>
        <v>0</v>
      </c>
      <c r="S18" s="22"/>
      <c r="T18" s="22">
        <f>SUM(OSRRefT22x_0)</f>
        <v>929.2</v>
      </c>
      <c r="U18" s="22"/>
      <c r="V18" s="34">
        <f t="shared" ref="V18:V20" si="5">IF(T$12=0,0,T18/T$12)</f>
        <v>0</v>
      </c>
      <c r="W18" s="4"/>
      <c r="X18" s="22">
        <f t="shared" ref="X18:X20" si="6">+P18-T18</f>
        <v>-929.2</v>
      </c>
      <c r="Y18" s="4"/>
      <c r="Z18" s="34">
        <f t="shared" ref="Z18:Z20" si="7">IF(T18=0,0,X18/T18)</f>
        <v>-1</v>
      </c>
    </row>
    <row r="19" spans="1:26" s="29" customFormat="1" outlineLevel="1" collapsed="1" x14ac:dyDescent="0.25">
      <c r="A19" s="27"/>
      <c r="B19" s="14" t="str">
        <f>CONCATENATE("     ","General                                           ")</f>
        <v xml:space="preserve">     General  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929.2</v>
      </c>
      <c r="U19" s="1"/>
      <c r="V19" s="5">
        <f t="shared" si="5"/>
        <v>0</v>
      </c>
      <c r="W19" s="1"/>
      <c r="X19" s="1">
        <f t="shared" si="6"/>
        <v>-929.2</v>
      </c>
      <c r="Y19" s="1"/>
      <c r="Z19" s="5">
        <f t="shared" si="7"/>
        <v>-1</v>
      </c>
    </row>
    <row r="20" spans="1:26" s="24" customFormat="1" hidden="1" outlineLevel="2" x14ac:dyDescent="0.25">
      <c r="A20" s="28"/>
      <c r="B20" s="11" t="str">
        <f>CONCATENATE("          ", "6279", " - ", "GENERAL EXPENSE")</f>
        <v xml:space="preserve">          6279 - GENERAL EXPENSE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929.2</v>
      </c>
      <c r="U20" s="2"/>
      <c r="V20" s="7">
        <f t="shared" si="5"/>
        <v>0</v>
      </c>
      <c r="W20" s="2"/>
      <c r="X20" s="6">
        <f t="shared" si="6"/>
        <v>-929.2</v>
      </c>
      <c r="Y20" s="2"/>
      <c r="Z20" s="7">
        <f t="shared" si="7"/>
        <v>-1</v>
      </c>
    </row>
    <row r="21" spans="1:26" s="53" customFormat="1" x14ac:dyDescent="0.25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3</v>
      </c>
      <c r="C24" s="26"/>
      <c r="D24" s="21">
        <f>+D16-D18+D22</f>
        <v>0</v>
      </c>
      <c r="E24" s="13"/>
      <c r="F24" s="20">
        <f>IF(D$12=0,0,D24/D$12)</f>
        <v>0</v>
      </c>
      <c r="G24" s="13"/>
      <c r="H24" s="21">
        <f>+H16-H18+H22</f>
        <v>0</v>
      </c>
      <c r="I24" s="13"/>
      <c r="J24" s="20">
        <f>IF(H$12=0,0,H24/H$12)</f>
        <v>0</v>
      </c>
      <c r="K24" s="15"/>
      <c r="L24" s="21">
        <f>+D24-H24</f>
        <v>0</v>
      </c>
      <c r="M24" s="15"/>
      <c r="N24" s="20">
        <f>IF(H24=0,0,L24/H24)</f>
        <v>0</v>
      </c>
      <c r="O24" s="25"/>
      <c r="P24" s="21">
        <f>+P16-P18+P22</f>
        <v>0</v>
      </c>
      <c r="Q24" s="13"/>
      <c r="R24" s="20">
        <f>IF(P$12=0,0,P24/P$12)</f>
        <v>0</v>
      </c>
      <c r="S24" s="13"/>
      <c r="T24" s="21">
        <f>+T16-T18+T22</f>
        <v>-929.2</v>
      </c>
      <c r="U24" s="13"/>
      <c r="V24" s="20">
        <f>IF(T$12=0,0,T24/T$12)</f>
        <v>0</v>
      </c>
      <c r="W24" s="15"/>
      <c r="X24" s="21">
        <f>+P24-T24</f>
        <v>929.2</v>
      </c>
      <c r="Y24" s="15"/>
      <c r="Z24" s="20">
        <f>IF(T24=0,0,X24/T24)</f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13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6" t="s">
        <v>4</v>
      </c>
      <c r="C28" s="26"/>
      <c r="D28" s="35">
        <f>+D24-D26</f>
        <v>0</v>
      </c>
      <c r="E28" s="13"/>
      <c r="F28" s="30">
        <f>IF(D$12=0,0,D28/D$12)</f>
        <v>0</v>
      </c>
      <c r="G28" s="13"/>
      <c r="H28" s="35">
        <f>+H24-H26</f>
        <v>0</v>
      </c>
      <c r="I28" s="13"/>
      <c r="J28" s="30">
        <f>IF(H$12=0,0,H28/H$12)</f>
        <v>0</v>
      </c>
      <c r="K28" s="15"/>
      <c r="L28" s="35">
        <f>D28-H28</f>
        <v>0</v>
      </c>
      <c r="M28" s="15"/>
      <c r="N28" s="30">
        <f>IF(H28=0,0,L28/H28)</f>
        <v>0</v>
      </c>
      <c r="O28" s="25"/>
      <c r="P28" s="35">
        <f>+P24-P26</f>
        <v>0</v>
      </c>
      <c r="Q28" s="13"/>
      <c r="R28" s="30">
        <f>IF(P$12=0,0,P28/P$12)</f>
        <v>0</v>
      </c>
      <c r="S28" s="13"/>
      <c r="T28" s="35">
        <f>+T24-T26</f>
        <v>-929.2</v>
      </c>
      <c r="U28" s="13"/>
      <c r="V28" s="30">
        <f>IF(T$12=0,0,T28/T$12)</f>
        <v>0</v>
      </c>
      <c r="W28" s="15"/>
      <c r="X28" s="35">
        <f>P28-T28</f>
        <v>929.2</v>
      </c>
      <c r="Y28" s="15"/>
      <c r="Z28" s="30">
        <f>IF(T28=0,0,X28/T28)</f>
        <v>-1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6">
        <f>SUM(D28:D30)</f>
        <v>0</v>
      </c>
      <c r="E31" s="13"/>
      <c r="F31" s="31">
        <f>IF(D$12=0,0,D31/D$12)</f>
        <v>0</v>
      </c>
      <c r="G31" s="13"/>
      <c r="H31" s="36">
        <f>SUM(H28:H30)</f>
        <v>0</v>
      </c>
      <c r="I31" s="13"/>
      <c r="J31" s="31">
        <f>IF(H$12=0,0,H31/H$12)</f>
        <v>0</v>
      </c>
      <c r="K31" s="15"/>
      <c r="L31" s="36">
        <f>+D31-H31</f>
        <v>0</v>
      </c>
      <c r="M31" s="15"/>
      <c r="N31" s="31">
        <f>IF(H31=0,0,L31/H31)</f>
        <v>0</v>
      </c>
      <c r="O31" s="25"/>
      <c r="P31" s="36">
        <f>SUM(P28:P30)</f>
        <v>0</v>
      </c>
      <c r="Q31" s="13"/>
      <c r="R31" s="31">
        <f>IF(P$12=0,0,P31/P$12)</f>
        <v>0</v>
      </c>
      <c r="S31" s="13"/>
      <c r="T31" s="36">
        <f>SUM(T28:T30)</f>
        <v>-929.2</v>
      </c>
      <c r="U31" s="13"/>
      <c r="V31" s="31">
        <f>IF(T$12=0,0,T31/T$12)</f>
        <v>0</v>
      </c>
      <c r="W31" s="15"/>
      <c r="X31" s="36">
        <f>+P31-T31</f>
        <v>929.2</v>
      </c>
      <c r="Y31" s="15"/>
      <c r="Z31" s="31">
        <f>IF(T31=0,0,X31/T31)</f>
        <v>-1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5">
        <v>43756.463560104166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6" t="s">
        <v>313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7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","450", " - ", "Beachside Dining Hall")</f>
        <v>Department 450 - Beachside Dining Hall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340366.69</v>
      </c>
      <c r="E12" s="4"/>
      <c r="F12" s="12"/>
      <c r="G12" s="4"/>
      <c r="H12" s="4">
        <f>SUM(OSRRefH13x_0)</f>
        <v>344324.91</v>
      </c>
      <c r="I12" s="4"/>
      <c r="J12" s="12"/>
      <c r="K12" s="4"/>
      <c r="L12" s="4">
        <f t="shared" ref="L12:L15" si="0">+D12-H12</f>
        <v>-3958.2199999999721</v>
      </c>
      <c r="M12" s="4"/>
      <c r="N12" s="12">
        <f t="shared" ref="N12:N15" si="1">IF(H12=0,0,L12/H12)</f>
        <v>-1.1495595831274514E-2</v>
      </c>
      <c r="O12" s="10"/>
      <c r="P12" s="4">
        <f>SUM(OSRRefP13x_0)</f>
        <v>466093.84</v>
      </c>
      <c r="Q12" s="4"/>
      <c r="R12" s="12"/>
      <c r="S12" s="4"/>
      <c r="T12" s="4">
        <f>SUM(OSRRefT13x_0)</f>
        <v>424737.1</v>
      </c>
      <c r="U12" s="4"/>
      <c r="V12" s="12"/>
      <c r="W12" s="4"/>
      <c r="X12" s="4">
        <f t="shared" ref="X12:X15" si="2">+P12-T12</f>
        <v>41356.740000000049</v>
      </c>
      <c r="Y12" s="4"/>
      <c r="Z12" s="12">
        <f t="shared" ref="Z12:Z15" si="3">IF(T12=0,0,X12/T12)</f>
        <v>9.7370208536056893E-2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--68.89</f>
        <v>68.89</v>
      </c>
      <c r="E13" s="2"/>
      <c r="F13" s="19"/>
      <c r="G13" s="2"/>
      <c r="H13" s="2">
        <f>--190.73</f>
        <v>190.73</v>
      </c>
      <c r="I13" s="2"/>
      <c r="J13" s="19"/>
      <c r="K13" s="2"/>
      <c r="L13" s="2">
        <f t="shared" si="0"/>
        <v>-121.83999999999999</v>
      </c>
      <c r="M13" s="2"/>
      <c r="N13" s="19">
        <f t="shared" si="1"/>
        <v>-0.63880878729093482</v>
      </c>
      <c r="O13" s="11"/>
      <c r="P13" s="2">
        <f>--68.89</f>
        <v>68.89</v>
      </c>
      <c r="Q13" s="2"/>
      <c r="R13" s="19"/>
      <c r="S13" s="2"/>
      <c r="T13" s="2">
        <f>--279.91</f>
        <v>279.91000000000003</v>
      </c>
      <c r="U13" s="2"/>
      <c r="V13" s="19"/>
      <c r="W13" s="2"/>
      <c r="X13" s="2">
        <f t="shared" si="2"/>
        <v>-211.02000000000004</v>
      </c>
      <c r="Y13" s="2"/>
      <c r="Z13" s="19">
        <f t="shared" si="3"/>
        <v>-0.75388517737844318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--338873.67</f>
        <v>338873.67</v>
      </c>
      <c r="E14" s="2"/>
      <c r="F14" s="19"/>
      <c r="G14" s="2"/>
      <c r="H14" s="2">
        <f>--342872.86</f>
        <v>342872.86</v>
      </c>
      <c r="I14" s="2"/>
      <c r="J14" s="19"/>
      <c r="K14" s="2"/>
      <c r="L14" s="2">
        <f t="shared" si="0"/>
        <v>-3999.1900000000023</v>
      </c>
      <c r="M14" s="2"/>
      <c r="N14" s="19">
        <f t="shared" si="1"/>
        <v>-1.1663769480034093E-2</v>
      </c>
      <c r="O14" s="11"/>
      <c r="P14" s="2">
        <f>--463940.08</f>
        <v>463940.08</v>
      </c>
      <c r="Q14" s="2"/>
      <c r="R14" s="19"/>
      <c r="S14" s="2"/>
      <c r="T14" s="2">
        <f>--422659.71</f>
        <v>422659.71</v>
      </c>
      <c r="U14" s="2"/>
      <c r="V14" s="19"/>
      <c r="W14" s="2"/>
      <c r="X14" s="2">
        <f t="shared" si="2"/>
        <v>41280.369999999995</v>
      </c>
      <c r="Y14" s="2"/>
      <c r="Z14" s="19">
        <f t="shared" si="3"/>
        <v>9.7668098054579169E-2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--1424.13</f>
        <v>1424.13</v>
      </c>
      <c r="E15" s="2"/>
      <c r="F15" s="19"/>
      <c r="G15" s="2"/>
      <c r="H15" s="2">
        <f>--1261.32</f>
        <v>1261.32</v>
      </c>
      <c r="I15" s="2"/>
      <c r="J15" s="19"/>
      <c r="K15" s="2"/>
      <c r="L15" s="2">
        <f t="shared" si="0"/>
        <v>162.81000000000017</v>
      </c>
      <c r="M15" s="2"/>
      <c r="N15" s="19">
        <f t="shared" si="1"/>
        <v>0.1290790600323472</v>
      </c>
      <c r="O15" s="11"/>
      <c r="P15" s="2">
        <f>--2084.87</f>
        <v>2084.87</v>
      </c>
      <c r="Q15" s="2"/>
      <c r="R15" s="19"/>
      <c r="S15" s="2"/>
      <c r="T15" s="2">
        <f>--1797.48</f>
        <v>1797.48</v>
      </c>
      <c r="U15" s="2"/>
      <c r="V15" s="19"/>
      <c r="W15" s="2"/>
      <c r="X15" s="2">
        <f t="shared" si="2"/>
        <v>287.38999999999987</v>
      </c>
      <c r="Y15" s="2"/>
      <c r="Z15" s="19">
        <f t="shared" si="3"/>
        <v>0.15988495004116868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66037.45</v>
      </c>
      <c r="E17" s="4"/>
      <c r="F17" s="12">
        <f t="shared" ref="F17:F19" si="4">IF(D$12=0,0,D17/D$12)</f>
        <v>0.19401854511673863</v>
      </c>
      <c r="G17" s="4"/>
      <c r="H17" s="4">
        <f>SUM(OSRRefH16x_0)</f>
        <v>59985.87</v>
      </c>
      <c r="I17" s="4"/>
      <c r="J17" s="12">
        <f t="shared" ref="J17:J19" si="5">IF(H$12=0,0,H17/H$12)</f>
        <v>0.17421298389361375</v>
      </c>
      <c r="K17" s="4"/>
      <c r="L17" s="4">
        <f t="shared" ref="L17:L19" si="6">+D17-H17</f>
        <v>6051.5799999999945</v>
      </c>
      <c r="M17" s="4"/>
      <c r="N17" s="12">
        <f t="shared" ref="N17:N19" si="7">IF(H17=0,0,L17/H17)</f>
        <v>0.10088342471318652</v>
      </c>
      <c r="O17" s="10"/>
      <c r="P17" s="4">
        <f>SUM(OSRRefP16x_0)</f>
        <v>106663.46</v>
      </c>
      <c r="Q17" s="4"/>
      <c r="R17" s="12">
        <f t="shared" ref="R17:R19" si="8">IF(P$12=0,0,P17/P$12)</f>
        <v>0.22884546167784581</v>
      </c>
      <c r="S17" s="4"/>
      <c r="T17" s="4">
        <f>SUM(OSRRefT16x_0)</f>
        <v>99183.5</v>
      </c>
      <c r="U17" s="4"/>
      <c r="V17" s="12">
        <f t="shared" ref="V17:V19" si="9">IF(T$12=0,0,T17/T$12)</f>
        <v>0.23351739228807655</v>
      </c>
      <c r="W17" s="4"/>
      <c r="X17" s="4">
        <f t="shared" ref="X17:X19" si="10">+P17-T17</f>
        <v>7479.9600000000064</v>
      </c>
      <c r="Y17" s="4"/>
      <c r="Z17" s="12">
        <f t="shared" ref="Z17:Z19" si="11">IF(T17=0,0,X17/T17)</f>
        <v>7.5415366467204786E-2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68697.45</v>
      </c>
      <c r="E18" s="2"/>
      <c r="F18" s="19">
        <f t="shared" si="4"/>
        <v>0.20183364594226302</v>
      </c>
      <c r="G18" s="2"/>
      <c r="H18" s="2">
        <v>62080.62</v>
      </c>
      <c r="I18" s="2"/>
      <c r="J18" s="19">
        <f t="shared" si="5"/>
        <v>0.18029662739184338</v>
      </c>
      <c r="K18" s="2"/>
      <c r="L18" s="2">
        <f t="shared" si="6"/>
        <v>6616.8299999999945</v>
      </c>
      <c r="M18" s="2"/>
      <c r="N18" s="19">
        <f t="shared" si="7"/>
        <v>0.10658447032262233</v>
      </c>
      <c r="O18" s="11"/>
      <c r="P18" s="2">
        <v>110460.46</v>
      </c>
      <c r="Q18" s="2"/>
      <c r="R18" s="19">
        <f t="shared" si="8"/>
        <v>0.23699188987350703</v>
      </c>
      <c r="S18" s="2"/>
      <c r="T18" s="2">
        <v>104444.25</v>
      </c>
      <c r="U18" s="2"/>
      <c r="V18" s="19">
        <f t="shared" si="9"/>
        <v>0.24590328935240177</v>
      </c>
      <c r="W18" s="2"/>
      <c r="X18" s="2">
        <f t="shared" si="10"/>
        <v>6016.2100000000064</v>
      </c>
      <c r="Y18" s="2"/>
      <c r="Z18" s="19">
        <f t="shared" si="11"/>
        <v>5.7602117876283339E-2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-2660</v>
      </c>
      <c r="E19" s="2"/>
      <c r="F19" s="19">
        <f t="shared" si="4"/>
        <v>-7.8151008255243782E-3</v>
      </c>
      <c r="G19" s="2"/>
      <c r="H19" s="2">
        <v>-2094.75</v>
      </c>
      <c r="I19" s="2"/>
      <c r="J19" s="19">
        <f t="shared" si="5"/>
        <v>-6.083643498229623E-3</v>
      </c>
      <c r="K19" s="2"/>
      <c r="L19" s="2">
        <f t="shared" si="6"/>
        <v>-565.25</v>
      </c>
      <c r="M19" s="2"/>
      <c r="N19" s="19">
        <f t="shared" si="7"/>
        <v>0.26984126984126983</v>
      </c>
      <c r="O19" s="11"/>
      <c r="P19" s="2">
        <v>-3797</v>
      </c>
      <c r="Q19" s="2"/>
      <c r="R19" s="19">
        <f t="shared" si="8"/>
        <v>-8.1464281956611997E-3</v>
      </c>
      <c r="S19" s="2"/>
      <c r="T19" s="2">
        <v>-5260.75</v>
      </c>
      <c r="U19" s="2"/>
      <c r="V19" s="19">
        <f t="shared" si="9"/>
        <v>-1.2385897064325203E-2</v>
      </c>
      <c r="W19" s="2"/>
      <c r="X19" s="2">
        <f t="shared" si="10"/>
        <v>1463.75</v>
      </c>
      <c r="Y19" s="2"/>
      <c r="Z19" s="19">
        <f t="shared" si="11"/>
        <v>-0.27823979470607801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6</v>
      </c>
      <c r="C21" s="26"/>
      <c r="D21" s="21">
        <f>D12-D17</f>
        <v>274329.24</v>
      </c>
      <c r="E21" s="13"/>
      <c r="F21" s="20">
        <f>IF(D$12=0,0,D21/D$12)</f>
        <v>0.80598145488326134</v>
      </c>
      <c r="G21" s="13"/>
      <c r="H21" s="21">
        <f>H12-H17</f>
        <v>284339.03999999998</v>
      </c>
      <c r="I21" s="13"/>
      <c r="J21" s="20">
        <f>IF(H$12=0,0,H21/H$12)</f>
        <v>0.82578701610638627</v>
      </c>
      <c r="K21" s="15"/>
      <c r="L21" s="21">
        <f>+D21-H21</f>
        <v>-10009.799999999988</v>
      </c>
      <c r="M21" s="15"/>
      <c r="N21" s="20">
        <f>IF(H21=0,0,L21/H21)</f>
        <v>-3.5203748313984561E-2</v>
      </c>
      <c r="O21" s="25"/>
      <c r="P21" s="21">
        <f>P12-P17</f>
        <v>359430.38</v>
      </c>
      <c r="Q21" s="13"/>
      <c r="R21" s="20">
        <f>IF(P$12=0,0,P21/P$12)</f>
        <v>0.77115453832215419</v>
      </c>
      <c r="S21" s="13"/>
      <c r="T21" s="21">
        <f>T12-T17</f>
        <v>325553.59999999998</v>
      </c>
      <c r="U21" s="13"/>
      <c r="V21" s="20">
        <f>IF(T$12=0,0,T21/T$12)</f>
        <v>0.76648260771192345</v>
      </c>
      <c r="W21" s="15"/>
      <c r="X21" s="21">
        <f>+P21-T21</f>
        <v>33876.780000000028</v>
      </c>
      <c r="Y21" s="15"/>
      <c r="Z21" s="20">
        <f>IF(T21=0,0,X21/T21)</f>
        <v>0.10405899366494498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2">
        <f>SUM(OSRRefD22x_0)</f>
        <v>143399.03999999998</v>
      </c>
      <c r="E23" s="22"/>
      <c r="F23" s="34">
        <f t="shared" ref="F23:F33" si="12">IF(D$12=0,0,D23/D$12)</f>
        <v>0.42130750221180568</v>
      </c>
      <c r="G23" s="22"/>
      <c r="H23" s="22">
        <f>SUM(OSRRefH22x_0)</f>
        <v>121071.68000000001</v>
      </c>
      <c r="I23" s="22"/>
      <c r="J23" s="34">
        <f t="shared" ref="J23:J33" si="13">IF(H$12=0,0,H23/H$12)</f>
        <v>0.35162045057965752</v>
      </c>
      <c r="K23" s="4"/>
      <c r="L23" s="22">
        <f t="shared" ref="L23:L33" si="14">+D23-H23</f>
        <v>22327.359999999971</v>
      </c>
      <c r="M23" s="4"/>
      <c r="N23" s="34">
        <f t="shared" ref="N23:N33" si="15">IF(H23=0,0,L23/H23)</f>
        <v>0.1844143898887004</v>
      </c>
      <c r="O23" s="10"/>
      <c r="P23" s="22">
        <f>SUM(OSRRefP22x_0)</f>
        <v>328222.58</v>
      </c>
      <c r="Q23" s="22"/>
      <c r="R23" s="34">
        <f t="shared" ref="R23:R33" si="16">IF(P$12=0,0,P23/P$12)</f>
        <v>0.70419849359090436</v>
      </c>
      <c r="S23" s="22"/>
      <c r="T23" s="22">
        <f>SUM(OSRRefT22x_0)</f>
        <v>263054.57000000007</v>
      </c>
      <c r="U23" s="22"/>
      <c r="V23" s="34">
        <f t="shared" ref="V23:V33" si="17">IF(T$12=0,0,T23/T$12)</f>
        <v>0.61933504278293583</v>
      </c>
      <c r="W23" s="4"/>
      <c r="X23" s="22">
        <f t="shared" ref="X23:X33" si="18">+P23-T23</f>
        <v>65168.009999999951</v>
      </c>
      <c r="Y23" s="4"/>
      <c r="Z23" s="34">
        <f t="shared" ref="Z23:Z33" si="19">IF(T23=0,0,X23/T23)</f>
        <v>0.24773570746176329</v>
      </c>
    </row>
    <row r="24" spans="1:26" s="29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24445.69</v>
      </c>
      <c r="E24" s="1"/>
      <c r="F24" s="5">
        <f t="shared" si="12"/>
        <v>7.1821628608839477E-2</v>
      </c>
      <c r="G24" s="1"/>
      <c r="H24" s="1">
        <f>SUM(OSRRefH22_0x_0)</f>
        <v>23911.61</v>
      </c>
      <c r="I24" s="1"/>
      <c r="J24" s="5">
        <f t="shared" si="13"/>
        <v>6.9444903071346195E-2</v>
      </c>
      <c r="K24" s="1"/>
      <c r="L24" s="1">
        <f t="shared" si="14"/>
        <v>534.07999999999811</v>
      </c>
      <c r="M24" s="1"/>
      <c r="N24" s="5">
        <f t="shared" si="15"/>
        <v>2.2335593462757132E-2</v>
      </c>
      <c r="O24" s="14"/>
      <c r="P24" s="1">
        <f>SUM(OSRRefP22_0x_0)</f>
        <v>75112.430000000008</v>
      </c>
      <c r="Q24" s="1"/>
      <c r="R24" s="5">
        <f t="shared" si="16"/>
        <v>0.16115302017293343</v>
      </c>
      <c r="S24" s="1"/>
      <c r="T24" s="1">
        <f>SUM(OSRRefT22_0x_0)</f>
        <v>67832.36</v>
      </c>
      <c r="U24" s="1"/>
      <c r="V24" s="5">
        <f t="shared" si="17"/>
        <v>0.15970434416960516</v>
      </c>
      <c r="W24" s="1"/>
      <c r="X24" s="1">
        <f t="shared" si="18"/>
        <v>7280.070000000007</v>
      </c>
      <c r="Y24" s="1"/>
      <c r="Z24" s="5">
        <f t="shared" si="19"/>
        <v>0.10732443924993922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6">
        <v>4059.91</v>
      </c>
      <c r="E25" s="2"/>
      <c r="F25" s="7">
        <f t="shared" si="12"/>
        <v>1.1928047365622059E-2</v>
      </c>
      <c r="G25" s="2"/>
      <c r="H25" s="6">
        <v>2976.17</v>
      </c>
      <c r="I25" s="2"/>
      <c r="J25" s="7">
        <f t="shared" si="13"/>
        <v>8.6434931472137762E-3</v>
      </c>
      <c r="K25" s="2"/>
      <c r="L25" s="6">
        <f t="shared" si="14"/>
        <v>1083.7399999999998</v>
      </c>
      <c r="M25" s="2"/>
      <c r="N25" s="7">
        <f t="shared" si="15"/>
        <v>0.36413914527731944</v>
      </c>
      <c r="O25" s="11"/>
      <c r="P25" s="6">
        <v>9263.15</v>
      </c>
      <c r="Q25" s="2"/>
      <c r="R25" s="7">
        <f t="shared" si="16"/>
        <v>1.98740021966392E-2</v>
      </c>
      <c r="S25" s="2"/>
      <c r="T25" s="6">
        <v>8056.39</v>
      </c>
      <c r="U25" s="2"/>
      <c r="V25" s="7">
        <f t="shared" si="17"/>
        <v>1.896794511240012E-2</v>
      </c>
      <c r="W25" s="2"/>
      <c r="X25" s="6">
        <f t="shared" si="18"/>
        <v>1206.7599999999993</v>
      </c>
      <c r="Y25" s="2"/>
      <c r="Z25" s="7">
        <f t="shared" si="19"/>
        <v>0.14978917356284877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6">
        <v>3153.66</v>
      </c>
      <c r="E26" s="2"/>
      <c r="F26" s="7">
        <f t="shared" si="12"/>
        <v>9.2654777704598533E-3</v>
      </c>
      <c r="G26" s="2"/>
      <c r="H26" s="6"/>
      <c r="I26" s="2"/>
      <c r="J26" s="7">
        <f t="shared" si="13"/>
        <v>0</v>
      </c>
      <c r="K26" s="2"/>
      <c r="L26" s="6">
        <f t="shared" si="14"/>
        <v>3153.66</v>
      </c>
      <c r="M26" s="2"/>
      <c r="N26" s="7">
        <f t="shared" si="15"/>
        <v>0</v>
      </c>
      <c r="O26" s="11"/>
      <c r="P26" s="6">
        <v>6270.68</v>
      </c>
      <c r="Q26" s="2"/>
      <c r="R26" s="7">
        <f t="shared" si="16"/>
        <v>1.3453685635493488E-2</v>
      </c>
      <c r="S26" s="2"/>
      <c r="T26" s="6">
        <v>3100.94</v>
      </c>
      <c r="U26" s="2"/>
      <c r="V26" s="7">
        <f t="shared" si="17"/>
        <v>7.3008456289784911E-3</v>
      </c>
      <c r="W26" s="2"/>
      <c r="X26" s="6">
        <f t="shared" si="18"/>
        <v>3169.7400000000002</v>
      </c>
      <c r="Y26" s="2"/>
      <c r="Z26" s="7">
        <f t="shared" si="19"/>
        <v>1.0221868207704761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6">
        <v>14138.69</v>
      </c>
      <c r="E27" s="2"/>
      <c r="F27" s="7">
        <f t="shared" si="12"/>
        <v>4.1539581913847094E-2</v>
      </c>
      <c r="G27" s="2"/>
      <c r="H27" s="6">
        <v>14801.3</v>
      </c>
      <c r="I27" s="2"/>
      <c r="J27" s="7">
        <f t="shared" si="13"/>
        <v>4.2986433946936922E-2</v>
      </c>
      <c r="K27" s="2"/>
      <c r="L27" s="6">
        <f t="shared" si="14"/>
        <v>-662.60999999999876</v>
      </c>
      <c r="M27" s="2"/>
      <c r="N27" s="7">
        <f t="shared" si="15"/>
        <v>-4.4767013708255275E-2</v>
      </c>
      <c r="O27" s="11"/>
      <c r="P27" s="6">
        <v>39380.57</v>
      </c>
      <c r="Q27" s="2"/>
      <c r="R27" s="7">
        <f t="shared" si="16"/>
        <v>8.449064677619425E-2</v>
      </c>
      <c r="S27" s="2"/>
      <c r="T27" s="6">
        <v>35043.4</v>
      </c>
      <c r="U27" s="2"/>
      <c r="V27" s="7">
        <f t="shared" si="17"/>
        <v>8.2506096123931727E-2</v>
      </c>
      <c r="W27" s="2"/>
      <c r="X27" s="6">
        <f t="shared" si="18"/>
        <v>4337.1699999999983</v>
      </c>
      <c r="Y27" s="2"/>
      <c r="Z27" s="7">
        <f t="shared" si="19"/>
        <v>0.1237656734220994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6">
        <v>211.35</v>
      </c>
      <c r="E28" s="2"/>
      <c r="F28" s="7">
        <f t="shared" si="12"/>
        <v>6.2094795468969064E-4</v>
      </c>
      <c r="G28" s="2"/>
      <c r="H28" s="6">
        <v>173.05</v>
      </c>
      <c r="I28" s="2"/>
      <c r="J28" s="7">
        <f t="shared" si="13"/>
        <v>5.0257763808026564E-4</v>
      </c>
      <c r="K28" s="2"/>
      <c r="L28" s="6">
        <f t="shared" si="14"/>
        <v>38.299999999999983</v>
      </c>
      <c r="M28" s="2"/>
      <c r="N28" s="7">
        <f t="shared" si="15"/>
        <v>0.22132331696041596</v>
      </c>
      <c r="O28" s="11"/>
      <c r="P28" s="6">
        <v>420.23</v>
      </c>
      <c r="Q28" s="2"/>
      <c r="R28" s="7">
        <f t="shared" si="16"/>
        <v>9.0159955771996472E-4</v>
      </c>
      <c r="S28" s="2"/>
      <c r="T28" s="6">
        <v>403.52</v>
      </c>
      <c r="U28" s="2"/>
      <c r="V28" s="7">
        <f t="shared" si="17"/>
        <v>9.5004651112417539E-4</v>
      </c>
      <c r="W28" s="2"/>
      <c r="X28" s="6">
        <f t="shared" si="18"/>
        <v>16.710000000000036</v>
      </c>
      <c r="Y28" s="2"/>
      <c r="Z28" s="7">
        <f t="shared" si="19"/>
        <v>4.1410586835844657E-2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6">
        <v>959.64</v>
      </c>
      <c r="E29" s="2"/>
      <c r="F29" s="7">
        <f t="shared" si="12"/>
        <v>2.8194298331602309E-3</v>
      </c>
      <c r="G29" s="2"/>
      <c r="H29" s="6">
        <v>841.53</v>
      </c>
      <c r="I29" s="2"/>
      <c r="J29" s="7">
        <f t="shared" si="13"/>
        <v>2.4439997675451365E-3</v>
      </c>
      <c r="K29" s="2"/>
      <c r="L29" s="6">
        <f t="shared" si="14"/>
        <v>118.11000000000001</v>
      </c>
      <c r="M29" s="2"/>
      <c r="N29" s="7">
        <f t="shared" si="15"/>
        <v>0.14035150262022747</v>
      </c>
      <c r="O29" s="11"/>
      <c r="P29" s="6">
        <v>3131.7</v>
      </c>
      <c r="Q29" s="2"/>
      <c r="R29" s="7">
        <f t="shared" si="16"/>
        <v>6.7190332315913027E-3</v>
      </c>
      <c r="S29" s="2"/>
      <c r="T29" s="6">
        <v>2933.11</v>
      </c>
      <c r="U29" s="2"/>
      <c r="V29" s="7">
        <f t="shared" si="17"/>
        <v>6.9057070832757497E-3</v>
      </c>
      <c r="W29" s="2"/>
      <c r="X29" s="6">
        <f t="shared" si="18"/>
        <v>198.58999999999969</v>
      </c>
      <c r="Y29" s="2"/>
      <c r="Z29" s="7">
        <f t="shared" si="19"/>
        <v>6.7706291274449201E-2</v>
      </c>
    </row>
    <row r="30" spans="1:26" s="24" customFormat="1" hidden="1" outlineLevel="2" x14ac:dyDescent="0.25">
      <c r="A30" s="28"/>
      <c r="B30" s="11" t="str">
        <f>CONCATENATE("          ", "6117", " - ", "RETIREMENT STAFF HOURLY")</f>
        <v xml:space="preserve">          6117 - RETIREMENT STAFF HOURLY</v>
      </c>
      <c r="C30" s="11"/>
      <c r="D30" s="6">
        <v>758.47</v>
      </c>
      <c r="E30" s="2"/>
      <c r="F30" s="7">
        <f t="shared" si="12"/>
        <v>2.2283907981712312E-3</v>
      </c>
      <c r="G30" s="2"/>
      <c r="H30" s="6">
        <v>613.92999999999995</v>
      </c>
      <c r="I30" s="2"/>
      <c r="J30" s="7">
        <f t="shared" si="13"/>
        <v>1.7829961822977026E-3</v>
      </c>
      <c r="K30" s="2"/>
      <c r="L30" s="6">
        <f t="shared" si="14"/>
        <v>144.54000000000008</v>
      </c>
      <c r="M30" s="2"/>
      <c r="N30" s="7">
        <f t="shared" si="15"/>
        <v>0.23543400713436399</v>
      </c>
      <c r="O30" s="11"/>
      <c r="P30" s="6">
        <v>1310.75</v>
      </c>
      <c r="Q30" s="2"/>
      <c r="R30" s="7">
        <f t="shared" si="16"/>
        <v>2.8122019377042184E-3</v>
      </c>
      <c r="S30" s="2"/>
      <c r="T30" s="6">
        <v>1312.22</v>
      </c>
      <c r="U30" s="2"/>
      <c r="V30" s="7">
        <f t="shared" si="17"/>
        <v>3.0894875912652795E-3</v>
      </c>
      <c r="W30" s="2"/>
      <c r="X30" s="6">
        <f t="shared" si="18"/>
        <v>-1.4700000000000273</v>
      </c>
      <c r="Y30" s="2"/>
      <c r="Z30" s="7">
        <f t="shared" si="19"/>
        <v>-1.120238984316675E-3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6">
        <v>1965.8</v>
      </c>
      <c r="E31" s="2"/>
      <c r="F31" s="7">
        <f t="shared" si="12"/>
        <v>5.7755357905322638E-3</v>
      </c>
      <c r="G31" s="2"/>
      <c r="H31" s="6">
        <v>2064.2199999999998</v>
      </c>
      <c r="I31" s="2"/>
      <c r="J31" s="7">
        <f t="shared" si="13"/>
        <v>5.9949772440222229E-3</v>
      </c>
      <c r="K31" s="2"/>
      <c r="L31" s="6">
        <f t="shared" si="14"/>
        <v>-98.419999999999845</v>
      </c>
      <c r="M31" s="2"/>
      <c r="N31" s="7">
        <f t="shared" si="15"/>
        <v>-4.7679026460357835E-2</v>
      </c>
      <c r="O31" s="11"/>
      <c r="P31" s="6">
        <v>6777.75</v>
      </c>
      <c r="Q31" s="2"/>
      <c r="R31" s="7">
        <f t="shared" si="16"/>
        <v>1.4541599605778955E-2</v>
      </c>
      <c r="S31" s="2"/>
      <c r="T31" s="6">
        <v>6687.35</v>
      </c>
      <c r="U31" s="2"/>
      <c r="V31" s="7">
        <f t="shared" si="17"/>
        <v>1.5744680650689569E-2</v>
      </c>
      <c r="W31" s="2"/>
      <c r="X31" s="6">
        <f t="shared" si="18"/>
        <v>90.399999999999636</v>
      </c>
      <c r="Y31" s="2"/>
      <c r="Z31" s="7">
        <f t="shared" si="19"/>
        <v>1.3518060218173063E-2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6">
        <v>-1915.29</v>
      </c>
      <c r="E32" s="2"/>
      <c r="F32" s="7">
        <f t="shared" si="12"/>
        <v>-5.627137015082175E-3</v>
      </c>
      <c r="G32" s="2"/>
      <c r="H32" s="6">
        <v>1348.32</v>
      </c>
      <c r="I32" s="2"/>
      <c r="J32" s="7">
        <f t="shared" si="13"/>
        <v>3.9158363535185415E-3</v>
      </c>
      <c r="K32" s="2"/>
      <c r="L32" s="6">
        <f t="shared" si="14"/>
        <v>-3263.6099999999997</v>
      </c>
      <c r="M32" s="2"/>
      <c r="N32" s="7">
        <f t="shared" si="15"/>
        <v>-2.420501067995728</v>
      </c>
      <c r="O32" s="11"/>
      <c r="P32" s="6">
        <v>5408.46</v>
      </c>
      <c r="Q32" s="2"/>
      <c r="R32" s="7">
        <f t="shared" si="16"/>
        <v>1.160380064237708E-2</v>
      </c>
      <c r="S32" s="2"/>
      <c r="T32" s="6">
        <v>6733.1</v>
      </c>
      <c r="U32" s="2"/>
      <c r="V32" s="7">
        <f t="shared" si="17"/>
        <v>1.5852394339934045E-2</v>
      </c>
      <c r="W32" s="2"/>
      <c r="X32" s="6">
        <f t="shared" si="18"/>
        <v>-1324.6400000000003</v>
      </c>
      <c r="Y32" s="2"/>
      <c r="Z32" s="7">
        <f t="shared" si="19"/>
        <v>-0.19673553043917366</v>
      </c>
    </row>
    <row r="33" spans="1:26" s="24" customFormat="1" hidden="1" outlineLevel="2" x14ac:dyDescent="0.25">
      <c r="A33" s="28"/>
      <c r="B33" s="11" t="str">
        <f>CONCATENATE("          ", "6156", " - ", "EMPLOYEE MEALS")</f>
        <v xml:space="preserve">          6156 - EMPLOYEE MEALS</v>
      </c>
      <c r="C33" s="11"/>
      <c r="D33" s="6">
        <v>1113.46</v>
      </c>
      <c r="E33" s="2"/>
      <c r="F33" s="7">
        <f t="shared" si="12"/>
        <v>3.2713541974392383E-3</v>
      </c>
      <c r="G33" s="2"/>
      <c r="H33" s="6">
        <v>1093.0899999999999</v>
      </c>
      <c r="I33" s="2"/>
      <c r="J33" s="7">
        <f t="shared" si="13"/>
        <v>3.1745887917316233E-3</v>
      </c>
      <c r="K33" s="2"/>
      <c r="L33" s="6">
        <f t="shared" si="14"/>
        <v>20.370000000000118</v>
      </c>
      <c r="M33" s="2"/>
      <c r="N33" s="7">
        <f t="shared" si="15"/>
        <v>1.863524503929239E-2</v>
      </c>
      <c r="O33" s="11"/>
      <c r="P33" s="6">
        <v>3149.14</v>
      </c>
      <c r="Q33" s="2"/>
      <c r="R33" s="7">
        <f t="shared" si="16"/>
        <v>6.7564505894349512E-3</v>
      </c>
      <c r="S33" s="2"/>
      <c r="T33" s="6">
        <v>3562.33</v>
      </c>
      <c r="U33" s="2"/>
      <c r="V33" s="7">
        <f t="shared" si="17"/>
        <v>8.3871411280060076E-3</v>
      </c>
      <c r="W33" s="2"/>
      <c r="X33" s="6">
        <f t="shared" si="18"/>
        <v>-413.19000000000005</v>
      </c>
      <c r="Y33" s="2"/>
      <c r="Z33" s="7">
        <f t="shared" si="19"/>
        <v>-0.11598869279376141</v>
      </c>
    </row>
    <row r="34" spans="1:26" s="29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81698.539999999994</v>
      </c>
      <c r="E34" s="1"/>
      <c r="F34" s="5">
        <f t="shared" ref="F34:F40" si="20">IF(D$12=0,0,D34/D$12)</f>
        <v>0.24003095014967532</v>
      </c>
      <c r="G34" s="1"/>
      <c r="H34" s="1">
        <f>SUM(OSRRefH22_1x_0)</f>
        <v>62663.200000000004</v>
      </c>
      <c r="I34" s="1"/>
      <c r="J34" s="5">
        <f t="shared" ref="J34:J40" si="21">IF(H$12=0,0,H34/H$12)</f>
        <v>0.18198857584831724</v>
      </c>
      <c r="K34" s="1"/>
      <c r="L34" s="1">
        <f t="shared" ref="L34:L40" si="22">+D34-H34</f>
        <v>19035.339999999989</v>
      </c>
      <c r="M34" s="1"/>
      <c r="N34" s="5">
        <f t="shared" ref="N34:N40" si="23">IF(H34=0,0,L34/H34)</f>
        <v>0.30377222995314618</v>
      </c>
      <c r="O34" s="14"/>
      <c r="P34" s="1">
        <f>SUM(OSRRefP22_1x_0)</f>
        <v>166414.78</v>
      </c>
      <c r="Q34" s="1"/>
      <c r="R34" s="5">
        <f t="shared" ref="R34:R40" si="24">IF(P$12=0,0,P34/P$12)</f>
        <v>0.35704136317270357</v>
      </c>
      <c r="S34" s="1"/>
      <c r="T34" s="1">
        <f>SUM(OSRRefT22_1x_0)</f>
        <v>138596.28</v>
      </c>
      <c r="U34" s="1"/>
      <c r="V34" s="5">
        <f t="shared" ref="V34:V40" si="25">IF(T$12=0,0,T34/T$12)</f>
        <v>0.32631074610623845</v>
      </c>
      <c r="W34" s="1"/>
      <c r="X34" s="1">
        <f t="shared" ref="X34:X40" si="26">+P34-T34</f>
        <v>27818.5</v>
      </c>
      <c r="Y34" s="1"/>
      <c r="Z34" s="5">
        <f t="shared" ref="Z34:Z40" si="27">IF(T34=0,0,X34/T34)</f>
        <v>0.20071606539511738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6">
        <v>9388.86</v>
      </c>
      <c r="E35" s="2"/>
      <c r="F35" s="7">
        <f t="shared" si="20"/>
        <v>2.7584544186741659E-2</v>
      </c>
      <c r="G35" s="2"/>
      <c r="H35" s="6">
        <v>8943.92</v>
      </c>
      <c r="I35" s="2"/>
      <c r="J35" s="7">
        <f t="shared" si="21"/>
        <v>2.5975233682628423E-2</v>
      </c>
      <c r="K35" s="2"/>
      <c r="L35" s="6">
        <f t="shared" si="22"/>
        <v>444.94000000000051</v>
      </c>
      <c r="M35" s="2"/>
      <c r="N35" s="7">
        <f t="shared" si="23"/>
        <v>4.9747761607885639E-2</v>
      </c>
      <c r="O35" s="11"/>
      <c r="P35" s="6">
        <v>30014.140000000003</v>
      </c>
      <c r="Q35" s="2"/>
      <c r="R35" s="7">
        <f t="shared" si="24"/>
        <v>6.4395058299847943E-2</v>
      </c>
      <c r="S35" s="2"/>
      <c r="T35" s="6">
        <v>27069.02</v>
      </c>
      <c r="U35" s="2"/>
      <c r="V35" s="7">
        <f t="shared" si="25"/>
        <v>6.3731235156994762E-2</v>
      </c>
      <c r="W35" s="2"/>
      <c r="X35" s="6">
        <f t="shared" si="26"/>
        <v>2945.1200000000026</v>
      </c>
      <c r="Y35" s="2"/>
      <c r="Z35" s="7">
        <f t="shared" si="27"/>
        <v>0.10880039247819102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6">
        <v>22939.31</v>
      </c>
      <c r="E36" s="2"/>
      <c r="F36" s="7">
        <f t="shared" si="20"/>
        <v>6.7395872375172791E-2</v>
      </c>
      <c r="G36" s="2"/>
      <c r="H36" s="6">
        <v>19117.91</v>
      </c>
      <c r="I36" s="2"/>
      <c r="J36" s="7">
        <f t="shared" si="21"/>
        <v>5.5522878086281938E-2</v>
      </c>
      <c r="K36" s="2"/>
      <c r="L36" s="6">
        <f t="shared" si="22"/>
        <v>3821.4000000000015</v>
      </c>
      <c r="M36" s="2"/>
      <c r="N36" s="7">
        <f t="shared" si="23"/>
        <v>0.19988586618516363</v>
      </c>
      <c r="O36" s="11"/>
      <c r="P36" s="6">
        <v>50102.19</v>
      </c>
      <c r="Q36" s="2"/>
      <c r="R36" s="7">
        <f t="shared" si="24"/>
        <v>0.10749378279704362</v>
      </c>
      <c r="S36" s="2"/>
      <c r="T36" s="6">
        <v>50806.23</v>
      </c>
      <c r="U36" s="2"/>
      <c r="V36" s="7">
        <f t="shared" si="25"/>
        <v>0.11961806491592095</v>
      </c>
      <c r="W36" s="2"/>
      <c r="X36" s="6">
        <f t="shared" si="26"/>
        <v>-704.04000000000087</v>
      </c>
      <c r="Y36" s="2"/>
      <c r="Z36" s="7">
        <f t="shared" si="27"/>
        <v>-1.3857355682560994E-2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6">
        <v>16696.05</v>
      </c>
      <c r="E37" s="2"/>
      <c r="F37" s="7">
        <f t="shared" si="20"/>
        <v>4.9053125615788076E-2</v>
      </c>
      <c r="G37" s="2"/>
      <c r="H37" s="6">
        <v>10744.16</v>
      </c>
      <c r="I37" s="2"/>
      <c r="J37" s="7">
        <f t="shared" si="21"/>
        <v>3.1203551320176052E-2</v>
      </c>
      <c r="K37" s="2"/>
      <c r="L37" s="6">
        <f t="shared" si="22"/>
        <v>5951.8899999999994</v>
      </c>
      <c r="M37" s="2"/>
      <c r="N37" s="7">
        <f t="shared" si="23"/>
        <v>0.55396513082455956</v>
      </c>
      <c r="O37" s="11"/>
      <c r="P37" s="6">
        <v>22583.129999999997</v>
      </c>
      <c r="Q37" s="2"/>
      <c r="R37" s="7">
        <f t="shared" si="24"/>
        <v>4.8451895438051694E-2</v>
      </c>
      <c r="S37" s="2"/>
      <c r="T37" s="6">
        <v>16383.609999999999</v>
      </c>
      <c r="U37" s="2"/>
      <c r="V37" s="7">
        <f t="shared" si="25"/>
        <v>3.8573531721151744E-2</v>
      </c>
      <c r="W37" s="2"/>
      <c r="X37" s="6">
        <f t="shared" si="26"/>
        <v>6199.5199999999986</v>
      </c>
      <c r="Y37" s="2"/>
      <c r="Z37" s="7">
        <f t="shared" si="27"/>
        <v>0.37839767914397371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6">
        <v>3020.35</v>
      </c>
      <c r="E38" s="2"/>
      <c r="F38" s="7">
        <f t="shared" si="20"/>
        <v>8.873811946756599E-3</v>
      </c>
      <c r="G38" s="2"/>
      <c r="H38" s="6"/>
      <c r="I38" s="2"/>
      <c r="J38" s="7">
        <f t="shared" si="21"/>
        <v>0</v>
      </c>
      <c r="K38" s="2"/>
      <c r="L38" s="6">
        <f t="shared" si="22"/>
        <v>3020.35</v>
      </c>
      <c r="M38" s="2"/>
      <c r="N38" s="7">
        <f t="shared" si="23"/>
        <v>0</v>
      </c>
      <c r="O38" s="11"/>
      <c r="P38" s="6">
        <v>4307.16</v>
      </c>
      <c r="Q38" s="2"/>
      <c r="R38" s="7">
        <f t="shared" si="24"/>
        <v>9.2409717322159846E-3</v>
      </c>
      <c r="S38" s="2"/>
      <c r="T38" s="6"/>
      <c r="U38" s="2"/>
      <c r="V38" s="7">
        <f t="shared" si="25"/>
        <v>0</v>
      </c>
      <c r="W38" s="2"/>
      <c r="X38" s="6">
        <f t="shared" si="26"/>
        <v>4307.16</v>
      </c>
      <c r="Y38" s="2"/>
      <c r="Z38" s="7">
        <f t="shared" si="27"/>
        <v>0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6">
        <v>19615.969999999998</v>
      </c>
      <c r="E39" s="2"/>
      <c r="F39" s="7">
        <f t="shared" si="20"/>
        <v>5.7631873436263685E-2</v>
      </c>
      <c r="G39" s="2"/>
      <c r="H39" s="6">
        <v>17222.830000000002</v>
      </c>
      <c r="I39" s="2"/>
      <c r="J39" s="7">
        <f t="shared" si="21"/>
        <v>5.0019122926656695E-2</v>
      </c>
      <c r="K39" s="2"/>
      <c r="L39" s="6">
        <f t="shared" si="22"/>
        <v>2393.1399999999958</v>
      </c>
      <c r="M39" s="2"/>
      <c r="N39" s="7">
        <f t="shared" si="23"/>
        <v>0.1389516124818044</v>
      </c>
      <c r="O39" s="11"/>
      <c r="P39" s="6">
        <v>44601.66</v>
      </c>
      <c r="Q39" s="2"/>
      <c r="R39" s="7">
        <f t="shared" si="24"/>
        <v>9.5692446825729346E-2</v>
      </c>
      <c r="S39" s="2"/>
      <c r="T39" s="6">
        <v>35421.910000000003</v>
      </c>
      <c r="U39" s="2"/>
      <c r="V39" s="7">
        <f t="shared" si="25"/>
        <v>8.339725915160226E-2</v>
      </c>
      <c r="W39" s="2"/>
      <c r="X39" s="6">
        <f t="shared" si="26"/>
        <v>9179.75</v>
      </c>
      <c r="Y39" s="2"/>
      <c r="Z39" s="7">
        <f t="shared" si="27"/>
        <v>0.25915457410399378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6">
        <v>10038</v>
      </c>
      <c r="E40" s="2"/>
      <c r="F40" s="7">
        <f t="shared" si="20"/>
        <v>2.949172258895252E-2</v>
      </c>
      <c r="G40" s="2"/>
      <c r="H40" s="6">
        <v>6634.38</v>
      </c>
      <c r="I40" s="2"/>
      <c r="J40" s="7">
        <f t="shared" si="21"/>
        <v>1.9267789832574125E-2</v>
      </c>
      <c r="K40" s="2"/>
      <c r="L40" s="6">
        <f t="shared" si="22"/>
        <v>3403.62</v>
      </c>
      <c r="M40" s="2"/>
      <c r="N40" s="7">
        <f t="shared" si="23"/>
        <v>0.51302759263111242</v>
      </c>
      <c r="O40" s="11"/>
      <c r="P40" s="6">
        <v>14806.5</v>
      </c>
      <c r="Q40" s="2"/>
      <c r="R40" s="7">
        <f t="shared" si="24"/>
        <v>3.1767208079815E-2</v>
      </c>
      <c r="S40" s="2"/>
      <c r="T40" s="6">
        <v>8915.51</v>
      </c>
      <c r="U40" s="2"/>
      <c r="V40" s="7">
        <f t="shared" si="25"/>
        <v>2.0990655160568739E-2</v>
      </c>
      <c r="W40" s="2"/>
      <c r="X40" s="6">
        <f t="shared" si="26"/>
        <v>5890.99</v>
      </c>
      <c r="Y40" s="2"/>
      <c r="Z40" s="7">
        <f t="shared" si="27"/>
        <v>0.66075748891538455</v>
      </c>
    </row>
    <row r="41" spans="1:26" s="29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61" si="28">IF(D$12=0,0,D41/D$12)</f>
        <v>0</v>
      </c>
      <c r="G41" s="1"/>
      <c r="H41" s="1">
        <f>SUM(OSRRefH22_2x_0)</f>
        <v>1519.71</v>
      </c>
      <c r="I41" s="1"/>
      <c r="J41" s="5">
        <f t="shared" ref="J41:J61" si="29">IF(H$12=0,0,H41/H$12)</f>
        <v>4.4135929636923456E-3</v>
      </c>
      <c r="K41" s="1"/>
      <c r="L41" s="1">
        <f t="shared" ref="L41:L61" si="30">+D41-H41</f>
        <v>-1519.71</v>
      </c>
      <c r="M41" s="1"/>
      <c r="N41" s="5">
        <f t="shared" ref="N41:N61" si="31">IF(H41=0,0,L41/H41)</f>
        <v>-1</v>
      </c>
      <c r="O41" s="14"/>
      <c r="P41" s="1">
        <f>SUM(OSRRefP22_2x_0)</f>
        <v>2651.81</v>
      </c>
      <c r="Q41" s="1"/>
      <c r="R41" s="5">
        <f t="shared" ref="R41:R61" si="32">IF(P$12=0,0,P41/P$12)</f>
        <v>5.6894336985873917E-3</v>
      </c>
      <c r="S41" s="1"/>
      <c r="T41" s="1">
        <f>SUM(OSRRefT22_2x_0)</f>
        <v>2807.12</v>
      </c>
      <c r="U41" s="1"/>
      <c r="V41" s="5">
        <f t="shared" ref="V41:V61" si="33">IF(T$12=0,0,T41/T$12)</f>
        <v>6.6090765322831466E-3</v>
      </c>
      <c r="W41" s="1"/>
      <c r="X41" s="1">
        <f t="shared" ref="X41:X61" si="34">+P41-T41</f>
        <v>-155.30999999999995</v>
      </c>
      <c r="Y41" s="1"/>
      <c r="Z41" s="5">
        <f t="shared" ref="Z41:Z61" si="35">IF(T41=0,0,X41/T41)</f>
        <v>-5.532716805836585E-2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8"/>
        <v>0</v>
      </c>
      <c r="G42" s="2"/>
      <c r="H42" s="6">
        <v>1519.71</v>
      </c>
      <c r="I42" s="2"/>
      <c r="J42" s="7">
        <f t="shared" si="29"/>
        <v>4.4135929636923456E-3</v>
      </c>
      <c r="K42" s="2"/>
      <c r="L42" s="6">
        <f t="shared" si="30"/>
        <v>-1519.71</v>
      </c>
      <c r="M42" s="2"/>
      <c r="N42" s="7">
        <f t="shared" si="31"/>
        <v>-1</v>
      </c>
      <c r="O42" s="11"/>
      <c r="P42" s="6">
        <v>2651.81</v>
      </c>
      <c r="Q42" s="2"/>
      <c r="R42" s="7">
        <f t="shared" si="32"/>
        <v>5.6894336985873917E-3</v>
      </c>
      <c r="S42" s="2"/>
      <c r="T42" s="6">
        <v>2807.12</v>
      </c>
      <c r="U42" s="2"/>
      <c r="V42" s="7">
        <f t="shared" si="33"/>
        <v>6.6090765322831466E-3</v>
      </c>
      <c r="W42" s="2"/>
      <c r="X42" s="6">
        <f t="shared" si="34"/>
        <v>-155.30999999999995</v>
      </c>
      <c r="Y42" s="2"/>
      <c r="Z42" s="7">
        <f t="shared" si="35"/>
        <v>-5.532716805836585E-2</v>
      </c>
    </row>
    <row r="43" spans="1:26" s="29" customFormat="1" outlineLevel="1" collapsed="1" x14ac:dyDescent="0.25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13.33</v>
      </c>
      <c r="E43" s="1"/>
      <c r="F43" s="5">
        <f t="shared" si="28"/>
        <v>3.9163644362496226E-5</v>
      </c>
      <c r="G43" s="1"/>
      <c r="H43" s="1">
        <f>SUM(OSRRefH22_3x_0)</f>
        <v>26.64</v>
      </c>
      <c r="I43" s="1"/>
      <c r="J43" s="5">
        <f t="shared" si="29"/>
        <v>7.736878519767856E-5</v>
      </c>
      <c r="K43" s="1"/>
      <c r="L43" s="1">
        <f t="shared" si="30"/>
        <v>-13.31</v>
      </c>
      <c r="M43" s="1"/>
      <c r="N43" s="5">
        <f t="shared" si="31"/>
        <v>-0.49962462462462465</v>
      </c>
      <c r="O43" s="14"/>
      <c r="P43" s="1">
        <f>SUM(OSRRefP22_3x_0)</f>
        <v>13.33</v>
      </c>
      <c r="Q43" s="1"/>
      <c r="R43" s="5">
        <f t="shared" si="32"/>
        <v>2.8599391058246981E-5</v>
      </c>
      <c r="S43" s="1"/>
      <c r="T43" s="1">
        <f>SUM(OSRRefT22_3x_0)</f>
        <v>36.64</v>
      </c>
      <c r="U43" s="1"/>
      <c r="V43" s="5">
        <f t="shared" si="33"/>
        <v>8.6265127298745507E-5</v>
      </c>
      <c r="W43" s="1"/>
      <c r="X43" s="1">
        <f t="shared" si="34"/>
        <v>-23.310000000000002</v>
      </c>
      <c r="Y43" s="1"/>
      <c r="Z43" s="5">
        <f t="shared" si="35"/>
        <v>-0.6361899563318778</v>
      </c>
    </row>
    <row r="44" spans="1:26" s="24" customFormat="1" hidden="1" outlineLevel="2" x14ac:dyDescent="0.25">
      <c r="A44" s="28"/>
      <c r="B44" s="11" t="str">
        <f>CONCATENATE("          ", "6272", " - ", "CASH (OVER/SHORT)")</f>
        <v xml:space="preserve">          6272 - CASH (OVER/SHORT)</v>
      </c>
      <c r="C44" s="11"/>
      <c r="D44" s="6">
        <v>13.33</v>
      </c>
      <c r="E44" s="2"/>
      <c r="F44" s="7">
        <f t="shared" si="28"/>
        <v>3.9163644362496226E-5</v>
      </c>
      <c r="G44" s="2"/>
      <c r="H44" s="6">
        <v>26.64</v>
      </c>
      <c r="I44" s="2"/>
      <c r="J44" s="7">
        <f t="shared" si="29"/>
        <v>7.736878519767856E-5</v>
      </c>
      <c r="K44" s="2"/>
      <c r="L44" s="6">
        <f t="shared" si="30"/>
        <v>-13.31</v>
      </c>
      <c r="M44" s="2"/>
      <c r="N44" s="7">
        <f t="shared" si="31"/>
        <v>-0.49962462462462465</v>
      </c>
      <c r="O44" s="11"/>
      <c r="P44" s="6">
        <v>13.33</v>
      </c>
      <c r="Q44" s="2"/>
      <c r="R44" s="7">
        <f t="shared" si="32"/>
        <v>2.8599391058246981E-5</v>
      </c>
      <c r="S44" s="2"/>
      <c r="T44" s="6">
        <v>36.64</v>
      </c>
      <c r="U44" s="2"/>
      <c r="V44" s="7">
        <f t="shared" si="33"/>
        <v>8.6265127298745507E-5</v>
      </c>
      <c r="W44" s="2"/>
      <c r="X44" s="6">
        <f t="shared" si="34"/>
        <v>-23.310000000000002</v>
      </c>
      <c r="Y44" s="2"/>
      <c r="Z44" s="7">
        <f t="shared" si="35"/>
        <v>-0.6361899563318778</v>
      </c>
    </row>
    <row r="45" spans="1:26" s="29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7.46</v>
      </c>
      <c r="E45" s="1"/>
      <c r="F45" s="5">
        <f t="shared" si="28"/>
        <v>2.1917538405417991E-5</v>
      </c>
      <c r="G45" s="1"/>
      <c r="H45" s="1">
        <f>SUM(OSRRefH22_4x_0)</f>
        <v>20.010000000000002</v>
      </c>
      <c r="I45" s="1"/>
      <c r="J45" s="5">
        <f t="shared" si="29"/>
        <v>5.8113715908616667E-5</v>
      </c>
      <c r="K45" s="1"/>
      <c r="L45" s="1">
        <f t="shared" si="30"/>
        <v>-12.55</v>
      </c>
      <c r="M45" s="1"/>
      <c r="N45" s="5">
        <f t="shared" si="31"/>
        <v>-0.62718640679660165</v>
      </c>
      <c r="O45" s="14"/>
      <c r="P45" s="1">
        <f>SUM(OSRRefP22_4x_0)</f>
        <v>13.8</v>
      </c>
      <c r="Q45" s="1"/>
      <c r="R45" s="5">
        <f t="shared" si="32"/>
        <v>2.9607771688207678E-5</v>
      </c>
      <c r="S45" s="1"/>
      <c r="T45" s="1">
        <f>SUM(OSRRefT22_4x_0)</f>
        <v>30.51</v>
      </c>
      <c r="U45" s="1"/>
      <c r="V45" s="5">
        <f t="shared" si="33"/>
        <v>7.1832670138775268E-5</v>
      </c>
      <c r="W45" s="1"/>
      <c r="X45" s="1">
        <f t="shared" si="34"/>
        <v>-16.71</v>
      </c>
      <c r="Y45" s="1"/>
      <c r="Z45" s="5">
        <f t="shared" si="35"/>
        <v>-0.54768928220255653</v>
      </c>
    </row>
    <row r="46" spans="1:26" s="24" customFormat="1" hidden="1" outlineLevel="2" x14ac:dyDescent="0.25">
      <c r="A46" s="28"/>
      <c r="B46" s="11" t="str">
        <f>CONCATENATE("          ", "6381", " - ", "BANK/CREDIT CARD FEES")</f>
        <v xml:space="preserve">          6381 - BANK/CREDIT CARD FEES</v>
      </c>
      <c r="C46" s="11"/>
      <c r="D46" s="6">
        <v>7.46</v>
      </c>
      <c r="E46" s="2"/>
      <c r="F46" s="7">
        <f t="shared" si="28"/>
        <v>2.1917538405417991E-5</v>
      </c>
      <c r="G46" s="2"/>
      <c r="H46" s="6">
        <v>20.010000000000002</v>
      </c>
      <c r="I46" s="2"/>
      <c r="J46" s="7">
        <f t="shared" si="29"/>
        <v>5.8113715908616667E-5</v>
      </c>
      <c r="K46" s="2"/>
      <c r="L46" s="6">
        <f t="shared" si="30"/>
        <v>-12.55</v>
      </c>
      <c r="M46" s="2"/>
      <c r="N46" s="7">
        <f t="shared" si="31"/>
        <v>-0.62718640679660165</v>
      </c>
      <c r="O46" s="11"/>
      <c r="P46" s="6">
        <v>13.8</v>
      </c>
      <c r="Q46" s="2"/>
      <c r="R46" s="7">
        <f t="shared" si="32"/>
        <v>2.9607771688207678E-5</v>
      </c>
      <c r="S46" s="2"/>
      <c r="T46" s="6">
        <v>30.51</v>
      </c>
      <c r="U46" s="2"/>
      <c r="V46" s="7">
        <f t="shared" si="33"/>
        <v>7.1832670138775268E-5</v>
      </c>
      <c r="W46" s="2"/>
      <c r="X46" s="6">
        <f t="shared" si="34"/>
        <v>-16.71</v>
      </c>
      <c r="Y46" s="2"/>
      <c r="Z46" s="7">
        <f t="shared" si="35"/>
        <v>-0.54768928220255653</v>
      </c>
    </row>
    <row r="47" spans="1:26" s="29" customFormat="1" outlineLevel="1" collapsed="1" x14ac:dyDescent="0.25">
      <c r="A47" s="27"/>
      <c r="B47" s="14" t="str">
        <f>CONCATENATE("     ","Donations                                         ")</f>
        <v xml:space="preserve">     Donations                                         </v>
      </c>
      <c r="C47" s="14"/>
      <c r="D47" s="1">
        <f>SUM(OSRRefD22_5x_0)</f>
        <v>3205.87</v>
      </c>
      <c r="E47" s="1"/>
      <c r="F47" s="5">
        <f t="shared" si="28"/>
        <v>9.4188711592194871E-3</v>
      </c>
      <c r="G47" s="1"/>
      <c r="H47" s="1">
        <f>SUM(OSRRefH22_5x_0)</f>
        <v>2812.19</v>
      </c>
      <c r="I47" s="1"/>
      <c r="J47" s="5">
        <f t="shared" si="29"/>
        <v>8.1672569085983367E-3</v>
      </c>
      <c r="K47" s="1"/>
      <c r="L47" s="1">
        <f t="shared" si="30"/>
        <v>393.67999999999984</v>
      </c>
      <c r="M47" s="1"/>
      <c r="N47" s="5">
        <f t="shared" si="31"/>
        <v>0.13999054117964996</v>
      </c>
      <c r="O47" s="14"/>
      <c r="P47" s="1">
        <f>SUM(OSRRefP22_5x_0)</f>
        <v>5032.93</v>
      </c>
      <c r="Q47" s="1"/>
      <c r="R47" s="5">
        <f t="shared" si="32"/>
        <v>1.0798104519038483E-2</v>
      </c>
      <c r="S47" s="1"/>
      <c r="T47" s="1">
        <f>SUM(OSRRefT22_5x_0)</f>
        <v>3734.38</v>
      </c>
      <c r="U47" s="1"/>
      <c r="V47" s="5">
        <f t="shared" si="33"/>
        <v>8.7922152314926106E-3</v>
      </c>
      <c r="W47" s="1"/>
      <c r="X47" s="1">
        <f t="shared" si="34"/>
        <v>1298.5500000000002</v>
      </c>
      <c r="Y47" s="1"/>
      <c r="Z47" s="5">
        <f t="shared" si="35"/>
        <v>0.34772840471510669</v>
      </c>
    </row>
    <row r="48" spans="1:26" s="24" customFormat="1" hidden="1" outlineLevel="2" x14ac:dyDescent="0.25">
      <c r="A48" s="28"/>
      <c r="B48" s="11" t="str">
        <f>CONCATENATE("          ", "6399", " - ", "DONATION-ON CAMPUS")</f>
        <v xml:space="preserve">          6399 - DONATION-ON CAMPUS</v>
      </c>
      <c r="C48" s="11"/>
      <c r="D48" s="6">
        <v>3205.87</v>
      </c>
      <c r="E48" s="2"/>
      <c r="F48" s="7">
        <f t="shared" si="28"/>
        <v>9.4188711592194871E-3</v>
      </c>
      <c r="G48" s="2"/>
      <c r="H48" s="6">
        <v>2812.19</v>
      </c>
      <c r="I48" s="2"/>
      <c r="J48" s="7">
        <f t="shared" si="29"/>
        <v>8.1672569085983367E-3</v>
      </c>
      <c r="K48" s="2"/>
      <c r="L48" s="6">
        <f t="shared" si="30"/>
        <v>393.67999999999984</v>
      </c>
      <c r="M48" s="2"/>
      <c r="N48" s="7">
        <f t="shared" si="31"/>
        <v>0.13999054117964996</v>
      </c>
      <c r="O48" s="11"/>
      <c r="P48" s="6">
        <v>5032.93</v>
      </c>
      <c r="Q48" s="2"/>
      <c r="R48" s="7">
        <f t="shared" si="32"/>
        <v>1.0798104519038483E-2</v>
      </c>
      <c r="S48" s="2"/>
      <c r="T48" s="6">
        <v>3734.38</v>
      </c>
      <c r="U48" s="2"/>
      <c r="V48" s="7">
        <f t="shared" si="33"/>
        <v>8.7922152314926106E-3</v>
      </c>
      <c r="W48" s="2"/>
      <c r="X48" s="6">
        <f t="shared" si="34"/>
        <v>1298.5500000000002</v>
      </c>
      <c r="Y48" s="2"/>
      <c r="Z48" s="7">
        <f t="shared" si="35"/>
        <v>0.34772840471510669</v>
      </c>
    </row>
    <row r="49" spans="1:26" s="29" customFormat="1" outlineLevel="1" collapsed="1" x14ac:dyDescent="0.25">
      <c r="A49" s="27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SUM(OSRRefD22_6x_0)</f>
        <v>21.34</v>
      </c>
      <c r="E49" s="1"/>
      <c r="F49" s="5">
        <f t="shared" si="28"/>
        <v>6.269708707394369E-5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21.34</v>
      </c>
      <c r="M49" s="1"/>
      <c r="N49" s="5">
        <f t="shared" si="31"/>
        <v>0</v>
      </c>
      <c r="O49" s="14"/>
      <c r="P49" s="1">
        <f>SUM(OSRRefP22_6x_0)</f>
        <v>21.34</v>
      </c>
      <c r="Q49" s="1"/>
      <c r="R49" s="5">
        <f t="shared" si="32"/>
        <v>4.5784771581619696E-5</v>
      </c>
      <c r="S49" s="1"/>
      <c r="T49" s="1">
        <f>SUM(OSRRefT22_6x_0)</f>
        <v>37.21</v>
      </c>
      <c r="U49" s="1"/>
      <c r="V49" s="5">
        <f t="shared" si="33"/>
        <v>8.760713391884062E-5</v>
      </c>
      <c r="W49" s="1"/>
      <c r="X49" s="1">
        <f t="shared" si="34"/>
        <v>-15.870000000000001</v>
      </c>
      <c r="Y49" s="1"/>
      <c r="Z49" s="5">
        <f t="shared" si="35"/>
        <v>-0.4264982531577533</v>
      </c>
    </row>
    <row r="50" spans="1:26" s="24" customFormat="1" hidden="1" outlineLevel="2" x14ac:dyDescent="0.25">
      <c r="A50" s="28"/>
      <c r="B50" s="11" t="str">
        <f>CONCATENATE("          ", "6277", " - ", "EMPLOYEE APPRECIATION")</f>
        <v xml:space="preserve">          6277 - EMPLOYEE APPRECIATION</v>
      </c>
      <c r="C50" s="11"/>
      <c r="D50" s="6">
        <v>21.34</v>
      </c>
      <c r="E50" s="2"/>
      <c r="F50" s="7">
        <f t="shared" si="28"/>
        <v>6.269708707394369E-5</v>
      </c>
      <c r="G50" s="2"/>
      <c r="H50" s="6"/>
      <c r="I50" s="2"/>
      <c r="J50" s="7">
        <f t="shared" si="29"/>
        <v>0</v>
      </c>
      <c r="K50" s="2"/>
      <c r="L50" s="6">
        <f t="shared" si="30"/>
        <v>21.34</v>
      </c>
      <c r="M50" s="2"/>
      <c r="N50" s="7">
        <f t="shared" si="31"/>
        <v>0</v>
      </c>
      <c r="O50" s="11"/>
      <c r="P50" s="6">
        <v>21.34</v>
      </c>
      <c r="Q50" s="2"/>
      <c r="R50" s="7">
        <f t="shared" si="32"/>
        <v>4.5784771581619696E-5</v>
      </c>
      <c r="S50" s="2"/>
      <c r="T50" s="6">
        <v>37.21</v>
      </c>
      <c r="U50" s="2"/>
      <c r="V50" s="7">
        <f t="shared" si="33"/>
        <v>8.760713391884062E-5</v>
      </c>
      <c r="W50" s="2"/>
      <c r="X50" s="6">
        <f t="shared" si="34"/>
        <v>-15.870000000000001</v>
      </c>
      <c r="Y50" s="2"/>
      <c r="Z50" s="7">
        <f t="shared" si="35"/>
        <v>-0.4264982531577533</v>
      </c>
    </row>
    <row r="51" spans="1:26" s="29" customFormat="1" outlineLevel="1" collapsed="1" x14ac:dyDescent="0.25">
      <c r="A51" s="27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SUM(OSRRefD22_7x_0)</f>
        <v>-732.6</v>
      </c>
      <c r="E51" s="1"/>
      <c r="F51" s="5">
        <f t="shared" si="28"/>
        <v>-2.1523845356312631E-3</v>
      </c>
      <c r="G51" s="1"/>
      <c r="H51" s="1">
        <f>SUM(OSRRefH22_7x_0)</f>
        <v>74.849999999999994</v>
      </c>
      <c r="I51" s="1"/>
      <c r="J51" s="5">
        <f t="shared" si="29"/>
        <v>2.1738189084257657E-4</v>
      </c>
      <c r="K51" s="1"/>
      <c r="L51" s="1">
        <f t="shared" si="30"/>
        <v>-807.45</v>
      </c>
      <c r="M51" s="1"/>
      <c r="N51" s="5">
        <f t="shared" si="31"/>
        <v>-10.787575150300603</v>
      </c>
      <c r="O51" s="14"/>
      <c r="P51" s="1">
        <f>SUM(OSRRefP22_7x_0)</f>
        <v>0.01</v>
      </c>
      <c r="Q51" s="1"/>
      <c r="R51" s="5">
        <f t="shared" si="32"/>
        <v>2.1454907020440347E-8</v>
      </c>
      <c r="S51" s="1"/>
      <c r="T51" s="1">
        <f>SUM(OSRRefT22_7x_0)</f>
        <v>74.849999999999994</v>
      </c>
      <c r="U51" s="1"/>
      <c r="V51" s="5">
        <f t="shared" si="33"/>
        <v>1.7622665879670036E-4</v>
      </c>
      <c r="W51" s="1"/>
      <c r="X51" s="1">
        <f t="shared" si="34"/>
        <v>-74.839999999999989</v>
      </c>
      <c r="Y51" s="1"/>
      <c r="Z51" s="5">
        <f t="shared" si="35"/>
        <v>-0.99986639946559774</v>
      </c>
    </row>
    <row r="52" spans="1:26" s="24" customFormat="1" hidden="1" outlineLevel="2" x14ac:dyDescent="0.25">
      <c r="A52" s="28"/>
      <c r="B52" s="11" t="str">
        <f>CONCATENATE("          ", "6351", " - ", "EQUIPMENT RENTAL")</f>
        <v xml:space="preserve">          6351 - EQUIPMENT RENTAL</v>
      </c>
      <c r="C52" s="11"/>
      <c r="D52" s="6">
        <v>-732.6</v>
      </c>
      <c r="E52" s="2"/>
      <c r="F52" s="7">
        <f t="shared" si="28"/>
        <v>-2.1523845356312631E-3</v>
      </c>
      <c r="G52" s="2"/>
      <c r="H52" s="6">
        <v>74.849999999999994</v>
      </c>
      <c r="I52" s="2"/>
      <c r="J52" s="7">
        <f t="shared" si="29"/>
        <v>2.1738189084257657E-4</v>
      </c>
      <c r="K52" s="2"/>
      <c r="L52" s="6">
        <f t="shared" si="30"/>
        <v>-807.45</v>
      </c>
      <c r="M52" s="2"/>
      <c r="N52" s="7">
        <f t="shared" si="31"/>
        <v>-10.787575150300603</v>
      </c>
      <c r="O52" s="11"/>
      <c r="P52" s="6">
        <v>0.01</v>
      </c>
      <c r="Q52" s="2"/>
      <c r="R52" s="7">
        <f t="shared" si="32"/>
        <v>2.1454907020440347E-8</v>
      </c>
      <c r="S52" s="2"/>
      <c r="T52" s="6">
        <v>74.849999999999994</v>
      </c>
      <c r="U52" s="2"/>
      <c r="V52" s="7">
        <f t="shared" si="33"/>
        <v>1.7622665879670036E-4</v>
      </c>
      <c r="W52" s="2"/>
      <c r="X52" s="6">
        <f t="shared" si="34"/>
        <v>-74.839999999999989</v>
      </c>
      <c r="Y52" s="2"/>
      <c r="Z52" s="7">
        <f t="shared" si="35"/>
        <v>-0.99986639946559774</v>
      </c>
    </row>
    <row r="53" spans="1:26" s="29" customFormat="1" outlineLevel="1" collapsed="1" x14ac:dyDescent="0.2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4"/>
      <c r="P53" s="1">
        <f>SUM(OSRRefP22_8x_0)</f>
        <v>1517.11</v>
      </c>
      <c r="Q53" s="1"/>
      <c r="R53" s="5">
        <f t="shared" si="32"/>
        <v>3.2549453989780251E-3</v>
      </c>
      <c r="S53" s="1"/>
      <c r="T53" s="1">
        <f>SUM(OSRRefT22_8x_0)</f>
        <v>1495.53</v>
      </c>
      <c r="U53" s="1"/>
      <c r="V53" s="5">
        <f t="shared" si="33"/>
        <v>3.5210722114927093E-3</v>
      </c>
      <c r="W53" s="1"/>
      <c r="X53" s="1">
        <f t="shared" si="34"/>
        <v>21.579999999999927</v>
      </c>
      <c r="Y53" s="1"/>
      <c r="Z53" s="5">
        <f t="shared" si="35"/>
        <v>1.4429667074548774E-2</v>
      </c>
    </row>
    <row r="54" spans="1:26" s="24" customFormat="1" hidden="1" outlineLevel="2" x14ac:dyDescent="0.25">
      <c r="A54" s="28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1517.11</v>
      </c>
      <c r="Q54" s="2"/>
      <c r="R54" s="7">
        <f t="shared" si="32"/>
        <v>3.2549453989780251E-3</v>
      </c>
      <c r="S54" s="2"/>
      <c r="T54" s="6">
        <v>1495.53</v>
      </c>
      <c r="U54" s="2"/>
      <c r="V54" s="7">
        <f t="shared" si="33"/>
        <v>3.5210722114927093E-3</v>
      </c>
      <c r="W54" s="2"/>
      <c r="X54" s="6">
        <f t="shared" si="34"/>
        <v>21.579999999999927</v>
      </c>
      <c r="Y54" s="2"/>
      <c r="Z54" s="7">
        <f t="shared" si="35"/>
        <v>1.4429667074548774E-2</v>
      </c>
    </row>
    <row r="55" spans="1:26" s="29" customFormat="1" outlineLevel="1" collapsed="1" x14ac:dyDescent="0.25">
      <c r="A55" s="27"/>
      <c r="B55" s="14" t="str">
        <f>CONCATENATE("     ","Insurance                                         ")</f>
        <v xml:space="preserve">     Insurance                                         </v>
      </c>
      <c r="C55" s="14"/>
      <c r="D55" s="1">
        <f>SUM(OSRRefD22_9x_0)</f>
        <v>5.9</v>
      </c>
      <c r="E55" s="1"/>
      <c r="F55" s="5">
        <f t="shared" si="28"/>
        <v>1.7334246191952567E-5</v>
      </c>
      <c r="G55" s="1"/>
      <c r="H55" s="1">
        <f>SUM(OSRRefH22_9x_0)</f>
        <v>4.93</v>
      </c>
      <c r="I55" s="1"/>
      <c r="J55" s="5">
        <f t="shared" si="29"/>
        <v>1.431787203545628E-5</v>
      </c>
      <c r="K55" s="1"/>
      <c r="L55" s="1">
        <f t="shared" si="30"/>
        <v>0.97000000000000064</v>
      </c>
      <c r="M55" s="1"/>
      <c r="N55" s="5">
        <f t="shared" si="31"/>
        <v>0.19675456389452348</v>
      </c>
      <c r="O55" s="14"/>
      <c r="P55" s="1">
        <f>SUM(OSRRefP22_9x_0)</f>
        <v>17.7</v>
      </c>
      <c r="Q55" s="1"/>
      <c r="R55" s="5">
        <f t="shared" si="32"/>
        <v>3.7975185426179411E-5</v>
      </c>
      <c r="S55" s="1"/>
      <c r="T55" s="1">
        <f>SUM(OSRRefT22_9x_0)</f>
        <v>14.79</v>
      </c>
      <c r="U55" s="1"/>
      <c r="V55" s="5">
        <f t="shared" si="33"/>
        <v>3.4821540195099512E-5</v>
      </c>
      <c r="W55" s="1"/>
      <c r="X55" s="1">
        <f t="shared" si="34"/>
        <v>2.91</v>
      </c>
      <c r="Y55" s="1"/>
      <c r="Z55" s="5">
        <f t="shared" si="35"/>
        <v>0.19675456389452334</v>
      </c>
    </row>
    <row r="56" spans="1:26" s="24" customFormat="1" hidden="1" outlineLevel="2" x14ac:dyDescent="0.25">
      <c r="A56" s="28"/>
      <c r="B56" s="11" t="str">
        <f>CONCATENATE("          ", "6314", " - ", "LIABILITY INSURANCE")</f>
        <v xml:space="preserve">          6314 - LIABILITY INSURANCE</v>
      </c>
      <c r="C56" s="11"/>
      <c r="D56" s="6">
        <v>5.9</v>
      </c>
      <c r="E56" s="2"/>
      <c r="F56" s="7">
        <f t="shared" si="28"/>
        <v>1.7334246191952567E-5</v>
      </c>
      <c r="G56" s="2"/>
      <c r="H56" s="6">
        <v>4.93</v>
      </c>
      <c r="I56" s="2"/>
      <c r="J56" s="7">
        <f t="shared" si="29"/>
        <v>1.431787203545628E-5</v>
      </c>
      <c r="K56" s="2"/>
      <c r="L56" s="6">
        <f t="shared" si="30"/>
        <v>0.97000000000000064</v>
      </c>
      <c r="M56" s="2"/>
      <c r="N56" s="7">
        <f t="shared" si="31"/>
        <v>0.19675456389452348</v>
      </c>
      <c r="O56" s="11"/>
      <c r="P56" s="6">
        <v>17.7</v>
      </c>
      <c r="Q56" s="2"/>
      <c r="R56" s="7">
        <f t="shared" si="32"/>
        <v>3.7975185426179411E-5</v>
      </c>
      <c r="S56" s="2"/>
      <c r="T56" s="6">
        <v>14.79</v>
      </c>
      <c r="U56" s="2"/>
      <c r="V56" s="7">
        <f t="shared" si="33"/>
        <v>3.4821540195099512E-5</v>
      </c>
      <c r="W56" s="2"/>
      <c r="X56" s="6">
        <f t="shared" si="34"/>
        <v>2.91</v>
      </c>
      <c r="Y56" s="2"/>
      <c r="Z56" s="7">
        <f t="shared" si="35"/>
        <v>0.19675456389452334</v>
      </c>
    </row>
    <row r="57" spans="1:26" s="29" customFormat="1" outlineLevel="1" collapsed="1" x14ac:dyDescent="0.25">
      <c r="A57" s="27"/>
      <c r="B57" s="14" t="str">
        <f>CONCATENATE("     ","R/H Commissions                                   ")</f>
        <v xml:space="preserve">     R/H Commissions                                   </v>
      </c>
      <c r="C57" s="14"/>
      <c r="D57" s="1">
        <f>SUM(OSRRefD22_10x_0)</f>
        <v>25211.929999999997</v>
      </c>
      <c r="E57" s="1"/>
      <c r="F57" s="5">
        <f t="shared" si="28"/>
        <v>7.4072847727843158E-2</v>
      </c>
      <c r="G57" s="1"/>
      <c r="H57" s="1">
        <f>SUM(OSRRefH22_10x_0)</f>
        <v>24761.01</v>
      </c>
      <c r="I57" s="1"/>
      <c r="J57" s="5">
        <f t="shared" si="29"/>
        <v>7.1911759157941846E-2</v>
      </c>
      <c r="K57" s="1"/>
      <c r="L57" s="1">
        <f t="shared" si="30"/>
        <v>450.91999999999825</v>
      </c>
      <c r="M57" s="1"/>
      <c r="N57" s="5">
        <f t="shared" si="31"/>
        <v>1.8210888812693758E-2</v>
      </c>
      <c r="O57" s="14"/>
      <c r="P57" s="1">
        <f>SUM(OSRRefP22_10x_0)</f>
        <v>35153.129999999997</v>
      </c>
      <c r="Q57" s="1"/>
      <c r="R57" s="5">
        <f t="shared" si="32"/>
        <v>7.5420713562745212E-2</v>
      </c>
      <c r="S57" s="1"/>
      <c r="T57" s="1">
        <f>SUM(OSRRefT22_10x_0)</f>
        <v>31120.21</v>
      </c>
      <c r="U57" s="1"/>
      <c r="V57" s="5">
        <f t="shared" si="33"/>
        <v>7.3269347085526557E-2</v>
      </c>
      <c r="W57" s="1"/>
      <c r="X57" s="1">
        <f t="shared" si="34"/>
        <v>4032.9199999999983</v>
      </c>
      <c r="Y57" s="1"/>
      <c r="Z57" s="5">
        <f t="shared" si="35"/>
        <v>0.12959167049322606</v>
      </c>
    </row>
    <row r="58" spans="1:26" s="24" customFormat="1" hidden="1" outlineLevel="2" x14ac:dyDescent="0.25">
      <c r="A58" s="28"/>
      <c r="B58" s="11" t="str">
        <f>CONCATENATE("          ", "6387", " - ", "COMMISSION DUE HOUSING")</f>
        <v xml:space="preserve">          6387 - COMMISSION DUE HOUSING</v>
      </c>
      <c r="C58" s="11"/>
      <c r="D58" s="6">
        <v>25211.929999999997</v>
      </c>
      <c r="E58" s="2"/>
      <c r="F58" s="7">
        <f t="shared" si="28"/>
        <v>7.4072847727843158E-2</v>
      </c>
      <c r="G58" s="2"/>
      <c r="H58" s="6">
        <v>24761.01</v>
      </c>
      <c r="I58" s="2"/>
      <c r="J58" s="7">
        <f t="shared" si="29"/>
        <v>7.1911759157941846E-2</v>
      </c>
      <c r="K58" s="2"/>
      <c r="L58" s="6">
        <f t="shared" si="30"/>
        <v>450.91999999999825</v>
      </c>
      <c r="M58" s="2"/>
      <c r="N58" s="7">
        <f t="shared" si="31"/>
        <v>1.8210888812693758E-2</v>
      </c>
      <c r="O58" s="11"/>
      <c r="P58" s="6">
        <v>35153.129999999997</v>
      </c>
      <c r="Q58" s="2"/>
      <c r="R58" s="7">
        <f t="shared" si="32"/>
        <v>7.5420713562745212E-2</v>
      </c>
      <c r="S58" s="2"/>
      <c r="T58" s="6">
        <v>31120.21</v>
      </c>
      <c r="U58" s="2"/>
      <c r="V58" s="7">
        <f t="shared" si="33"/>
        <v>7.3269347085526557E-2</v>
      </c>
      <c r="W58" s="2"/>
      <c r="X58" s="6">
        <f t="shared" si="34"/>
        <v>4032.9199999999983</v>
      </c>
      <c r="Y58" s="2"/>
      <c r="Z58" s="7">
        <f t="shared" si="35"/>
        <v>0.12959167049322606</v>
      </c>
    </row>
    <row r="59" spans="1:26" s="29" customFormat="1" outlineLevel="1" collapsed="1" x14ac:dyDescent="0.25">
      <c r="A59" s="27"/>
      <c r="B59" s="14" t="str">
        <f>CONCATENATE("     ","Repair and Maintenance                            ")</f>
        <v xml:space="preserve">     Repair and Maintenance                            </v>
      </c>
      <c r="C59" s="14"/>
      <c r="D59" s="1">
        <f>SUM(OSRRefD22_11x_0)</f>
        <v>0</v>
      </c>
      <c r="E59" s="1"/>
      <c r="F59" s="5">
        <f t="shared" si="28"/>
        <v>0</v>
      </c>
      <c r="G59" s="1"/>
      <c r="H59" s="1">
        <f>SUM(OSRRefH22_11x_0)</f>
        <v>-7844.04</v>
      </c>
      <c r="I59" s="1"/>
      <c r="J59" s="5">
        <f t="shared" si="29"/>
        <v>-2.2780925144219165E-2</v>
      </c>
      <c r="K59" s="1"/>
      <c r="L59" s="1">
        <f t="shared" si="30"/>
        <v>7844.04</v>
      </c>
      <c r="M59" s="1"/>
      <c r="N59" s="5">
        <f t="shared" si="31"/>
        <v>-1</v>
      </c>
      <c r="O59" s="14"/>
      <c r="P59" s="1">
        <f>SUM(OSRRefP22_11x_0)</f>
        <v>0</v>
      </c>
      <c r="Q59" s="1"/>
      <c r="R59" s="5">
        <f t="shared" si="32"/>
        <v>0</v>
      </c>
      <c r="S59" s="1"/>
      <c r="T59" s="1">
        <f>SUM(OSRRefT22_11x_0)</f>
        <v>-7844.04</v>
      </c>
      <c r="U59" s="1"/>
      <c r="V59" s="5">
        <f t="shared" si="33"/>
        <v>-1.8467988786475212E-2</v>
      </c>
      <c r="W59" s="1"/>
      <c r="X59" s="1">
        <f t="shared" si="34"/>
        <v>7844.04</v>
      </c>
      <c r="Y59" s="1"/>
      <c r="Z59" s="5">
        <f t="shared" si="35"/>
        <v>-1</v>
      </c>
    </row>
    <row r="60" spans="1:26" s="24" customFormat="1" hidden="1" outlineLevel="2" x14ac:dyDescent="0.25">
      <c r="A60" s="28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>
        <v>-7911.5</v>
      </c>
      <c r="I60" s="2"/>
      <c r="J60" s="7">
        <f t="shared" si="29"/>
        <v>-2.2976844748176947E-2</v>
      </c>
      <c r="K60" s="2"/>
      <c r="L60" s="6">
        <f t="shared" si="30"/>
        <v>7911.5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-7911.5</v>
      </c>
      <c r="U60" s="2"/>
      <c r="V60" s="7">
        <f t="shared" si="33"/>
        <v>-1.8626816447162256E-2</v>
      </c>
      <c r="W60" s="2"/>
      <c r="X60" s="6">
        <f t="shared" si="34"/>
        <v>7911.5</v>
      </c>
      <c r="Y60" s="2"/>
      <c r="Z60" s="7">
        <f t="shared" si="35"/>
        <v>-1</v>
      </c>
    </row>
    <row r="61" spans="1:26" s="24" customFormat="1" hidden="1" outlineLevel="2" x14ac:dyDescent="0.25">
      <c r="A61" s="28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8"/>
        <v>0</v>
      </c>
      <c r="G61" s="2"/>
      <c r="H61" s="6">
        <v>67.459999999999994</v>
      </c>
      <c r="I61" s="2"/>
      <c r="J61" s="7">
        <f t="shared" si="29"/>
        <v>1.9591960395778509E-4</v>
      </c>
      <c r="K61" s="2"/>
      <c r="L61" s="6">
        <f t="shared" si="30"/>
        <v>-67.459999999999994</v>
      </c>
      <c r="M61" s="2"/>
      <c r="N61" s="7">
        <f t="shared" si="31"/>
        <v>-1</v>
      </c>
      <c r="O61" s="11"/>
      <c r="P61" s="6"/>
      <c r="Q61" s="2"/>
      <c r="R61" s="7">
        <f t="shared" si="32"/>
        <v>0</v>
      </c>
      <c r="S61" s="2"/>
      <c r="T61" s="6">
        <v>67.459999999999994</v>
      </c>
      <c r="U61" s="2"/>
      <c r="V61" s="7">
        <f t="shared" si="33"/>
        <v>1.5882766068704617E-4</v>
      </c>
      <c r="W61" s="2"/>
      <c r="X61" s="6">
        <f t="shared" si="34"/>
        <v>-67.459999999999994</v>
      </c>
      <c r="Y61" s="2"/>
      <c r="Z61" s="7">
        <f t="shared" si="35"/>
        <v>-1</v>
      </c>
    </row>
    <row r="62" spans="1:26" s="29" customFormat="1" outlineLevel="1" collapsed="1" x14ac:dyDescent="0.25">
      <c r="A62" s="27"/>
      <c r="B62" s="14" t="str">
        <f>CONCATENATE("     ","Services                                          ")</f>
        <v xml:space="preserve">     Services                                          </v>
      </c>
      <c r="C62" s="14"/>
      <c r="D62" s="1">
        <f>SUM(OSRRefD22_12x_0)</f>
        <v>6202.71</v>
      </c>
      <c r="E62" s="1"/>
      <c r="F62" s="5">
        <f t="shared" ref="F62:F65" si="36">IF(D$12=0,0,D62/D$12)</f>
        <v>1.8223610541912901E-2</v>
      </c>
      <c r="G62" s="1"/>
      <c r="H62" s="1">
        <f>SUM(OSRRefH22_12x_0)</f>
        <v>5604.6</v>
      </c>
      <c r="I62" s="1"/>
      <c r="J62" s="5">
        <f t="shared" ref="J62:J65" si="37">IF(H$12=0,0,H62/H$12)</f>
        <v>1.627706807503413E-2</v>
      </c>
      <c r="K62" s="1"/>
      <c r="L62" s="1">
        <f t="shared" ref="L62:L65" si="38">+D62-H62</f>
        <v>598.10999999999967</v>
      </c>
      <c r="M62" s="1"/>
      <c r="N62" s="5">
        <f t="shared" ref="N62:N65" si="39">IF(H62=0,0,L62/H62)</f>
        <v>0.10671769617813932</v>
      </c>
      <c r="O62" s="14"/>
      <c r="P62" s="1">
        <f>SUM(OSRRefP22_12x_0)</f>
        <v>19410.919999999998</v>
      </c>
      <c r="Q62" s="1"/>
      <c r="R62" s="5">
        <f t="shared" ref="R62:R65" si="40">IF(P$12=0,0,P62/P$12)</f>
        <v>4.1645948378120586E-2</v>
      </c>
      <c r="S62" s="1"/>
      <c r="T62" s="1">
        <f>SUM(OSRRefT22_12x_0)</f>
        <v>6195.9400000000005</v>
      </c>
      <c r="U62" s="1"/>
      <c r="V62" s="5">
        <f t="shared" ref="V62:V65" si="41">IF(T$12=0,0,T62/T$12)</f>
        <v>1.4587706136337045E-2</v>
      </c>
      <c r="W62" s="1"/>
      <c r="X62" s="1">
        <f t="shared" ref="X62:X65" si="42">+P62-T62</f>
        <v>13214.979999999998</v>
      </c>
      <c r="Y62" s="1"/>
      <c r="Z62" s="5">
        <f t="shared" ref="Z62:Z65" si="43">IF(T62=0,0,X62/T62)</f>
        <v>2.1328450566015804</v>
      </c>
    </row>
    <row r="63" spans="1:26" s="24" customFormat="1" hidden="1" outlineLevel="2" x14ac:dyDescent="0.25">
      <c r="A63" s="28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669.64</v>
      </c>
      <c r="E63" s="2"/>
      <c r="F63" s="7">
        <f t="shared" si="36"/>
        <v>1.9674075627083248E-3</v>
      </c>
      <c r="G63" s="2"/>
      <c r="H63" s="6">
        <v>669.64</v>
      </c>
      <c r="I63" s="2"/>
      <c r="J63" s="7">
        <f t="shared" si="37"/>
        <v>1.9447910405320371E-3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2158.92</v>
      </c>
      <c r="Q63" s="2"/>
      <c r="R63" s="7">
        <f t="shared" si="40"/>
        <v>4.6319427864569074E-3</v>
      </c>
      <c r="S63" s="2"/>
      <c r="T63" s="6">
        <v>2008.92</v>
      </c>
      <c r="U63" s="2"/>
      <c r="V63" s="7">
        <f t="shared" si="41"/>
        <v>4.7297963846341662E-3</v>
      </c>
      <c r="W63" s="2"/>
      <c r="X63" s="6">
        <f t="shared" si="42"/>
        <v>150</v>
      </c>
      <c r="Y63" s="2"/>
      <c r="Z63" s="7">
        <f t="shared" si="43"/>
        <v>7.4666985245803716E-2</v>
      </c>
    </row>
    <row r="64" spans="1:26" s="24" customFormat="1" hidden="1" outlineLevel="2" x14ac:dyDescent="0.25">
      <c r="A64" s="28"/>
      <c r="B64" s="11" t="str">
        <f>CONCATENATE("          ", "6285", " - ", "JANITORIAL SERVICES")</f>
        <v xml:space="preserve">          6285 - JANITORIAL SERVICES</v>
      </c>
      <c r="C64" s="11"/>
      <c r="D64" s="6">
        <v>3799.27</v>
      </c>
      <c r="E64" s="2"/>
      <c r="F64" s="7">
        <f t="shared" si="36"/>
        <v>1.1162285005033835E-2</v>
      </c>
      <c r="G64" s="2"/>
      <c r="H64" s="6">
        <v>3378.23</v>
      </c>
      <c r="I64" s="2"/>
      <c r="J64" s="7">
        <f t="shared" si="37"/>
        <v>9.81116934002829E-3</v>
      </c>
      <c r="K64" s="2"/>
      <c r="L64" s="6">
        <f t="shared" si="38"/>
        <v>421.03999999999996</v>
      </c>
      <c r="M64" s="2"/>
      <c r="N64" s="7">
        <f t="shared" si="39"/>
        <v>0.12463331389514626</v>
      </c>
      <c r="O64" s="11"/>
      <c r="P64" s="6">
        <v>12463.31</v>
      </c>
      <c r="Q64" s="2"/>
      <c r="R64" s="7">
        <f t="shared" si="40"/>
        <v>2.6739915721692434E-2</v>
      </c>
      <c r="S64" s="2"/>
      <c r="T64" s="6">
        <v>1743.6</v>
      </c>
      <c r="U64" s="2"/>
      <c r="V64" s="7">
        <f t="shared" si="41"/>
        <v>4.105127618943577E-3</v>
      </c>
      <c r="W64" s="2"/>
      <c r="X64" s="6">
        <f t="shared" si="42"/>
        <v>10719.71</v>
      </c>
      <c r="Y64" s="2"/>
      <c r="Z64" s="7">
        <f t="shared" si="43"/>
        <v>6.148032805689378</v>
      </c>
    </row>
    <row r="65" spans="1:26" s="24" customFormat="1" hidden="1" outlineLevel="2" x14ac:dyDescent="0.25">
      <c r="A65" s="28"/>
      <c r="B65" s="11" t="str">
        <f>CONCATENATE("          ", "6286", " - ", "LAUNDRY EXPENSE")</f>
        <v xml:space="preserve">          6286 - LAUNDRY EXPENSE</v>
      </c>
      <c r="C65" s="11"/>
      <c r="D65" s="6">
        <v>1733.8</v>
      </c>
      <c r="E65" s="2"/>
      <c r="F65" s="7">
        <f t="shared" si="36"/>
        <v>5.0939179741707388E-3</v>
      </c>
      <c r="G65" s="2"/>
      <c r="H65" s="6">
        <v>1556.73</v>
      </c>
      <c r="I65" s="2"/>
      <c r="J65" s="7">
        <f t="shared" si="37"/>
        <v>4.5211076944738039E-3</v>
      </c>
      <c r="K65" s="2"/>
      <c r="L65" s="6">
        <f t="shared" si="38"/>
        <v>177.06999999999994</v>
      </c>
      <c r="M65" s="2"/>
      <c r="N65" s="7">
        <f t="shared" si="39"/>
        <v>0.1137448369338292</v>
      </c>
      <c r="O65" s="11"/>
      <c r="P65" s="6">
        <v>4788.6899999999996</v>
      </c>
      <c r="Q65" s="2"/>
      <c r="R65" s="7">
        <f t="shared" si="40"/>
        <v>1.0274089869971248E-2</v>
      </c>
      <c r="S65" s="2"/>
      <c r="T65" s="6">
        <v>2443.42</v>
      </c>
      <c r="U65" s="2"/>
      <c r="V65" s="7">
        <f t="shared" si="41"/>
        <v>5.7527821327593006E-3</v>
      </c>
      <c r="W65" s="2"/>
      <c r="X65" s="6">
        <f t="shared" si="42"/>
        <v>2345.2699999999995</v>
      </c>
      <c r="Y65" s="2"/>
      <c r="Z65" s="7">
        <f t="shared" si="43"/>
        <v>0.95983089276505862</v>
      </c>
    </row>
    <row r="66" spans="1:26" s="29" customFormat="1" outlineLevel="1" collapsed="1" x14ac:dyDescent="0.25">
      <c r="A66" s="27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SUM(OSRRefD22_13x_0)</f>
        <v>3035.87</v>
      </c>
      <c r="E66" s="1"/>
      <c r="F66" s="5">
        <f t="shared" ref="F66:F72" si="44">IF(D$12=0,0,D66/D$12)</f>
        <v>8.9194098282649216E-3</v>
      </c>
      <c r="G66" s="1"/>
      <c r="H66" s="1">
        <f>SUM(OSRRefH22_13x_0)</f>
        <v>6895.2300000000005</v>
      </c>
      <c r="I66" s="1"/>
      <c r="J66" s="5">
        <f t="shared" ref="J66:J72" si="45">IF(H$12=0,0,H66/H$12)</f>
        <v>2.0025359187634727E-2</v>
      </c>
      <c r="K66" s="1"/>
      <c r="L66" s="1">
        <f t="shared" ref="L66:L72" si="46">+D66-H66</f>
        <v>-3859.3600000000006</v>
      </c>
      <c r="M66" s="1"/>
      <c r="N66" s="5">
        <f t="shared" ref="N66:N72" si="47">IF(H66=0,0,L66/H66)</f>
        <v>-0.55971446927803714</v>
      </c>
      <c r="O66" s="14"/>
      <c r="P66" s="1">
        <f>SUM(OSRRefP22_13x_0)</f>
        <v>21231.1</v>
      </c>
      <c r="Q66" s="1"/>
      <c r="R66" s="5">
        <f t="shared" ref="R66:R72" si="48">IF(P$12=0,0,P66/P$12)</f>
        <v>4.5551127644167098E-2</v>
      </c>
      <c r="S66" s="1"/>
      <c r="T66" s="1">
        <f>SUM(OSRRefT22_13x_0)</f>
        <v>17075.27</v>
      </c>
      <c r="U66" s="1"/>
      <c r="V66" s="5">
        <f t="shared" ref="V66:V72" si="49">IF(T$12=0,0,T66/T$12)</f>
        <v>4.0201974350721897E-2</v>
      </c>
      <c r="W66" s="1"/>
      <c r="X66" s="1">
        <f t="shared" ref="X66:X72" si="50">+P66-T66</f>
        <v>4155.8299999999981</v>
      </c>
      <c r="Y66" s="1"/>
      <c r="Z66" s="5">
        <f t="shared" ref="Z66:Z72" si="51">IF(T66=0,0,X66/T66)</f>
        <v>0.24338297432485684</v>
      </c>
    </row>
    <row r="67" spans="1:26" s="24" customFormat="1" hidden="1" outlineLevel="2" x14ac:dyDescent="0.25">
      <c r="A67" s="28"/>
      <c r="B67" s="11" t="str">
        <f>CONCATENATE("          ", "6237", " - ", "JANITORIAL SUPPLIES")</f>
        <v xml:space="preserve">          6237 - JANITORIAL SUPPLIES</v>
      </c>
      <c r="C67" s="11"/>
      <c r="D67" s="6">
        <v>1417.51</v>
      </c>
      <c r="E67" s="2"/>
      <c r="F67" s="7">
        <f t="shared" si="44"/>
        <v>4.1646554778906244E-3</v>
      </c>
      <c r="G67" s="2"/>
      <c r="H67" s="6">
        <v>4047.36</v>
      </c>
      <c r="I67" s="2"/>
      <c r="J67" s="7">
        <f t="shared" si="45"/>
        <v>1.1754479221384246E-2</v>
      </c>
      <c r="K67" s="2"/>
      <c r="L67" s="6">
        <f t="shared" si="46"/>
        <v>-2629.8500000000004</v>
      </c>
      <c r="M67" s="2"/>
      <c r="N67" s="7">
        <f t="shared" si="47"/>
        <v>-0.64976923228969019</v>
      </c>
      <c r="O67" s="11"/>
      <c r="P67" s="6">
        <v>4149.21</v>
      </c>
      <c r="Q67" s="2"/>
      <c r="R67" s="7">
        <f t="shared" si="48"/>
        <v>8.9020914758281295E-3</v>
      </c>
      <c r="S67" s="2"/>
      <c r="T67" s="6">
        <v>5767.34</v>
      </c>
      <c r="U67" s="2"/>
      <c r="V67" s="7">
        <f t="shared" si="49"/>
        <v>1.3578611333928682E-2</v>
      </c>
      <c r="W67" s="2"/>
      <c r="X67" s="6">
        <f t="shared" si="50"/>
        <v>-1618.13</v>
      </c>
      <c r="Y67" s="2"/>
      <c r="Z67" s="7">
        <f t="shared" si="51"/>
        <v>-0.28056781809291631</v>
      </c>
    </row>
    <row r="68" spans="1:26" s="24" customFormat="1" hidden="1" outlineLevel="2" x14ac:dyDescent="0.25">
      <c r="A68" s="28"/>
      <c r="B68" s="11" t="str">
        <f>CONCATENATE("          ", "6239", " - ", "KITCHEN SUPPLIES")</f>
        <v xml:space="preserve">          6239 - KITCHEN SUPPLIES</v>
      </c>
      <c r="C68" s="11"/>
      <c r="D68" s="6">
        <v>96.08</v>
      </c>
      <c r="E68" s="2"/>
      <c r="F68" s="7">
        <f t="shared" si="44"/>
        <v>2.8228379222420386E-4</v>
      </c>
      <c r="G68" s="2"/>
      <c r="H68" s="6">
        <v>611.25</v>
      </c>
      <c r="I68" s="2"/>
      <c r="J68" s="7">
        <f t="shared" si="45"/>
        <v>1.7752128360390773E-3</v>
      </c>
      <c r="K68" s="2"/>
      <c r="L68" s="6">
        <f t="shared" si="46"/>
        <v>-515.16999999999996</v>
      </c>
      <c r="M68" s="2"/>
      <c r="N68" s="7">
        <f t="shared" si="47"/>
        <v>-0.84281390593047023</v>
      </c>
      <c r="O68" s="11"/>
      <c r="P68" s="6">
        <v>1835.8</v>
      </c>
      <c r="Q68" s="2"/>
      <c r="R68" s="7">
        <f t="shared" si="48"/>
        <v>3.9386918308124391E-3</v>
      </c>
      <c r="S68" s="2"/>
      <c r="T68" s="6">
        <v>1842.73</v>
      </c>
      <c r="U68" s="2"/>
      <c r="V68" s="7">
        <f t="shared" si="49"/>
        <v>4.3385190509611709E-3</v>
      </c>
      <c r="W68" s="2"/>
      <c r="X68" s="6">
        <f t="shared" si="50"/>
        <v>-6.9300000000000637</v>
      </c>
      <c r="Y68" s="2"/>
      <c r="Z68" s="7">
        <f t="shared" si="51"/>
        <v>-3.7607245771220221E-3</v>
      </c>
    </row>
    <row r="69" spans="1:26" s="24" customFormat="1" hidden="1" outlineLevel="2" x14ac:dyDescent="0.25">
      <c r="A69" s="28"/>
      <c r="B69" s="11" t="str">
        <f>CONCATENATE("          ", "6241", " - ", "OFFICE EXPENSE")</f>
        <v xml:space="preserve">          6241 - OFFICE EXPENSE</v>
      </c>
      <c r="C69" s="11"/>
      <c r="D69" s="6">
        <v>136.13</v>
      </c>
      <c r="E69" s="2"/>
      <c r="F69" s="7">
        <f t="shared" si="44"/>
        <v>3.999510057814412E-4</v>
      </c>
      <c r="G69" s="2"/>
      <c r="H69" s="6">
        <v>202.67</v>
      </c>
      <c r="I69" s="2"/>
      <c r="J69" s="7">
        <f t="shared" si="45"/>
        <v>5.8860103964014686E-4</v>
      </c>
      <c r="K69" s="2"/>
      <c r="L69" s="6">
        <f t="shared" si="46"/>
        <v>-66.539999999999992</v>
      </c>
      <c r="M69" s="2"/>
      <c r="N69" s="7">
        <f t="shared" si="47"/>
        <v>-0.3283169684709133</v>
      </c>
      <c r="O69" s="11"/>
      <c r="P69" s="6">
        <v>19358.41</v>
      </c>
      <c r="Q69" s="2"/>
      <c r="R69" s="7">
        <f t="shared" si="48"/>
        <v>4.1533288661356263E-2</v>
      </c>
      <c r="S69" s="2"/>
      <c r="T69" s="6">
        <v>1893.31</v>
      </c>
      <c r="U69" s="2"/>
      <c r="V69" s="7">
        <f t="shared" si="49"/>
        <v>4.4576044805127689E-3</v>
      </c>
      <c r="W69" s="2"/>
      <c r="X69" s="6">
        <f t="shared" si="50"/>
        <v>17465.099999999999</v>
      </c>
      <c r="Y69" s="2"/>
      <c r="Z69" s="7">
        <f t="shared" si="51"/>
        <v>9.2246383318104268</v>
      </c>
    </row>
    <row r="70" spans="1:26" s="24" customFormat="1" hidden="1" outlineLevel="2" x14ac:dyDescent="0.25">
      <c r="A70" s="28"/>
      <c r="B70" s="11" t="str">
        <f>CONCATENATE("          ", "6243", " - ", "PAPER SUPPLIES")</f>
        <v xml:space="preserve">          6243 - PAPER SUPPLIES</v>
      </c>
      <c r="C70" s="11"/>
      <c r="D70" s="6">
        <v>1386.15</v>
      </c>
      <c r="E70" s="2"/>
      <c r="F70" s="7">
        <f t="shared" si="44"/>
        <v>4.0725195523686527E-3</v>
      </c>
      <c r="G70" s="2"/>
      <c r="H70" s="6">
        <v>2033.95</v>
      </c>
      <c r="I70" s="2"/>
      <c r="J70" s="7">
        <f t="shared" si="45"/>
        <v>5.9070660905712578E-3</v>
      </c>
      <c r="K70" s="2"/>
      <c r="L70" s="6">
        <f t="shared" si="46"/>
        <v>-647.79999999999995</v>
      </c>
      <c r="M70" s="2"/>
      <c r="N70" s="7">
        <f t="shared" si="47"/>
        <v>-0.31849357162172126</v>
      </c>
      <c r="O70" s="11"/>
      <c r="P70" s="6">
        <v>3506.3</v>
      </c>
      <c r="Q70" s="2"/>
      <c r="R70" s="7">
        <f t="shared" si="48"/>
        <v>7.5227340485769989E-3</v>
      </c>
      <c r="S70" s="2"/>
      <c r="T70" s="6">
        <v>3973.99</v>
      </c>
      <c r="U70" s="2"/>
      <c r="V70" s="7">
        <f t="shared" si="49"/>
        <v>9.3563524354241725E-3</v>
      </c>
      <c r="W70" s="2"/>
      <c r="X70" s="6">
        <f t="shared" si="50"/>
        <v>-467.6899999999996</v>
      </c>
      <c r="Y70" s="2"/>
      <c r="Z70" s="7">
        <f t="shared" si="51"/>
        <v>-0.11768776468989596</v>
      </c>
    </row>
    <row r="71" spans="1:26" s="24" customFormat="1" hidden="1" outlineLevel="2" x14ac:dyDescent="0.25">
      <c r="A71" s="28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>
        <v>441</v>
      </c>
      <c r="Q71" s="2"/>
      <c r="R71" s="7">
        <f t="shared" si="48"/>
        <v>9.4616139960141928E-4</v>
      </c>
      <c r="S71" s="2"/>
      <c r="T71" s="6"/>
      <c r="U71" s="2"/>
      <c r="V71" s="7">
        <f t="shared" si="49"/>
        <v>0</v>
      </c>
      <c r="W71" s="2"/>
      <c r="X71" s="6">
        <f t="shared" si="50"/>
        <v>441</v>
      </c>
      <c r="Y71" s="2"/>
      <c r="Z71" s="7">
        <f t="shared" si="51"/>
        <v>0</v>
      </c>
    </row>
    <row r="72" spans="1:26" s="24" customFormat="1" hidden="1" outlineLevel="2" x14ac:dyDescent="0.25">
      <c r="A72" s="28"/>
      <c r="B72" s="11" t="str">
        <f>CONCATENATE("          ", "6248", " - ", "UNIFORMS")</f>
        <v xml:space="preserve">          6248 - UNIFORMS</v>
      </c>
      <c r="C72" s="11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>
        <v>-8059.62</v>
      </c>
      <c r="Q72" s="2"/>
      <c r="R72" s="7">
        <f t="shared" si="48"/>
        <v>-1.7291839772008141E-2</v>
      </c>
      <c r="S72" s="2"/>
      <c r="T72" s="6">
        <v>3597.9</v>
      </c>
      <c r="U72" s="2"/>
      <c r="V72" s="7">
        <f t="shared" si="49"/>
        <v>8.4708870498951001E-3</v>
      </c>
      <c r="W72" s="2"/>
      <c r="X72" s="6">
        <f t="shared" si="50"/>
        <v>-11657.52</v>
      </c>
      <c r="Y72" s="2"/>
      <c r="Z72" s="7">
        <f t="shared" si="51"/>
        <v>-3.2400900525306429</v>
      </c>
    </row>
    <row r="73" spans="1:26" s="29" customFormat="1" outlineLevel="1" collapsed="1" x14ac:dyDescent="0.25">
      <c r="A73" s="27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SUM(OSRRefD22_14x_0)</f>
        <v>283</v>
      </c>
      <c r="E73" s="1"/>
      <c r="F73" s="5">
        <f t="shared" ref="F73:F79" si="52">IF(D$12=0,0,D73/D$12)</f>
        <v>8.3145621564789435E-4</v>
      </c>
      <c r="G73" s="1"/>
      <c r="H73" s="1">
        <f>SUM(OSRRefH22_14x_0)</f>
        <v>275</v>
      </c>
      <c r="I73" s="1"/>
      <c r="J73" s="5">
        <f t="shared" ref="J73:J79" si="53">IF(H$12=0,0,H73/H$12)</f>
        <v>7.9866426161267286E-4</v>
      </c>
      <c r="K73" s="1"/>
      <c r="L73" s="1">
        <f t="shared" ref="L73:L79" si="54">+D73-H73</f>
        <v>8</v>
      </c>
      <c r="M73" s="1"/>
      <c r="N73" s="5">
        <f t="shared" ref="N73:N79" si="55">IF(H73=0,0,L73/H73)</f>
        <v>2.9090909090909091E-2</v>
      </c>
      <c r="O73" s="14"/>
      <c r="P73" s="1">
        <f>SUM(OSRRefP22_14x_0)</f>
        <v>444.9</v>
      </c>
      <c r="Q73" s="1"/>
      <c r="R73" s="5">
        <f t="shared" ref="R73:R79" si="56">IF(P$12=0,0,P73/P$12)</f>
        <v>9.5452881333939091E-4</v>
      </c>
      <c r="S73" s="1"/>
      <c r="T73" s="1">
        <f>SUM(OSRRefT22_14x_0)</f>
        <v>505.85</v>
      </c>
      <c r="U73" s="1"/>
      <c r="V73" s="5">
        <f t="shared" ref="V73:V79" si="57">IF(T$12=0,0,T73/T$12)</f>
        <v>1.1909720153949351E-3</v>
      </c>
      <c r="W73" s="1"/>
      <c r="X73" s="1">
        <f t="shared" ref="X73:X79" si="58">+P73-T73</f>
        <v>-60.950000000000045</v>
      </c>
      <c r="Y73" s="1"/>
      <c r="Z73" s="5">
        <f t="shared" ref="Z73:Z79" si="59">IF(T73=0,0,X73/T73)</f>
        <v>-0.12049026391222703</v>
      </c>
    </row>
    <row r="74" spans="1:26" s="24" customFormat="1" hidden="1" outlineLevel="2" x14ac:dyDescent="0.25">
      <c r="A74" s="28"/>
      <c r="B74" s="11" t="str">
        <f>CONCATENATE("          ", "6309", " - ", "TELEPHONE")</f>
        <v xml:space="preserve">          6309 - TELEPHONE</v>
      </c>
      <c r="C74" s="11"/>
      <c r="D74" s="6">
        <v>283</v>
      </c>
      <c r="E74" s="2"/>
      <c r="F74" s="7">
        <f t="shared" si="52"/>
        <v>8.3145621564789435E-4</v>
      </c>
      <c r="G74" s="2"/>
      <c r="H74" s="6">
        <v>275</v>
      </c>
      <c r="I74" s="2"/>
      <c r="J74" s="7">
        <f t="shared" si="53"/>
        <v>7.9866426161267286E-4</v>
      </c>
      <c r="K74" s="2"/>
      <c r="L74" s="6">
        <f t="shared" si="54"/>
        <v>8</v>
      </c>
      <c r="M74" s="2"/>
      <c r="N74" s="7">
        <f t="shared" si="55"/>
        <v>2.9090909090909091E-2</v>
      </c>
      <c r="O74" s="11"/>
      <c r="P74" s="6">
        <v>444.9</v>
      </c>
      <c r="Q74" s="2"/>
      <c r="R74" s="7">
        <f t="shared" si="56"/>
        <v>9.5452881333939091E-4</v>
      </c>
      <c r="S74" s="2"/>
      <c r="T74" s="6">
        <v>505.85</v>
      </c>
      <c r="U74" s="2"/>
      <c r="V74" s="7">
        <f t="shared" si="57"/>
        <v>1.1909720153949351E-3</v>
      </c>
      <c r="W74" s="2"/>
      <c r="X74" s="6">
        <f t="shared" si="58"/>
        <v>-60.950000000000045</v>
      </c>
      <c r="Y74" s="2"/>
      <c r="Z74" s="7">
        <f t="shared" si="59"/>
        <v>-0.12049026391222703</v>
      </c>
    </row>
    <row r="75" spans="1:26" s="29" customFormat="1" outlineLevel="1" collapsed="1" x14ac:dyDescent="0.25">
      <c r="A75" s="27"/>
      <c r="B75" s="14" t="str">
        <f>CONCATENATE("     ","Training                                          ")</f>
        <v xml:space="preserve">     Training                                          </v>
      </c>
      <c r="C75" s="14"/>
      <c r="D75" s="1">
        <f>SUM(OSRRefD22_15x_0)</f>
        <v>0</v>
      </c>
      <c r="E75" s="1"/>
      <c r="F75" s="5">
        <f t="shared" si="52"/>
        <v>0</v>
      </c>
      <c r="G75" s="1"/>
      <c r="H75" s="1">
        <f>SUM(OSRRefH22_15x_0)</f>
        <v>346.74</v>
      </c>
      <c r="I75" s="1"/>
      <c r="J75" s="5">
        <f t="shared" si="53"/>
        <v>1.0070139857148298E-3</v>
      </c>
      <c r="K75" s="1"/>
      <c r="L75" s="1">
        <f t="shared" si="54"/>
        <v>-346.74</v>
      </c>
      <c r="M75" s="1"/>
      <c r="N75" s="5">
        <f t="shared" si="55"/>
        <v>-1</v>
      </c>
      <c r="O75" s="14"/>
      <c r="P75" s="1">
        <f>SUM(OSRRefP22_15x_0)</f>
        <v>1107.78</v>
      </c>
      <c r="Q75" s="1"/>
      <c r="R75" s="5">
        <f t="shared" si="56"/>
        <v>2.3767316899103406E-3</v>
      </c>
      <c r="S75" s="1"/>
      <c r="T75" s="1">
        <f>SUM(OSRRefT22_15x_0)</f>
        <v>1232.8399999999999</v>
      </c>
      <c r="U75" s="1"/>
      <c r="V75" s="5">
        <f t="shared" si="57"/>
        <v>2.9025955114351911E-3</v>
      </c>
      <c r="W75" s="1"/>
      <c r="X75" s="1">
        <f t="shared" si="58"/>
        <v>-125.05999999999995</v>
      </c>
      <c r="Y75" s="1"/>
      <c r="Z75" s="5">
        <f t="shared" si="59"/>
        <v>-0.10144057623049216</v>
      </c>
    </row>
    <row r="76" spans="1:26" s="24" customFormat="1" hidden="1" outlineLevel="2" x14ac:dyDescent="0.25">
      <c r="A76" s="28"/>
      <c r="B76" s="11" t="str">
        <f>CONCATENATE("          ", "6376", " - ", "TRAINING")</f>
        <v xml:space="preserve">          6376 - TRAINING</v>
      </c>
      <c r="C76" s="11"/>
      <c r="D76" s="6"/>
      <c r="E76" s="2"/>
      <c r="F76" s="7">
        <f t="shared" si="52"/>
        <v>0</v>
      </c>
      <c r="G76" s="2"/>
      <c r="H76" s="6">
        <v>346.74</v>
      </c>
      <c r="I76" s="2"/>
      <c r="J76" s="7">
        <f t="shared" si="53"/>
        <v>1.0070139857148298E-3</v>
      </c>
      <c r="K76" s="2"/>
      <c r="L76" s="6">
        <f t="shared" si="54"/>
        <v>-346.74</v>
      </c>
      <c r="M76" s="2"/>
      <c r="N76" s="7">
        <f t="shared" si="55"/>
        <v>-1</v>
      </c>
      <c r="O76" s="11"/>
      <c r="P76" s="6">
        <v>1107.78</v>
      </c>
      <c r="Q76" s="2"/>
      <c r="R76" s="7">
        <f t="shared" si="56"/>
        <v>2.3767316899103406E-3</v>
      </c>
      <c r="S76" s="2"/>
      <c r="T76" s="6">
        <v>1232.8399999999999</v>
      </c>
      <c r="U76" s="2"/>
      <c r="V76" s="7">
        <f t="shared" si="57"/>
        <v>2.9025955114351911E-3</v>
      </c>
      <c r="W76" s="2"/>
      <c r="X76" s="6">
        <f t="shared" si="58"/>
        <v>-125.05999999999995</v>
      </c>
      <c r="Y76" s="2"/>
      <c r="Z76" s="7">
        <f t="shared" si="59"/>
        <v>-0.10144057623049216</v>
      </c>
    </row>
    <row r="77" spans="1:26" s="29" customFormat="1" outlineLevel="1" collapsed="1" x14ac:dyDescent="0.25">
      <c r="A77" s="27"/>
      <c r="B77" s="14" t="str">
        <f>CONCATENATE("     ","Travel                                            ")</f>
        <v xml:space="preserve">     Travel                                            </v>
      </c>
      <c r="C77" s="14"/>
      <c r="D77" s="1">
        <f>SUM(OSRRefD22_16x_0)</f>
        <v>0</v>
      </c>
      <c r="E77" s="1"/>
      <c r="F77" s="5">
        <f t="shared" si="52"/>
        <v>0</v>
      </c>
      <c r="G77" s="1"/>
      <c r="H77" s="1">
        <f>SUM(OSRRefH22_16x_0)</f>
        <v>0</v>
      </c>
      <c r="I77" s="1"/>
      <c r="J77" s="5">
        <f t="shared" si="53"/>
        <v>0</v>
      </c>
      <c r="K77" s="1"/>
      <c r="L77" s="1">
        <f t="shared" si="54"/>
        <v>0</v>
      </c>
      <c r="M77" s="1"/>
      <c r="N77" s="5">
        <f t="shared" si="55"/>
        <v>0</v>
      </c>
      <c r="O77" s="14"/>
      <c r="P77" s="1">
        <f>SUM(OSRRefP22_16x_0)</f>
        <v>79.510000000000005</v>
      </c>
      <c r="Q77" s="1"/>
      <c r="R77" s="5">
        <f t="shared" si="56"/>
        <v>1.7058796571952121E-4</v>
      </c>
      <c r="S77" s="1"/>
      <c r="T77" s="1">
        <f>SUM(OSRRefT22_16x_0)</f>
        <v>108.83</v>
      </c>
      <c r="U77" s="1"/>
      <c r="V77" s="5">
        <f t="shared" si="57"/>
        <v>2.5622908853500199E-4</v>
      </c>
      <c r="W77" s="1"/>
      <c r="X77" s="1">
        <f t="shared" si="58"/>
        <v>-29.319999999999993</v>
      </c>
      <c r="Y77" s="1"/>
      <c r="Z77" s="5">
        <f t="shared" si="59"/>
        <v>-0.26941100799411921</v>
      </c>
    </row>
    <row r="78" spans="1:26" s="24" customFormat="1" hidden="1" outlineLevel="2" x14ac:dyDescent="0.25">
      <c r="A78" s="28"/>
      <c r="B78" s="11" t="str">
        <f>CONCATENATE("          ", "6292", " - ", "TRAVEL/CONFERENCE")</f>
        <v xml:space="preserve">          6292 - TRAVEL/CONFERENCE</v>
      </c>
      <c r="C78" s="11"/>
      <c r="D78" s="6"/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0</v>
      </c>
      <c r="M78" s="2"/>
      <c r="N78" s="7">
        <f t="shared" si="55"/>
        <v>0</v>
      </c>
      <c r="O78" s="11"/>
      <c r="P78" s="6">
        <v>79.510000000000005</v>
      </c>
      <c r="Q78" s="2"/>
      <c r="R78" s="7">
        <f t="shared" si="56"/>
        <v>1.7058796571952121E-4</v>
      </c>
      <c r="S78" s="2"/>
      <c r="T78" s="6"/>
      <c r="U78" s="2"/>
      <c r="V78" s="7">
        <f t="shared" si="57"/>
        <v>0</v>
      </c>
      <c r="W78" s="2"/>
      <c r="X78" s="6">
        <f t="shared" si="58"/>
        <v>79.510000000000005</v>
      </c>
      <c r="Y78" s="2"/>
      <c r="Z78" s="7">
        <f t="shared" si="59"/>
        <v>0</v>
      </c>
    </row>
    <row r="79" spans="1:26" s="24" customFormat="1" hidden="1" outlineLevel="2" x14ac:dyDescent="0.25">
      <c r="A79" s="28"/>
      <c r="B79" s="11" t="str">
        <f>CONCATENATE("          ", "6294", " - ", "TRAVEL OPERATIONAL")</f>
        <v xml:space="preserve">          6294 - TRAVEL OPERATIONAL</v>
      </c>
      <c r="C79" s="11"/>
      <c r="D79" s="6"/>
      <c r="E79" s="2"/>
      <c r="F79" s="7">
        <f t="shared" si="52"/>
        <v>0</v>
      </c>
      <c r="G79" s="2"/>
      <c r="H79" s="6"/>
      <c r="I79" s="2"/>
      <c r="J79" s="7">
        <f t="shared" si="53"/>
        <v>0</v>
      </c>
      <c r="K79" s="2"/>
      <c r="L79" s="6">
        <f t="shared" si="54"/>
        <v>0</v>
      </c>
      <c r="M79" s="2"/>
      <c r="N79" s="7">
        <f t="shared" si="55"/>
        <v>0</v>
      </c>
      <c r="O79" s="11"/>
      <c r="P79" s="6"/>
      <c r="Q79" s="2"/>
      <c r="R79" s="7">
        <f t="shared" si="56"/>
        <v>0</v>
      </c>
      <c r="S79" s="2"/>
      <c r="T79" s="6">
        <v>108.83</v>
      </c>
      <c r="U79" s="2"/>
      <c r="V79" s="7">
        <f t="shared" si="57"/>
        <v>2.5622908853500199E-4</v>
      </c>
      <c r="W79" s="2"/>
      <c r="X79" s="6">
        <f t="shared" si="58"/>
        <v>-108.83</v>
      </c>
      <c r="Y79" s="2"/>
      <c r="Z79" s="7">
        <f t="shared" si="59"/>
        <v>-1</v>
      </c>
    </row>
    <row r="80" spans="1:26" s="53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5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6" t="s">
        <v>3</v>
      </c>
      <c r="C83" s="26"/>
      <c r="D83" s="21">
        <f>+D21-D23+D81</f>
        <v>130930.20000000001</v>
      </c>
      <c r="E83" s="13"/>
      <c r="F83" s="20">
        <f>IF(D$12=0,0,D83/D$12)</f>
        <v>0.38467395267145565</v>
      </c>
      <c r="G83" s="13"/>
      <c r="H83" s="21">
        <f>+H21-H23+H81</f>
        <v>163267.35999999999</v>
      </c>
      <c r="I83" s="13"/>
      <c r="J83" s="20">
        <f>IF(H$12=0,0,H83/H$12)</f>
        <v>0.47416656552672881</v>
      </c>
      <c r="K83" s="15"/>
      <c r="L83" s="21">
        <f>+D83-H83</f>
        <v>-32337.159999999974</v>
      </c>
      <c r="M83" s="15"/>
      <c r="N83" s="20">
        <f>IF(H83=0,0,L83/H83)</f>
        <v>-0.19806261337232364</v>
      </c>
      <c r="O83" s="25"/>
      <c r="P83" s="21">
        <f>+P21-P23+P81</f>
        <v>31207.799999999988</v>
      </c>
      <c r="Q83" s="13"/>
      <c r="R83" s="20">
        <f>IF(P$12=0,0,P83/P$12)</f>
        <v>6.6956044731249803E-2</v>
      </c>
      <c r="S83" s="13"/>
      <c r="T83" s="21">
        <f>+T21-T23+T81</f>
        <v>62499.029999999912</v>
      </c>
      <c r="U83" s="13"/>
      <c r="V83" s="20">
        <f>IF(T$12=0,0,T83/T$12)</f>
        <v>0.14714756492898765</v>
      </c>
      <c r="W83" s="15"/>
      <c r="X83" s="21">
        <f>+P83-T83</f>
        <v>-31291.229999999923</v>
      </c>
      <c r="Y83" s="15"/>
      <c r="Z83" s="20">
        <f>IF(T83=0,0,X83/T83)</f>
        <v>-0.50066745035882909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>
        <v>34388.800000000003</v>
      </c>
      <c r="E85" s="4"/>
      <c r="F85" s="12">
        <f>IF(D$12=0,0,D85/D$12)</f>
        <v>0.10103456363488449</v>
      </c>
      <c r="G85" s="4"/>
      <c r="H85" s="4">
        <v>29526.95</v>
      </c>
      <c r="I85" s="4"/>
      <c r="J85" s="12">
        <f>IF(H$12=0,0,H85/H$12)</f>
        <v>8.5753162616088396E-2</v>
      </c>
      <c r="K85" s="4"/>
      <c r="L85" s="4">
        <f>+D85-H85</f>
        <v>4861.8500000000022</v>
      </c>
      <c r="M85" s="4"/>
      <c r="N85" s="12">
        <f>IF(H85=0,0,L85/H85)</f>
        <v>0.16465804968003814</v>
      </c>
      <c r="O85" s="10"/>
      <c r="P85" s="4">
        <v>50064.65</v>
      </c>
      <c r="Q85" s="4"/>
      <c r="R85" s="12">
        <f>IF(P$12=0,0,P85/P$12)</f>
        <v>0.10741324107608888</v>
      </c>
      <c r="S85" s="4"/>
      <c r="T85" s="4">
        <v>37736.659999999996</v>
      </c>
      <c r="U85" s="4"/>
      <c r="V85" s="12">
        <f>IF(T$12=0,0,T85/T$12)</f>
        <v>8.8847100947856916E-2</v>
      </c>
      <c r="W85" s="4"/>
      <c r="X85" s="4">
        <f>+P85-T85</f>
        <v>12327.990000000005</v>
      </c>
      <c r="Y85" s="4"/>
      <c r="Z85" s="12">
        <f>IF(T85=0,0,X85/T85)</f>
        <v>0.32668471454548459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6" t="s">
        <v>4</v>
      </c>
      <c r="C87" s="26"/>
      <c r="D87" s="35">
        <f>+D83-D85</f>
        <v>96541.400000000009</v>
      </c>
      <c r="E87" s="13"/>
      <c r="F87" s="30">
        <f>IF(D$12=0,0,D87/D$12)</f>
        <v>0.28363938903657115</v>
      </c>
      <c r="G87" s="13"/>
      <c r="H87" s="35">
        <f>+H83-H85</f>
        <v>133740.40999999997</v>
      </c>
      <c r="I87" s="13"/>
      <c r="J87" s="30">
        <f>IF(H$12=0,0,H87/H$12)</f>
        <v>0.38841340291064036</v>
      </c>
      <c r="K87" s="15"/>
      <c r="L87" s="35">
        <f>D87-H87</f>
        <v>-37199.009999999966</v>
      </c>
      <c r="M87" s="15"/>
      <c r="N87" s="30">
        <f>IF(H87=0,0,L87/H87)</f>
        <v>-0.2781433823928009</v>
      </c>
      <c r="O87" s="25"/>
      <c r="P87" s="35">
        <f>+P83-P85</f>
        <v>-18856.850000000013</v>
      </c>
      <c r="Q87" s="13"/>
      <c r="R87" s="30">
        <f>IF(P$12=0,0,P87/P$12)</f>
        <v>-4.0457196344839082E-2</v>
      </c>
      <c r="S87" s="13"/>
      <c r="T87" s="35">
        <f>+T83-T85</f>
        <v>24762.369999999915</v>
      </c>
      <c r="U87" s="13"/>
      <c r="V87" s="30">
        <f>IF(T$12=0,0,T87/T$12)</f>
        <v>5.8300463981130722E-2</v>
      </c>
      <c r="W87" s="15"/>
      <c r="X87" s="35">
        <f>P87-T87</f>
        <v>-43619.219999999928</v>
      </c>
      <c r="Y87" s="15"/>
      <c r="Z87" s="30">
        <f>IF(T87=0,0,X87/T87)</f>
        <v>-1.7615123269703215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6" t="s">
        <v>5</v>
      </c>
      <c r="C90" s="26"/>
      <c r="D90" s="36">
        <f>SUM(D87:D89)</f>
        <v>96541.400000000009</v>
      </c>
      <c r="E90" s="13"/>
      <c r="F90" s="31">
        <f>IF(D$12=0,0,D90/D$12)</f>
        <v>0.28363938903657115</v>
      </c>
      <c r="G90" s="13"/>
      <c r="H90" s="36">
        <f>SUM(H87:H89)</f>
        <v>133740.40999999997</v>
      </c>
      <c r="I90" s="13"/>
      <c r="J90" s="31">
        <f>IF(H$12=0,0,H90/H$12)</f>
        <v>0.38841340291064036</v>
      </c>
      <c r="K90" s="15"/>
      <c r="L90" s="36">
        <f>+D90-H90</f>
        <v>-37199.009999999966</v>
      </c>
      <c r="M90" s="15"/>
      <c r="N90" s="31">
        <f>IF(H90=0,0,L90/H90)</f>
        <v>-0.2781433823928009</v>
      </c>
      <c r="O90" s="25"/>
      <c r="P90" s="36">
        <f>SUM(P87:P89)</f>
        <v>-18856.850000000013</v>
      </c>
      <c r="Q90" s="13"/>
      <c r="R90" s="31">
        <f>IF(P$12=0,0,P90/P$12)</f>
        <v>-4.0457196344839082E-2</v>
      </c>
      <c r="S90" s="13"/>
      <c r="T90" s="36">
        <f>SUM(T87:T89)</f>
        <v>24762.369999999915</v>
      </c>
      <c r="U90" s="13"/>
      <c r="V90" s="31">
        <f>IF(T$12=0,0,T90/T$12)</f>
        <v>5.8300463981130722E-2</v>
      </c>
      <c r="W90" s="15"/>
      <c r="X90" s="36">
        <f>+P90-T90</f>
        <v>-43619.219999999928</v>
      </c>
      <c r="Y90" s="15"/>
      <c r="Z90" s="31">
        <f>IF(T90=0,0,X90/T90)</f>
        <v>-1.7615123269703215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5">
        <v>43756.463576273149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6" t="s">
        <v>313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7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7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296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28226</v>
      </c>
      <c r="E12" s="4"/>
      <c r="F12" s="12"/>
      <c r="G12" s="4"/>
      <c r="H12" s="4">
        <f>SUM(OSRRefH13x_0)</f>
        <v>25117</v>
      </c>
      <c r="I12" s="4"/>
      <c r="J12" s="12"/>
      <c r="K12" s="4"/>
      <c r="L12" s="4">
        <f t="shared" ref="L12:L13" si="0">+D12-H12</f>
        <v>3109</v>
      </c>
      <c r="M12" s="4"/>
      <c r="N12" s="12">
        <f t="shared" ref="N12:N13" si="1">IF(H12=0,0,L12/H12)</f>
        <v>0.12378070629454155</v>
      </c>
      <c r="O12" s="10"/>
      <c r="P12" s="4">
        <f>SUM(OSRRefP13x_0)</f>
        <v>96112</v>
      </c>
      <c r="Q12" s="4"/>
      <c r="R12" s="12"/>
      <c r="S12" s="4"/>
      <c r="T12" s="4">
        <f>SUM(OSRRefT13x_0)</f>
        <v>126880</v>
      </c>
      <c r="U12" s="4"/>
      <c r="V12" s="12"/>
      <c r="W12" s="4"/>
      <c r="X12" s="4">
        <f t="shared" ref="X12:X13" si="2">+P12-T12</f>
        <v>-30768</v>
      </c>
      <c r="Y12" s="4"/>
      <c r="Z12" s="12">
        <f t="shared" ref="Z12:Z13" si="3">IF(T12=0,0,X12/T12)</f>
        <v>-0.2424968474148802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--28226</f>
        <v>28226</v>
      </c>
      <c r="E13" s="2"/>
      <c r="F13" s="19"/>
      <c r="G13" s="2"/>
      <c r="H13" s="2">
        <f>--25117</f>
        <v>25117</v>
      </c>
      <c r="I13" s="2"/>
      <c r="J13" s="19"/>
      <c r="K13" s="2"/>
      <c r="L13" s="2">
        <f t="shared" si="0"/>
        <v>3109</v>
      </c>
      <c r="M13" s="2"/>
      <c r="N13" s="19">
        <f t="shared" si="1"/>
        <v>0.12378070629454155</v>
      </c>
      <c r="O13" s="11"/>
      <c r="P13" s="2">
        <f>--96112</f>
        <v>96112</v>
      </c>
      <c r="Q13" s="2"/>
      <c r="R13" s="19"/>
      <c r="S13" s="2"/>
      <c r="T13" s="2">
        <f>--126880</f>
        <v>126880</v>
      </c>
      <c r="U13" s="2"/>
      <c r="V13" s="19"/>
      <c r="W13" s="2"/>
      <c r="X13" s="2">
        <f t="shared" si="2"/>
        <v>-30768</v>
      </c>
      <c r="Y13" s="2"/>
      <c r="Z13" s="19">
        <f t="shared" si="3"/>
        <v>-0.2424968474148802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1">
        <f>D12-D15</f>
        <v>28226</v>
      </c>
      <c r="E17" s="13"/>
      <c r="F17" s="20">
        <f>IF(D$12=0,0,D17/D$12)</f>
        <v>1</v>
      </c>
      <c r="G17" s="13"/>
      <c r="H17" s="21">
        <f>H12-H15</f>
        <v>25117</v>
      </c>
      <c r="I17" s="13"/>
      <c r="J17" s="20">
        <f>IF(H$12=0,0,H17/H$12)</f>
        <v>1</v>
      </c>
      <c r="K17" s="15"/>
      <c r="L17" s="21">
        <f>+D17-H17</f>
        <v>3109</v>
      </c>
      <c r="M17" s="15"/>
      <c r="N17" s="20">
        <f>IF(H17=0,0,L17/H17)</f>
        <v>0.12378070629454155</v>
      </c>
      <c r="O17" s="25"/>
      <c r="P17" s="21">
        <f>P12-P15</f>
        <v>96112</v>
      </c>
      <c r="Q17" s="13"/>
      <c r="R17" s="20">
        <f>IF(P$12=0,0,P17/P$12)</f>
        <v>1</v>
      </c>
      <c r="S17" s="13"/>
      <c r="T17" s="21">
        <f>T12-T15</f>
        <v>126880</v>
      </c>
      <c r="U17" s="13"/>
      <c r="V17" s="20">
        <f>IF(T$12=0,0,T17/T$12)</f>
        <v>1</v>
      </c>
      <c r="W17" s="15"/>
      <c r="X17" s="21">
        <f>+P17-T17</f>
        <v>-30768</v>
      </c>
      <c r="Y17" s="15"/>
      <c r="Z17" s="20">
        <f>IF(T17=0,0,X17/T17)</f>
        <v>-0.2424968474148802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2">
        <f>SUM(OSRRefD22x_0)</f>
        <v>30098.410000000003</v>
      </c>
      <c r="E19" s="22"/>
      <c r="F19" s="34">
        <f t="shared" ref="F19:F28" si="4">IF(D$12=0,0,D19/D$12)</f>
        <v>1.066336356550698</v>
      </c>
      <c r="G19" s="22"/>
      <c r="H19" s="22">
        <f>SUM(OSRRefH22x_0)</f>
        <v>31344.819999999996</v>
      </c>
      <c r="I19" s="22"/>
      <c r="J19" s="34">
        <f t="shared" ref="J19:J28" si="5">IF(H$12=0,0,H19/H$12)</f>
        <v>1.2479523828482699</v>
      </c>
      <c r="K19" s="4"/>
      <c r="L19" s="22">
        <f t="shared" ref="L19:L28" si="6">+D19-H19</f>
        <v>-1246.4099999999926</v>
      </c>
      <c r="M19" s="4"/>
      <c r="N19" s="34">
        <f t="shared" ref="N19:N28" si="7">IF(H19=0,0,L19/H19)</f>
        <v>-3.9764465069507267E-2</v>
      </c>
      <c r="O19" s="10"/>
      <c r="P19" s="22">
        <f>SUM(OSRRefP22x_0)</f>
        <v>94698.610000000015</v>
      </c>
      <c r="Q19" s="22"/>
      <c r="R19" s="34">
        <f t="shared" ref="R19:R28" si="8">IF(P$12=0,0,P19/P$12)</f>
        <v>0.98529434409855188</v>
      </c>
      <c r="S19" s="22"/>
      <c r="T19" s="22">
        <f>SUM(OSRRefT22x_0)</f>
        <v>125057.04000000002</v>
      </c>
      <c r="U19" s="22"/>
      <c r="V19" s="34">
        <f t="shared" ref="V19:V28" si="9">IF(T$12=0,0,T19/T$12)</f>
        <v>0.98563240857503176</v>
      </c>
      <c r="W19" s="4"/>
      <c r="X19" s="22">
        <f t="shared" ref="X19:X28" si="10">+P19-T19</f>
        <v>-30358.430000000008</v>
      </c>
      <c r="Y19" s="4"/>
      <c r="Z19" s="34">
        <f t="shared" ref="Z19:Z28" si="11">IF(T19=0,0,X19/T19)</f>
        <v>-0.24275666527850012</v>
      </c>
    </row>
    <row r="20" spans="1:26" s="29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4870.5900000000011</v>
      </c>
      <c r="E20" s="1"/>
      <c r="F20" s="5">
        <f t="shared" si="4"/>
        <v>0.17255686246722884</v>
      </c>
      <c r="G20" s="1"/>
      <c r="H20" s="1">
        <f>SUM(OSRRefH22_0x_0)</f>
        <v>4726.3099999999995</v>
      </c>
      <c r="I20" s="1"/>
      <c r="J20" s="5">
        <f t="shared" si="5"/>
        <v>0.18817175618107257</v>
      </c>
      <c r="K20" s="1"/>
      <c r="L20" s="1">
        <f t="shared" si="6"/>
        <v>144.28000000000156</v>
      </c>
      <c r="M20" s="1"/>
      <c r="N20" s="5">
        <f t="shared" si="7"/>
        <v>3.052698616891435E-2</v>
      </c>
      <c r="O20" s="14"/>
      <c r="P20" s="1">
        <f>SUM(OSRRefP22_0x_0)</f>
        <v>13496.070000000002</v>
      </c>
      <c r="Q20" s="1"/>
      <c r="R20" s="5">
        <f t="shared" si="8"/>
        <v>0.14042023888796407</v>
      </c>
      <c r="S20" s="1"/>
      <c r="T20" s="1">
        <f>SUM(OSRRefT22_0x_0)</f>
        <v>13476.48</v>
      </c>
      <c r="U20" s="1"/>
      <c r="V20" s="5">
        <f t="shared" si="9"/>
        <v>0.10621437578814627</v>
      </c>
      <c r="W20" s="1"/>
      <c r="X20" s="1">
        <f t="shared" si="10"/>
        <v>19.590000000001965</v>
      </c>
      <c r="Y20" s="1"/>
      <c r="Z20" s="5">
        <f t="shared" si="11"/>
        <v>1.4536436814362478E-3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6">
        <v>1067.03</v>
      </c>
      <c r="E21" s="2"/>
      <c r="F21" s="7">
        <f t="shared" si="4"/>
        <v>3.7803089350244456E-2</v>
      </c>
      <c r="G21" s="2"/>
      <c r="H21" s="6">
        <v>963.89</v>
      </c>
      <c r="I21" s="2"/>
      <c r="J21" s="7">
        <f t="shared" si="5"/>
        <v>3.8376000318509379E-2</v>
      </c>
      <c r="K21" s="2"/>
      <c r="L21" s="6">
        <f t="shared" si="6"/>
        <v>103.13999999999999</v>
      </c>
      <c r="M21" s="2"/>
      <c r="N21" s="7">
        <f t="shared" si="7"/>
        <v>0.10700391123468445</v>
      </c>
      <c r="O21" s="11"/>
      <c r="P21" s="6">
        <v>3424.24</v>
      </c>
      <c r="Q21" s="2"/>
      <c r="R21" s="7">
        <f t="shared" si="8"/>
        <v>3.5627601132012653E-2</v>
      </c>
      <c r="S21" s="2"/>
      <c r="T21" s="6">
        <v>3404.03</v>
      </c>
      <c r="U21" s="2"/>
      <c r="V21" s="7">
        <f t="shared" si="9"/>
        <v>2.6828735813366963E-2</v>
      </c>
      <c r="W21" s="2"/>
      <c r="X21" s="6">
        <f t="shared" si="10"/>
        <v>20.209999999999582</v>
      </c>
      <c r="Y21" s="2"/>
      <c r="Z21" s="7">
        <f t="shared" si="11"/>
        <v>5.937080460512857E-3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6">
        <v>60.71</v>
      </c>
      <c r="E22" s="2"/>
      <c r="F22" s="7">
        <f t="shared" si="4"/>
        <v>2.1508538227166443E-3</v>
      </c>
      <c r="G22" s="2"/>
      <c r="H22" s="6"/>
      <c r="I22" s="2"/>
      <c r="J22" s="7">
        <f t="shared" si="5"/>
        <v>0</v>
      </c>
      <c r="K22" s="2"/>
      <c r="L22" s="6">
        <f t="shared" si="6"/>
        <v>60.71</v>
      </c>
      <c r="M22" s="2"/>
      <c r="N22" s="7">
        <f t="shared" si="7"/>
        <v>0</v>
      </c>
      <c r="O22" s="11"/>
      <c r="P22" s="6">
        <v>170.49</v>
      </c>
      <c r="Q22" s="2"/>
      <c r="R22" s="7">
        <f t="shared" si="8"/>
        <v>1.7738679873480941E-3</v>
      </c>
      <c r="S22" s="2"/>
      <c r="T22" s="6">
        <v>125.92</v>
      </c>
      <c r="U22" s="2"/>
      <c r="V22" s="7">
        <f t="shared" si="9"/>
        <v>9.9243379571248421E-4</v>
      </c>
      <c r="W22" s="2"/>
      <c r="X22" s="6">
        <f t="shared" si="10"/>
        <v>44.570000000000007</v>
      </c>
      <c r="Y22" s="2"/>
      <c r="Z22" s="7">
        <f t="shared" si="11"/>
        <v>0.35395489199491748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6">
        <v>1243.31</v>
      </c>
      <c r="E23" s="2"/>
      <c r="F23" s="7">
        <f t="shared" si="4"/>
        <v>4.4048395096719338E-2</v>
      </c>
      <c r="G23" s="2"/>
      <c r="H23" s="6">
        <v>1907.71</v>
      </c>
      <c r="I23" s="2"/>
      <c r="J23" s="7">
        <f t="shared" si="5"/>
        <v>7.5952940239678302E-2</v>
      </c>
      <c r="K23" s="2"/>
      <c r="L23" s="6">
        <f t="shared" si="6"/>
        <v>-664.40000000000009</v>
      </c>
      <c r="M23" s="2"/>
      <c r="N23" s="7">
        <f t="shared" si="7"/>
        <v>-0.3482709636160633</v>
      </c>
      <c r="O23" s="11"/>
      <c r="P23" s="6">
        <v>3729.93</v>
      </c>
      <c r="Q23" s="2"/>
      <c r="R23" s="7">
        <f t="shared" si="8"/>
        <v>3.8808161311802897E-2</v>
      </c>
      <c r="S23" s="2"/>
      <c r="T23" s="6">
        <v>3596.05</v>
      </c>
      <c r="U23" s="2"/>
      <c r="V23" s="7">
        <f t="shared" si="9"/>
        <v>2.8342134300126106E-2</v>
      </c>
      <c r="W23" s="2"/>
      <c r="X23" s="6">
        <f t="shared" si="10"/>
        <v>133.87999999999965</v>
      </c>
      <c r="Y23" s="2"/>
      <c r="Z23" s="7">
        <f t="shared" si="11"/>
        <v>3.7229738184952836E-2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46.4</v>
      </c>
      <c r="E24" s="2"/>
      <c r="F24" s="7">
        <f t="shared" si="4"/>
        <v>1.6438744420038261E-3</v>
      </c>
      <c r="G24" s="2"/>
      <c r="H24" s="6">
        <v>47.14</v>
      </c>
      <c r="I24" s="2"/>
      <c r="J24" s="7">
        <f t="shared" si="5"/>
        <v>1.876816498785683E-3</v>
      </c>
      <c r="K24" s="2"/>
      <c r="L24" s="6">
        <f t="shared" si="6"/>
        <v>-0.74000000000000199</v>
      </c>
      <c r="M24" s="2"/>
      <c r="N24" s="7">
        <f t="shared" si="7"/>
        <v>-1.5697921086126474E-2</v>
      </c>
      <c r="O24" s="11"/>
      <c r="P24" s="6">
        <v>130.35</v>
      </c>
      <c r="Q24" s="2"/>
      <c r="R24" s="7">
        <f t="shared" si="8"/>
        <v>1.3562302313967038E-3</v>
      </c>
      <c r="S24" s="2"/>
      <c r="T24" s="6">
        <v>152.76</v>
      </c>
      <c r="U24" s="2"/>
      <c r="V24" s="7">
        <f t="shared" si="9"/>
        <v>1.2039722572509458E-3</v>
      </c>
      <c r="W24" s="2"/>
      <c r="X24" s="6">
        <f t="shared" si="10"/>
        <v>-22.409999999999997</v>
      </c>
      <c r="Y24" s="2"/>
      <c r="Z24" s="7">
        <f t="shared" si="11"/>
        <v>-0.14670070699135898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6">
        <v>639.47</v>
      </c>
      <c r="E25" s="2"/>
      <c r="F25" s="7">
        <f t="shared" si="4"/>
        <v>2.2655353220435062E-2</v>
      </c>
      <c r="G25" s="2"/>
      <c r="H25" s="6">
        <v>544.30999999999995</v>
      </c>
      <c r="I25" s="2"/>
      <c r="J25" s="7">
        <f t="shared" si="5"/>
        <v>2.1670979814468288E-2</v>
      </c>
      <c r="K25" s="2"/>
      <c r="L25" s="6">
        <f t="shared" si="6"/>
        <v>95.160000000000082</v>
      </c>
      <c r="M25" s="2"/>
      <c r="N25" s="7">
        <f t="shared" si="7"/>
        <v>0.17482684499641765</v>
      </c>
      <c r="O25" s="11"/>
      <c r="P25" s="6">
        <v>1857.51</v>
      </c>
      <c r="Q25" s="2"/>
      <c r="R25" s="7">
        <f t="shared" si="8"/>
        <v>1.9326514899284167E-2</v>
      </c>
      <c r="S25" s="2"/>
      <c r="T25" s="6">
        <v>1897.15</v>
      </c>
      <c r="U25" s="2"/>
      <c r="V25" s="7">
        <f t="shared" si="9"/>
        <v>1.4952317150063052E-2</v>
      </c>
      <c r="W25" s="2"/>
      <c r="X25" s="6">
        <f t="shared" si="10"/>
        <v>-39.6400000000001</v>
      </c>
      <c r="Y25" s="2"/>
      <c r="Z25" s="7">
        <f t="shared" si="11"/>
        <v>-2.0894499644203198E-2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>
        <v>1076.3</v>
      </c>
      <c r="E26" s="2"/>
      <c r="F26" s="7">
        <f t="shared" si="4"/>
        <v>3.8131509955360306E-2</v>
      </c>
      <c r="G26" s="2"/>
      <c r="H26" s="6">
        <v>608.29999999999995</v>
      </c>
      <c r="I26" s="2"/>
      <c r="J26" s="7">
        <f t="shared" si="5"/>
        <v>2.4218656686706214E-2</v>
      </c>
      <c r="K26" s="2"/>
      <c r="L26" s="6">
        <f t="shared" si="6"/>
        <v>468</v>
      </c>
      <c r="M26" s="2"/>
      <c r="N26" s="7">
        <f t="shared" si="7"/>
        <v>0.76935722505342763</v>
      </c>
      <c r="O26" s="11"/>
      <c r="P26" s="6">
        <v>2470.08</v>
      </c>
      <c r="Q26" s="2"/>
      <c r="R26" s="7">
        <f t="shared" si="8"/>
        <v>2.5700016647244882E-2</v>
      </c>
      <c r="S26" s="2"/>
      <c r="T26" s="6">
        <v>2199.9299999999998</v>
      </c>
      <c r="U26" s="2"/>
      <c r="V26" s="7">
        <f t="shared" si="9"/>
        <v>1.7338666456494324E-2</v>
      </c>
      <c r="W26" s="2"/>
      <c r="X26" s="6">
        <f t="shared" si="10"/>
        <v>270.15000000000009</v>
      </c>
      <c r="Y26" s="2"/>
      <c r="Z26" s="7">
        <f t="shared" si="11"/>
        <v>0.12279936179787544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>
        <v>562.48</v>
      </c>
      <c r="E27" s="2"/>
      <c r="F27" s="7">
        <f t="shared" si="4"/>
        <v>1.9927726209877417E-2</v>
      </c>
      <c r="G27" s="2"/>
      <c r="H27" s="6">
        <v>355.39</v>
      </c>
      <c r="I27" s="2"/>
      <c r="J27" s="7">
        <f t="shared" si="5"/>
        <v>1.4149380897400166E-2</v>
      </c>
      <c r="K27" s="2"/>
      <c r="L27" s="6">
        <f t="shared" si="6"/>
        <v>207.09000000000003</v>
      </c>
      <c r="M27" s="2"/>
      <c r="N27" s="7">
        <f t="shared" si="7"/>
        <v>0.58271195025183609</v>
      </c>
      <c r="O27" s="11"/>
      <c r="P27" s="6">
        <v>1255.7</v>
      </c>
      <c r="Q27" s="2"/>
      <c r="R27" s="7">
        <f t="shared" si="8"/>
        <v>1.3064965873147994E-2</v>
      </c>
      <c r="S27" s="2"/>
      <c r="T27" s="6">
        <v>1235.18</v>
      </c>
      <c r="U27" s="2"/>
      <c r="V27" s="7">
        <f t="shared" si="9"/>
        <v>9.7350252206809592E-3</v>
      </c>
      <c r="W27" s="2"/>
      <c r="X27" s="6">
        <f t="shared" si="10"/>
        <v>20.519999999999982</v>
      </c>
      <c r="Y27" s="2"/>
      <c r="Z27" s="7">
        <f t="shared" si="11"/>
        <v>1.6612963292799415E-2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>
        <v>174.89</v>
      </c>
      <c r="E28" s="2"/>
      <c r="F28" s="7">
        <f t="shared" si="4"/>
        <v>6.1960603698717493E-3</v>
      </c>
      <c r="G28" s="2"/>
      <c r="H28" s="6">
        <v>299.57</v>
      </c>
      <c r="I28" s="2"/>
      <c r="J28" s="7">
        <f t="shared" si="5"/>
        <v>1.1926981725524545E-2</v>
      </c>
      <c r="K28" s="2"/>
      <c r="L28" s="6">
        <f t="shared" si="6"/>
        <v>-124.68</v>
      </c>
      <c r="M28" s="2"/>
      <c r="N28" s="7">
        <f t="shared" si="7"/>
        <v>-0.41619654838601999</v>
      </c>
      <c r="O28" s="11"/>
      <c r="P28" s="6">
        <v>457.77</v>
      </c>
      <c r="Q28" s="2"/>
      <c r="R28" s="7">
        <f t="shared" si="8"/>
        <v>4.7628808057266518E-3</v>
      </c>
      <c r="S28" s="2"/>
      <c r="T28" s="6">
        <v>865.46</v>
      </c>
      <c r="U28" s="2"/>
      <c r="V28" s="7">
        <f t="shared" si="9"/>
        <v>6.8210907944514501E-3</v>
      </c>
      <c r="W28" s="2"/>
      <c r="X28" s="6">
        <f t="shared" si="10"/>
        <v>-407.69000000000005</v>
      </c>
      <c r="Y28" s="2"/>
      <c r="Z28" s="7">
        <f t="shared" si="11"/>
        <v>-0.47106740923901746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17084.79</v>
      </c>
      <c r="E29" s="1"/>
      <c r="F29" s="5">
        <f t="shared" ref="F29:F35" si="12">IF(D$12=0,0,D29/D$12)</f>
        <v>0.60528555232764125</v>
      </c>
      <c r="G29" s="1"/>
      <c r="H29" s="1">
        <f>SUM(OSRRefH22_1x_0)</f>
        <v>15604.059999999998</v>
      </c>
      <c r="I29" s="1"/>
      <c r="J29" s="5">
        <f t="shared" ref="J29:J35" si="13">IF(H$12=0,0,H29/H$12)</f>
        <v>0.62125492694191176</v>
      </c>
      <c r="K29" s="1"/>
      <c r="L29" s="1">
        <f t="shared" ref="L29:L35" si="14">+D29-H29</f>
        <v>1480.7300000000032</v>
      </c>
      <c r="M29" s="1"/>
      <c r="N29" s="5">
        <f t="shared" ref="N29:N35" si="15">IF(H29=0,0,L29/H29)</f>
        <v>9.4893892999642626E-2</v>
      </c>
      <c r="O29" s="14"/>
      <c r="P29" s="1">
        <f>SUM(OSRRefP22_1x_0)</f>
        <v>53857.280000000006</v>
      </c>
      <c r="Q29" s="1"/>
      <c r="R29" s="5">
        <f t="shared" ref="R29:R35" si="16">IF(P$12=0,0,P29/P$12)</f>
        <v>0.56035958048942902</v>
      </c>
      <c r="S29" s="1"/>
      <c r="T29" s="1">
        <f>SUM(OSRRefT22_1x_0)</f>
        <v>52973.04</v>
      </c>
      <c r="U29" s="1"/>
      <c r="V29" s="5">
        <f t="shared" ref="V29:V35" si="17">IF(T$12=0,0,T29/T$12)</f>
        <v>0.41750504413619166</v>
      </c>
      <c r="W29" s="1"/>
      <c r="X29" s="1">
        <f t="shared" ref="X29:X35" si="18">+P29-T29</f>
        <v>884.24000000000524</v>
      </c>
      <c r="Y29" s="1"/>
      <c r="Z29" s="5">
        <f t="shared" ref="Z29:Z35" si="19">IF(T29=0,0,X29/T29)</f>
        <v>1.6692264593461226E-2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6">
        <v>6017.64</v>
      </c>
      <c r="E30" s="2"/>
      <c r="F30" s="7">
        <f t="shared" si="12"/>
        <v>0.21319492666336004</v>
      </c>
      <c r="G30" s="2"/>
      <c r="H30" s="6">
        <v>5784.94</v>
      </c>
      <c r="I30" s="2"/>
      <c r="J30" s="7">
        <f t="shared" si="13"/>
        <v>0.23031970378628019</v>
      </c>
      <c r="K30" s="2"/>
      <c r="L30" s="6">
        <f t="shared" si="14"/>
        <v>232.70000000000073</v>
      </c>
      <c r="M30" s="2"/>
      <c r="N30" s="7">
        <f t="shared" si="15"/>
        <v>4.0225136302191683E-2</v>
      </c>
      <c r="O30" s="11"/>
      <c r="P30" s="6">
        <v>18232.95</v>
      </c>
      <c r="Q30" s="2"/>
      <c r="R30" s="7">
        <f t="shared" si="16"/>
        <v>0.1897052397203263</v>
      </c>
      <c r="S30" s="2"/>
      <c r="T30" s="6">
        <v>18511.57</v>
      </c>
      <c r="U30" s="2"/>
      <c r="V30" s="7">
        <f t="shared" si="17"/>
        <v>0.14589825031525852</v>
      </c>
      <c r="W30" s="2"/>
      <c r="X30" s="6">
        <f t="shared" si="18"/>
        <v>-278.61999999999898</v>
      </c>
      <c r="Y30" s="2"/>
      <c r="Z30" s="7">
        <f t="shared" si="19"/>
        <v>-1.5051127484054513E-2</v>
      </c>
    </row>
    <row r="31" spans="1:26" s="24" customFormat="1" hidden="1" outlineLevel="2" x14ac:dyDescent="0.25">
      <c r="A31" s="28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12"/>
        <v>0</v>
      </c>
      <c r="G31" s="2"/>
      <c r="H31" s="6">
        <v>3360</v>
      </c>
      <c r="I31" s="2"/>
      <c r="J31" s="7">
        <f t="shared" si="13"/>
        <v>0.13377393797029899</v>
      </c>
      <c r="K31" s="2"/>
      <c r="L31" s="6">
        <f t="shared" si="14"/>
        <v>-3360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9195</v>
      </c>
      <c r="U31" s="2"/>
      <c r="V31" s="7">
        <f t="shared" si="17"/>
        <v>7.2470050441361913E-2</v>
      </c>
      <c r="W31" s="2"/>
      <c r="X31" s="6">
        <f t="shared" si="18"/>
        <v>-9195</v>
      </c>
      <c r="Y31" s="2"/>
      <c r="Z31" s="7">
        <f t="shared" si="19"/>
        <v>-1</v>
      </c>
    </row>
    <row r="32" spans="1:26" s="24" customFormat="1" hidden="1" outlineLevel="2" x14ac:dyDescent="0.25">
      <c r="A32" s="28"/>
      <c r="B32" s="11" t="str">
        <f>CONCATENATE("          ", "6005", " - ", "TEMPORARY WAGES-HOURLY")</f>
        <v xml:space="preserve">          6005 - TEMPORARY WAGES-HOURLY</v>
      </c>
      <c r="C32" s="11"/>
      <c r="D32" s="6">
        <v>8155.67</v>
      </c>
      <c r="E32" s="2"/>
      <c r="F32" s="7">
        <f t="shared" si="12"/>
        <v>0.28894175582796006</v>
      </c>
      <c r="G32" s="2"/>
      <c r="H32" s="6">
        <v>2709.05</v>
      </c>
      <c r="I32" s="2"/>
      <c r="J32" s="7">
        <f t="shared" si="13"/>
        <v>0.10785722817215433</v>
      </c>
      <c r="K32" s="2"/>
      <c r="L32" s="6">
        <f t="shared" si="14"/>
        <v>5446.62</v>
      </c>
      <c r="M32" s="2"/>
      <c r="N32" s="7">
        <f t="shared" si="15"/>
        <v>2.0105276757534929</v>
      </c>
      <c r="O32" s="11"/>
      <c r="P32" s="6">
        <v>21350.06</v>
      </c>
      <c r="Q32" s="2"/>
      <c r="R32" s="7">
        <f t="shared" si="16"/>
        <v>0.22213729815215583</v>
      </c>
      <c r="S32" s="2"/>
      <c r="T32" s="6">
        <v>7991.5</v>
      </c>
      <c r="U32" s="2"/>
      <c r="V32" s="7">
        <f t="shared" si="17"/>
        <v>6.2984709962168983E-2</v>
      </c>
      <c r="W32" s="2"/>
      <c r="X32" s="6">
        <f t="shared" si="18"/>
        <v>13358.560000000001</v>
      </c>
      <c r="Y32" s="2"/>
      <c r="Z32" s="7">
        <f t="shared" si="19"/>
        <v>1.671596070825252</v>
      </c>
    </row>
    <row r="33" spans="1:26" s="24" customFormat="1" hidden="1" outlineLevel="2" x14ac:dyDescent="0.25">
      <c r="A33" s="28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12"/>
        <v>0</v>
      </c>
      <c r="G33" s="2"/>
      <c r="H33" s="6">
        <v>1057.5</v>
      </c>
      <c r="I33" s="2"/>
      <c r="J33" s="7">
        <f t="shared" si="13"/>
        <v>4.2102958155830712E-2</v>
      </c>
      <c r="K33" s="2"/>
      <c r="L33" s="6">
        <f t="shared" si="14"/>
        <v>-1057.5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2852.32</v>
      </c>
      <c r="U33" s="2"/>
      <c r="V33" s="7">
        <f t="shared" si="17"/>
        <v>2.2480453972257251E-2</v>
      </c>
      <c r="W33" s="2"/>
      <c r="X33" s="6">
        <f t="shared" si="18"/>
        <v>-2852.32</v>
      </c>
      <c r="Y33" s="2"/>
      <c r="Z33" s="7">
        <f t="shared" si="19"/>
        <v>-1</v>
      </c>
    </row>
    <row r="34" spans="1:26" s="24" customFormat="1" hidden="1" outlineLevel="2" x14ac:dyDescent="0.25">
      <c r="A34" s="28"/>
      <c r="B34" s="11" t="str">
        <f>CONCATENATE("          ", "6007", " - ", "STUDENT HOURLY")</f>
        <v xml:space="preserve">          6007 - STUDENT HOURLY</v>
      </c>
      <c r="C34" s="11"/>
      <c r="D34" s="6">
        <v>2136.91</v>
      </c>
      <c r="E34" s="2"/>
      <c r="F34" s="7">
        <f t="shared" si="12"/>
        <v>7.5707149436689575E-2</v>
      </c>
      <c r="G34" s="2"/>
      <c r="H34" s="6">
        <v>2692.57</v>
      </c>
      <c r="I34" s="2"/>
      <c r="J34" s="7">
        <f t="shared" si="13"/>
        <v>0.10720109885734762</v>
      </c>
      <c r="K34" s="2"/>
      <c r="L34" s="6">
        <f t="shared" si="14"/>
        <v>-555.66000000000031</v>
      </c>
      <c r="M34" s="2"/>
      <c r="N34" s="7">
        <f t="shared" si="15"/>
        <v>-0.20636789387091153</v>
      </c>
      <c r="O34" s="11"/>
      <c r="P34" s="6">
        <v>12199.2</v>
      </c>
      <c r="Q34" s="2"/>
      <c r="R34" s="7">
        <f t="shared" si="16"/>
        <v>0.12692691859497254</v>
      </c>
      <c r="S34" s="2"/>
      <c r="T34" s="6">
        <v>14422.65</v>
      </c>
      <c r="U34" s="2"/>
      <c r="V34" s="7">
        <f t="shared" si="17"/>
        <v>0.11367157944514501</v>
      </c>
      <c r="W34" s="2"/>
      <c r="X34" s="6">
        <f t="shared" si="18"/>
        <v>-2223.4499999999989</v>
      </c>
      <c r="Y34" s="2"/>
      <c r="Z34" s="7">
        <f t="shared" si="19"/>
        <v>-0.15416376324739206</v>
      </c>
    </row>
    <row r="35" spans="1:26" s="24" customFormat="1" hidden="1" outlineLevel="2" x14ac:dyDescent="0.25">
      <c r="A35" s="28"/>
      <c r="B35" s="11" t="str">
        <f>CONCATENATE("          ", "6008", " - ", "STUDENT HOURLY-FICA EXEMPT")</f>
        <v xml:space="preserve">          6008 - STUDENT HOURLY-FICA EXEMPT</v>
      </c>
      <c r="C35" s="11"/>
      <c r="D35" s="6">
        <v>774.57</v>
      </c>
      <c r="E35" s="2"/>
      <c r="F35" s="7">
        <f t="shared" si="12"/>
        <v>2.7441720399631546E-2</v>
      </c>
      <c r="G35" s="2"/>
      <c r="H35" s="6"/>
      <c r="I35" s="2"/>
      <c r="J35" s="7">
        <f t="shared" si="13"/>
        <v>0</v>
      </c>
      <c r="K35" s="2"/>
      <c r="L35" s="6">
        <f t="shared" si="14"/>
        <v>774.57</v>
      </c>
      <c r="M35" s="2"/>
      <c r="N35" s="7">
        <f t="shared" si="15"/>
        <v>0</v>
      </c>
      <c r="O35" s="11"/>
      <c r="P35" s="6">
        <v>2075.0700000000002</v>
      </c>
      <c r="Q35" s="2"/>
      <c r="R35" s="7">
        <f t="shared" si="16"/>
        <v>2.1590124021974366E-2</v>
      </c>
      <c r="S35" s="2"/>
      <c r="T35" s="6"/>
      <c r="U35" s="2"/>
      <c r="V35" s="7">
        <f t="shared" si="17"/>
        <v>0</v>
      </c>
      <c r="W35" s="2"/>
      <c r="X35" s="6">
        <f t="shared" si="18"/>
        <v>2075.0700000000002</v>
      </c>
      <c r="Y35" s="2"/>
      <c r="Z35" s="7">
        <f t="shared" si="19"/>
        <v>0</v>
      </c>
    </row>
    <row r="36" spans="1:26" s="29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54" si="20">IF(D$12=0,0,D36/D$12)</f>
        <v>0</v>
      </c>
      <c r="G36" s="1"/>
      <c r="H36" s="1">
        <f>SUM(OSRRefH22_2x_0)</f>
        <v>1179.3499999999999</v>
      </c>
      <c r="I36" s="1"/>
      <c r="J36" s="5">
        <f t="shared" ref="J36:J54" si="21">IF(H$12=0,0,H36/H$12)</f>
        <v>4.6954254090854797E-2</v>
      </c>
      <c r="K36" s="1"/>
      <c r="L36" s="1">
        <f t="shared" ref="L36:L54" si="22">+D36-H36</f>
        <v>-1179.3499999999999</v>
      </c>
      <c r="M36" s="1"/>
      <c r="N36" s="5">
        <f t="shared" ref="N36:N54" si="23">IF(H36=0,0,L36/H36)</f>
        <v>-1</v>
      </c>
      <c r="O36" s="14"/>
      <c r="P36" s="1">
        <f>SUM(OSRRefP22_2x_0)</f>
        <v>38</v>
      </c>
      <c r="Q36" s="1"/>
      <c r="R36" s="5">
        <f t="shared" ref="R36:R54" si="24">IF(P$12=0,0,P36/P$12)</f>
        <v>3.9537206592308975E-4</v>
      </c>
      <c r="S36" s="1"/>
      <c r="T36" s="1">
        <f>SUM(OSRRefT22_2x_0)</f>
        <v>2099.59</v>
      </c>
      <c r="U36" s="1"/>
      <c r="V36" s="5">
        <f t="shared" ref="V36:V54" si="25">IF(T$12=0,0,T36/T$12)</f>
        <v>1.654784047919294E-2</v>
      </c>
      <c r="W36" s="1"/>
      <c r="X36" s="1">
        <f t="shared" ref="X36:X54" si="26">+P36-T36</f>
        <v>-2061.59</v>
      </c>
      <c r="Y36" s="1"/>
      <c r="Z36" s="5">
        <f t="shared" ref="Z36:Z54" si="27">IF(T36=0,0,X36/T36)</f>
        <v>-0.98190122833505589</v>
      </c>
    </row>
    <row r="37" spans="1:26" s="24" customFormat="1" hidden="1" outlineLevel="2" x14ac:dyDescent="0.25">
      <c r="A37" s="28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>
        <v>1179.3499999999999</v>
      </c>
      <c r="I37" s="2"/>
      <c r="J37" s="7">
        <f t="shared" si="21"/>
        <v>4.6954254090854797E-2</v>
      </c>
      <c r="K37" s="2"/>
      <c r="L37" s="6">
        <f t="shared" si="22"/>
        <v>-1179.3499999999999</v>
      </c>
      <c r="M37" s="2"/>
      <c r="N37" s="7">
        <f t="shared" si="23"/>
        <v>-1</v>
      </c>
      <c r="O37" s="11"/>
      <c r="P37" s="6">
        <v>38</v>
      </c>
      <c r="Q37" s="2"/>
      <c r="R37" s="7">
        <f t="shared" si="24"/>
        <v>3.9537206592308975E-4</v>
      </c>
      <c r="S37" s="2"/>
      <c r="T37" s="6">
        <v>2099.59</v>
      </c>
      <c r="U37" s="2"/>
      <c r="V37" s="7">
        <f t="shared" si="25"/>
        <v>1.654784047919294E-2</v>
      </c>
      <c r="W37" s="2"/>
      <c r="X37" s="6">
        <f t="shared" si="26"/>
        <v>-2061.59</v>
      </c>
      <c r="Y37" s="2"/>
      <c r="Z37" s="7">
        <f t="shared" si="27"/>
        <v>-0.98190122833505589</v>
      </c>
    </row>
    <row r="38" spans="1:26" s="29" customFormat="1" outlineLevel="1" collapsed="1" x14ac:dyDescent="0.25">
      <c r="A38" s="27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3111.56</v>
      </c>
      <c r="E38" s="1"/>
      <c r="F38" s="5">
        <f t="shared" si="20"/>
        <v>0.1102373698008928</v>
      </c>
      <c r="G38" s="1"/>
      <c r="H38" s="1">
        <f>SUM(OSRRefH22_3x_0)</f>
        <v>3014.14</v>
      </c>
      <c r="I38" s="1"/>
      <c r="J38" s="5">
        <f t="shared" si="21"/>
        <v>0.12000398136720149</v>
      </c>
      <c r="K38" s="1"/>
      <c r="L38" s="1">
        <f t="shared" si="22"/>
        <v>97.420000000000073</v>
      </c>
      <c r="M38" s="1"/>
      <c r="N38" s="5">
        <f t="shared" si="23"/>
        <v>3.2320993716283941E-2</v>
      </c>
      <c r="O38" s="14"/>
      <c r="P38" s="1">
        <f>SUM(OSRRefP22_3x_0)</f>
        <v>5606.05</v>
      </c>
      <c r="Q38" s="1"/>
      <c r="R38" s="5">
        <f t="shared" si="24"/>
        <v>5.8328304478108876E-2</v>
      </c>
      <c r="S38" s="1"/>
      <c r="T38" s="1">
        <f>SUM(OSRRefT22_3x_0)</f>
        <v>5373.49</v>
      </c>
      <c r="U38" s="1"/>
      <c r="V38" s="5">
        <f t="shared" si="25"/>
        <v>4.2350961538461539E-2</v>
      </c>
      <c r="W38" s="1"/>
      <c r="X38" s="1">
        <f t="shared" si="26"/>
        <v>232.5600000000004</v>
      </c>
      <c r="Y38" s="1"/>
      <c r="Z38" s="5">
        <f t="shared" si="27"/>
        <v>4.327913516169201E-2</v>
      </c>
    </row>
    <row r="39" spans="1:26" s="24" customFormat="1" hidden="1" outlineLevel="2" x14ac:dyDescent="0.25">
      <c r="A39" s="28"/>
      <c r="B39" s="11" t="str">
        <f>CONCATENATE("          ", "6381", " - ", "BANK/CREDIT CARD FEES")</f>
        <v xml:space="preserve">          6381 - BANK/CREDIT CARD FEES</v>
      </c>
      <c r="C39" s="11"/>
      <c r="D39" s="6">
        <v>3111.56</v>
      </c>
      <c r="E39" s="2"/>
      <c r="F39" s="7">
        <f t="shared" si="20"/>
        <v>0.1102373698008928</v>
      </c>
      <c r="G39" s="2"/>
      <c r="H39" s="6">
        <v>3014.14</v>
      </c>
      <c r="I39" s="2"/>
      <c r="J39" s="7">
        <f t="shared" si="21"/>
        <v>0.12000398136720149</v>
      </c>
      <c r="K39" s="2"/>
      <c r="L39" s="6">
        <f t="shared" si="22"/>
        <v>97.420000000000073</v>
      </c>
      <c r="M39" s="2"/>
      <c r="N39" s="7">
        <f t="shared" si="23"/>
        <v>3.2320993716283941E-2</v>
      </c>
      <c r="O39" s="11"/>
      <c r="P39" s="6">
        <v>5606.05</v>
      </c>
      <c r="Q39" s="2"/>
      <c r="R39" s="7">
        <f t="shared" si="24"/>
        <v>5.8328304478108876E-2</v>
      </c>
      <c r="S39" s="2"/>
      <c r="T39" s="6">
        <v>5373.49</v>
      </c>
      <c r="U39" s="2"/>
      <c r="V39" s="7">
        <f t="shared" si="25"/>
        <v>4.2350961538461539E-2</v>
      </c>
      <c r="W39" s="2"/>
      <c r="X39" s="6">
        <f t="shared" si="26"/>
        <v>232.5600000000004</v>
      </c>
      <c r="Y39" s="2"/>
      <c r="Z39" s="7">
        <f t="shared" si="27"/>
        <v>4.327913516169201E-2</v>
      </c>
    </row>
    <row r="40" spans="1:26" s="29" customFormat="1" outlineLevel="1" collapsed="1" x14ac:dyDescent="0.25">
      <c r="A40" s="27"/>
      <c r="B40" s="14" t="str">
        <f>CONCATENATE("     ","Employees' Appreciation                           ")</f>
        <v xml:space="preserve">     Employees' Appreciation                           </v>
      </c>
      <c r="C40" s="14"/>
      <c r="D40" s="1">
        <f>SUM(OSRRefD22_4x_0)</f>
        <v>64.239999999999995</v>
      </c>
      <c r="E40" s="1"/>
      <c r="F40" s="5">
        <f t="shared" si="20"/>
        <v>2.2759158222915043E-3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64.239999999999995</v>
      </c>
      <c r="M40" s="1"/>
      <c r="N40" s="5">
        <f t="shared" si="23"/>
        <v>0</v>
      </c>
      <c r="O40" s="14"/>
      <c r="P40" s="1">
        <f>SUM(OSRRefP22_4x_0)</f>
        <v>64.239999999999995</v>
      </c>
      <c r="Q40" s="1"/>
      <c r="R40" s="5">
        <f t="shared" si="24"/>
        <v>6.6838688197103373E-4</v>
      </c>
      <c r="S40" s="1"/>
      <c r="T40" s="1">
        <f>SUM(OSRRefT22_4x_0)</f>
        <v>0</v>
      </c>
      <c r="U40" s="1"/>
      <c r="V40" s="5">
        <f t="shared" si="25"/>
        <v>0</v>
      </c>
      <c r="W40" s="1"/>
      <c r="X40" s="1">
        <f t="shared" si="26"/>
        <v>64.239999999999995</v>
      </c>
      <c r="Y40" s="1"/>
      <c r="Z40" s="5">
        <f t="shared" si="27"/>
        <v>0</v>
      </c>
    </row>
    <row r="41" spans="1:26" s="24" customFormat="1" hidden="1" outlineLevel="2" x14ac:dyDescent="0.25">
      <c r="A41" s="28"/>
      <c r="B41" s="11" t="str">
        <f>CONCATENATE("          ", "6277", " - ", "EMPLOYEE APPRECIATION")</f>
        <v xml:space="preserve">          6277 - EMPLOYEE APPRECIATION</v>
      </c>
      <c r="C41" s="11"/>
      <c r="D41" s="6">
        <v>64.239999999999995</v>
      </c>
      <c r="E41" s="2"/>
      <c r="F41" s="7">
        <f t="shared" si="20"/>
        <v>2.2759158222915043E-3</v>
      </c>
      <c r="G41" s="2"/>
      <c r="H41" s="6"/>
      <c r="I41" s="2"/>
      <c r="J41" s="7">
        <f t="shared" si="21"/>
        <v>0</v>
      </c>
      <c r="K41" s="2"/>
      <c r="L41" s="6">
        <f t="shared" si="22"/>
        <v>64.239999999999995</v>
      </c>
      <c r="M41" s="2"/>
      <c r="N41" s="7">
        <f t="shared" si="23"/>
        <v>0</v>
      </c>
      <c r="O41" s="11"/>
      <c r="P41" s="6">
        <v>64.239999999999995</v>
      </c>
      <c r="Q41" s="2"/>
      <c r="R41" s="7">
        <f t="shared" si="24"/>
        <v>6.6838688197103373E-4</v>
      </c>
      <c r="S41" s="2"/>
      <c r="T41" s="6"/>
      <c r="U41" s="2"/>
      <c r="V41" s="7">
        <f t="shared" si="25"/>
        <v>0</v>
      </c>
      <c r="W41" s="2"/>
      <c r="X41" s="6">
        <f t="shared" si="26"/>
        <v>64.239999999999995</v>
      </c>
      <c r="Y41" s="2"/>
      <c r="Z41" s="7">
        <f t="shared" si="27"/>
        <v>0</v>
      </c>
    </row>
    <row r="42" spans="1:26" s="29" customFormat="1" outlineLevel="1" collapsed="1" x14ac:dyDescent="0.25">
      <c r="A42" s="27"/>
      <c r="B42" s="14" t="str">
        <f>CONCATENATE("     ","Freight out/Postage                               ")</f>
        <v xml:space="preserve">     Freight out/Postage                               </v>
      </c>
      <c r="C42" s="14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4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21.12</v>
      </c>
      <c r="U42" s="1"/>
      <c r="V42" s="5">
        <f t="shared" si="25"/>
        <v>1.6645649432534679E-4</v>
      </c>
      <c r="W42" s="1"/>
      <c r="X42" s="1">
        <f t="shared" si="26"/>
        <v>-21.12</v>
      </c>
      <c r="Y42" s="1"/>
      <c r="Z42" s="5">
        <f t="shared" si="27"/>
        <v>-1</v>
      </c>
    </row>
    <row r="43" spans="1:26" s="24" customFormat="1" hidden="1" outlineLevel="2" x14ac:dyDescent="0.25">
      <c r="A43" s="28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21.12</v>
      </c>
      <c r="U43" s="2"/>
      <c r="V43" s="7">
        <f t="shared" si="25"/>
        <v>1.6645649432534679E-4</v>
      </c>
      <c r="W43" s="2"/>
      <c r="X43" s="6">
        <f t="shared" si="26"/>
        <v>-21.12</v>
      </c>
      <c r="Y43" s="2"/>
      <c r="Z43" s="7">
        <f t="shared" si="27"/>
        <v>-1</v>
      </c>
    </row>
    <row r="44" spans="1:26" s="29" customFormat="1" outlineLevel="1" collapsed="1" x14ac:dyDescent="0.25">
      <c r="A44" s="27"/>
      <c r="B44" s="14" t="str">
        <f>CONCATENATE("     ","General                                           ")</f>
        <v xml:space="preserve">     General                                           </v>
      </c>
      <c r="C44" s="14"/>
      <c r="D44" s="1">
        <f>SUM(OSRRefD22_6x_0)</f>
        <v>0</v>
      </c>
      <c r="E44" s="1"/>
      <c r="F44" s="5">
        <f t="shared" si="20"/>
        <v>0</v>
      </c>
      <c r="G44" s="1"/>
      <c r="H44" s="1">
        <f>SUM(OSRRefH22_6x_0)</f>
        <v>1600</v>
      </c>
      <c r="I44" s="1"/>
      <c r="J44" s="5">
        <f t="shared" si="21"/>
        <v>6.3701875223951904E-2</v>
      </c>
      <c r="K44" s="1"/>
      <c r="L44" s="1">
        <f t="shared" si="22"/>
        <v>-1600</v>
      </c>
      <c r="M44" s="1"/>
      <c r="N44" s="5">
        <f t="shared" si="23"/>
        <v>-1</v>
      </c>
      <c r="O44" s="14"/>
      <c r="P44" s="1">
        <f>SUM(OSRRefP22_6x_0)</f>
        <v>0</v>
      </c>
      <c r="Q44" s="1"/>
      <c r="R44" s="5">
        <f t="shared" si="24"/>
        <v>0</v>
      </c>
      <c r="S44" s="1"/>
      <c r="T44" s="1">
        <f>SUM(OSRRefT22_6x_0)</f>
        <v>1901</v>
      </c>
      <c r="U44" s="1"/>
      <c r="V44" s="5">
        <f t="shared" si="25"/>
        <v>1.4982660781841109E-2</v>
      </c>
      <c r="W44" s="1"/>
      <c r="X44" s="1">
        <f t="shared" si="26"/>
        <v>-1901</v>
      </c>
      <c r="Y44" s="1"/>
      <c r="Z44" s="5">
        <f t="shared" si="27"/>
        <v>-1</v>
      </c>
    </row>
    <row r="45" spans="1:26" s="24" customFormat="1" hidden="1" outlineLevel="2" x14ac:dyDescent="0.25">
      <c r="A45" s="28"/>
      <c r="B45" s="11" t="str">
        <f>CONCATENATE("          ", "6279", " - ", "GENERAL EXPENSE")</f>
        <v xml:space="preserve">          6279 - GENERAL EXPENSE</v>
      </c>
      <c r="C45" s="11"/>
      <c r="D45" s="6"/>
      <c r="E45" s="2"/>
      <c r="F45" s="7">
        <f t="shared" si="20"/>
        <v>0</v>
      </c>
      <c r="G45" s="2"/>
      <c r="H45" s="6">
        <v>1600</v>
      </c>
      <c r="I45" s="2"/>
      <c r="J45" s="7">
        <f t="shared" si="21"/>
        <v>6.3701875223951904E-2</v>
      </c>
      <c r="K45" s="2"/>
      <c r="L45" s="6">
        <f t="shared" si="22"/>
        <v>-1600</v>
      </c>
      <c r="M45" s="2"/>
      <c r="N45" s="7">
        <f t="shared" si="23"/>
        <v>-1</v>
      </c>
      <c r="O45" s="11"/>
      <c r="P45" s="6"/>
      <c r="Q45" s="2"/>
      <c r="R45" s="7">
        <f t="shared" si="24"/>
        <v>0</v>
      </c>
      <c r="S45" s="2"/>
      <c r="T45" s="6">
        <v>1901</v>
      </c>
      <c r="U45" s="2"/>
      <c r="V45" s="7">
        <f t="shared" si="25"/>
        <v>1.4982660781841109E-2</v>
      </c>
      <c r="W45" s="2"/>
      <c r="X45" s="6">
        <f t="shared" si="26"/>
        <v>-1901</v>
      </c>
      <c r="Y45" s="2"/>
      <c r="Z45" s="7">
        <f t="shared" si="27"/>
        <v>-1</v>
      </c>
    </row>
    <row r="46" spans="1:26" s="29" customFormat="1" outlineLevel="1" collapsed="1" x14ac:dyDescent="0.25">
      <c r="A46" s="27"/>
      <c r="B46" s="14" t="str">
        <f>CONCATENATE("     ","Insurance                                         ")</f>
        <v xml:space="preserve">     Insurance                                         </v>
      </c>
      <c r="C46" s="14"/>
      <c r="D46" s="1">
        <f>SUM(OSRRefD22_7x_0)</f>
        <v>29.01</v>
      </c>
      <c r="E46" s="1"/>
      <c r="F46" s="5">
        <f t="shared" si="20"/>
        <v>1.027775809537306E-3</v>
      </c>
      <c r="G46" s="1"/>
      <c r="H46" s="1">
        <f>SUM(OSRRefH22_7x_0)</f>
        <v>27.33</v>
      </c>
      <c r="I46" s="1"/>
      <c r="J46" s="5">
        <f t="shared" si="21"/>
        <v>1.0881076561691284E-3</v>
      </c>
      <c r="K46" s="1"/>
      <c r="L46" s="1">
        <f t="shared" si="22"/>
        <v>1.6800000000000033</v>
      </c>
      <c r="M46" s="1"/>
      <c r="N46" s="5">
        <f t="shared" si="23"/>
        <v>6.1470911086718018E-2</v>
      </c>
      <c r="O46" s="14"/>
      <c r="P46" s="1">
        <f>SUM(OSRRefP22_7x_0)</f>
        <v>87.03</v>
      </c>
      <c r="Q46" s="1"/>
      <c r="R46" s="5">
        <f t="shared" si="24"/>
        <v>9.0550607624438162E-4</v>
      </c>
      <c r="S46" s="1"/>
      <c r="T46" s="1">
        <f>SUM(OSRRefT22_7x_0)</f>
        <v>81.99</v>
      </c>
      <c r="U46" s="1"/>
      <c r="V46" s="5">
        <f t="shared" si="25"/>
        <v>6.4620113493064305E-4</v>
      </c>
      <c r="W46" s="1"/>
      <c r="X46" s="1">
        <f t="shared" si="26"/>
        <v>5.0400000000000063</v>
      </c>
      <c r="Y46" s="1"/>
      <c r="Z46" s="5">
        <f t="shared" si="27"/>
        <v>6.1470911086717969E-2</v>
      </c>
    </row>
    <row r="47" spans="1:26" s="24" customFormat="1" hidden="1" outlineLevel="2" x14ac:dyDescent="0.25">
      <c r="A47" s="28"/>
      <c r="B47" s="11" t="str">
        <f>CONCATENATE("          ", "6314", " - ", "LIABILITY INSURANCE")</f>
        <v xml:space="preserve">          6314 - LIABILITY INSURANCE</v>
      </c>
      <c r="C47" s="11"/>
      <c r="D47" s="6">
        <v>29.01</v>
      </c>
      <c r="E47" s="2"/>
      <c r="F47" s="7">
        <f t="shared" si="20"/>
        <v>1.027775809537306E-3</v>
      </c>
      <c r="G47" s="2"/>
      <c r="H47" s="6">
        <v>27.33</v>
      </c>
      <c r="I47" s="2"/>
      <c r="J47" s="7">
        <f t="shared" si="21"/>
        <v>1.0881076561691284E-3</v>
      </c>
      <c r="K47" s="2"/>
      <c r="L47" s="6">
        <f t="shared" si="22"/>
        <v>1.6800000000000033</v>
      </c>
      <c r="M47" s="2"/>
      <c r="N47" s="7">
        <f t="shared" si="23"/>
        <v>6.1470911086718018E-2</v>
      </c>
      <c r="O47" s="11"/>
      <c r="P47" s="6">
        <v>87.03</v>
      </c>
      <c r="Q47" s="2"/>
      <c r="R47" s="7">
        <f t="shared" si="24"/>
        <v>9.0550607624438162E-4</v>
      </c>
      <c r="S47" s="2"/>
      <c r="T47" s="6">
        <v>81.99</v>
      </c>
      <c r="U47" s="2"/>
      <c r="V47" s="7">
        <f t="shared" si="25"/>
        <v>6.4620113493064305E-4</v>
      </c>
      <c r="W47" s="2"/>
      <c r="X47" s="6">
        <f t="shared" si="26"/>
        <v>5.0400000000000063</v>
      </c>
      <c r="Y47" s="2"/>
      <c r="Z47" s="7">
        <f t="shared" si="27"/>
        <v>6.1470911086717969E-2</v>
      </c>
    </row>
    <row r="48" spans="1:26" s="29" customFormat="1" outlineLevel="1" collapsed="1" x14ac:dyDescent="0.25">
      <c r="A48" s="27"/>
      <c r="B48" s="14" t="str">
        <f>CONCATENATE("     ","Professional Services                             ")</f>
        <v xml:space="preserve">     Professional Services                             </v>
      </c>
      <c r="C48" s="14"/>
      <c r="D48" s="1">
        <f>SUM(OSRRefD22_8x_0)</f>
        <v>0</v>
      </c>
      <c r="E48" s="1"/>
      <c r="F48" s="5">
        <f t="shared" si="20"/>
        <v>0</v>
      </c>
      <c r="G48" s="1"/>
      <c r="H48" s="1">
        <f>SUM(OSRRefH22_8x_0)</f>
        <v>1680</v>
      </c>
      <c r="I48" s="1"/>
      <c r="J48" s="5">
        <f t="shared" si="21"/>
        <v>6.6886968985149495E-2</v>
      </c>
      <c r="K48" s="1"/>
      <c r="L48" s="1">
        <f t="shared" si="22"/>
        <v>-1680</v>
      </c>
      <c r="M48" s="1"/>
      <c r="N48" s="5">
        <f t="shared" si="23"/>
        <v>-1</v>
      </c>
      <c r="O48" s="14"/>
      <c r="P48" s="1">
        <f>SUM(OSRRefP22_8x_0)</f>
        <v>0</v>
      </c>
      <c r="Q48" s="1"/>
      <c r="R48" s="5">
        <f t="shared" si="24"/>
        <v>0</v>
      </c>
      <c r="S48" s="1"/>
      <c r="T48" s="1">
        <f>SUM(OSRRefT22_8x_0)</f>
        <v>1680</v>
      </c>
      <c r="U48" s="1"/>
      <c r="V48" s="5">
        <f t="shared" si="25"/>
        <v>1.3240857503152586E-2</v>
      </c>
      <c r="W48" s="1"/>
      <c r="X48" s="1">
        <f t="shared" si="26"/>
        <v>-1680</v>
      </c>
      <c r="Y48" s="1"/>
      <c r="Z48" s="5">
        <f t="shared" si="27"/>
        <v>-1</v>
      </c>
    </row>
    <row r="49" spans="1:26" s="24" customFormat="1" hidden="1" outlineLevel="2" x14ac:dyDescent="0.25">
      <c r="A49" s="28"/>
      <c r="B49" s="11" t="str">
        <f>CONCATENATE("          ", "6336", " - ", "PROFESSIONAL SERVICES")</f>
        <v xml:space="preserve">          6336 - PROFESSIONAL SERVICES</v>
      </c>
      <c r="C49" s="11"/>
      <c r="D49" s="6"/>
      <c r="E49" s="2"/>
      <c r="F49" s="7">
        <f t="shared" si="20"/>
        <v>0</v>
      </c>
      <c r="G49" s="2"/>
      <c r="H49" s="6">
        <v>1680</v>
      </c>
      <c r="I49" s="2"/>
      <c r="J49" s="7">
        <f t="shared" si="21"/>
        <v>6.6886968985149495E-2</v>
      </c>
      <c r="K49" s="2"/>
      <c r="L49" s="6">
        <f t="shared" si="22"/>
        <v>-1680</v>
      </c>
      <c r="M49" s="2"/>
      <c r="N49" s="7">
        <f t="shared" si="23"/>
        <v>-1</v>
      </c>
      <c r="O49" s="11"/>
      <c r="P49" s="6"/>
      <c r="Q49" s="2"/>
      <c r="R49" s="7">
        <f t="shared" si="24"/>
        <v>0</v>
      </c>
      <c r="S49" s="2"/>
      <c r="T49" s="6">
        <v>1680</v>
      </c>
      <c r="U49" s="2"/>
      <c r="V49" s="7">
        <f t="shared" si="25"/>
        <v>1.3240857503152586E-2</v>
      </c>
      <c r="W49" s="2"/>
      <c r="X49" s="6">
        <f t="shared" si="26"/>
        <v>-1680</v>
      </c>
      <c r="Y49" s="2"/>
      <c r="Z49" s="7">
        <f t="shared" si="27"/>
        <v>-1</v>
      </c>
    </row>
    <row r="50" spans="1:26" s="29" customFormat="1" outlineLevel="1" collapsed="1" x14ac:dyDescent="0.25">
      <c r="A50" s="27"/>
      <c r="B50" s="14" t="str">
        <f>CONCATENATE("     ","Rent                                              ")</f>
        <v xml:space="preserve">     Rent                                              </v>
      </c>
      <c r="C50" s="14"/>
      <c r="D50" s="1">
        <f>SUM(OSRRefD22_9x_0)</f>
        <v>800</v>
      </c>
      <c r="E50" s="1"/>
      <c r="F50" s="5">
        <f t="shared" si="20"/>
        <v>2.8342662793169417E-2</v>
      </c>
      <c r="G50" s="1"/>
      <c r="H50" s="1">
        <f>SUM(OSRRefH22_9x_0)</f>
        <v>800</v>
      </c>
      <c r="I50" s="1"/>
      <c r="J50" s="5">
        <f t="shared" si="21"/>
        <v>3.1850937611975952E-2</v>
      </c>
      <c r="K50" s="1"/>
      <c r="L50" s="1">
        <f t="shared" si="22"/>
        <v>0</v>
      </c>
      <c r="M50" s="1"/>
      <c r="N50" s="5">
        <f t="shared" si="23"/>
        <v>0</v>
      </c>
      <c r="O50" s="14"/>
      <c r="P50" s="1">
        <f>SUM(OSRRefP22_9x_0)</f>
        <v>2400</v>
      </c>
      <c r="Q50" s="1"/>
      <c r="R50" s="5">
        <f t="shared" si="24"/>
        <v>2.4970867321458298E-2</v>
      </c>
      <c r="S50" s="1"/>
      <c r="T50" s="1">
        <f>SUM(OSRRefT22_9x_0)</f>
        <v>1600</v>
      </c>
      <c r="U50" s="1"/>
      <c r="V50" s="5">
        <f t="shared" si="25"/>
        <v>1.2610340479192938E-2</v>
      </c>
      <c r="W50" s="1"/>
      <c r="X50" s="1">
        <f t="shared" si="26"/>
        <v>800</v>
      </c>
      <c r="Y50" s="1"/>
      <c r="Z50" s="5">
        <f t="shared" si="27"/>
        <v>0.5</v>
      </c>
    </row>
    <row r="51" spans="1:26" s="24" customFormat="1" hidden="1" outlineLevel="2" x14ac:dyDescent="0.25">
      <c r="A51" s="28"/>
      <c r="B51" s="11" t="str">
        <f>CONCATENATE("          ", "6273", " - ", "RENT")</f>
        <v xml:space="preserve">          6273 - RENT</v>
      </c>
      <c r="C51" s="11"/>
      <c r="D51" s="6">
        <v>800</v>
      </c>
      <c r="E51" s="2"/>
      <c r="F51" s="7">
        <f t="shared" si="20"/>
        <v>2.8342662793169417E-2</v>
      </c>
      <c r="G51" s="2"/>
      <c r="H51" s="6">
        <v>800</v>
      </c>
      <c r="I51" s="2"/>
      <c r="J51" s="7">
        <f t="shared" si="21"/>
        <v>3.1850937611975952E-2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>
        <v>2400</v>
      </c>
      <c r="Q51" s="2"/>
      <c r="R51" s="7">
        <f t="shared" si="24"/>
        <v>2.4970867321458298E-2</v>
      </c>
      <c r="S51" s="2"/>
      <c r="T51" s="6">
        <v>1600</v>
      </c>
      <c r="U51" s="2"/>
      <c r="V51" s="7">
        <f t="shared" si="25"/>
        <v>1.2610340479192938E-2</v>
      </c>
      <c r="W51" s="2"/>
      <c r="X51" s="6">
        <f t="shared" si="26"/>
        <v>800</v>
      </c>
      <c r="Y51" s="2"/>
      <c r="Z51" s="7">
        <f t="shared" si="27"/>
        <v>0.5</v>
      </c>
    </row>
    <row r="52" spans="1:26" s="29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SUM(OSRRefD22_10x_0)</f>
        <v>437.31</v>
      </c>
      <c r="E52" s="1"/>
      <c r="F52" s="5">
        <f t="shared" si="20"/>
        <v>1.5493162332601148E-2</v>
      </c>
      <c r="G52" s="1"/>
      <c r="H52" s="1">
        <f>SUM(OSRRefH22_10x_0)</f>
        <v>0</v>
      </c>
      <c r="I52" s="1"/>
      <c r="J52" s="5">
        <f t="shared" si="21"/>
        <v>0</v>
      </c>
      <c r="K52" s="1"/>
      <c r="L52" s="1">
        <f t="shared" si="22"/>
        <v>437.31</v>
      </c>
      <c r="M52" s="1"/>
      <c r="N52" s="5">
        <f t="shared" si="23"/>
        <v>0</v>
      </c>
      <c r="O52" s="14"/>
      <c r="P52" s="1">
        <f>SUM(OSRRefP22_10x_0)</f>
        <v>437.31</v>
      </c>
      <c r="Q52" s="1"/>
      <c r="R52" s="5">
        <f t="shared" si="24"/>
        <v>4.5500041618112205E-3</v>
      </c>
      <c r="S52" s="1"/>
      <c r="T52" s="1">
        <f>SUM(OSRRefT22_10x_0)</f>
        <v>600</v>
      </c>
      <c r="U52" s="1"/>
      <c r="V52" s="5">
        <f t="shared" si="25"/>
        <v>4.7288776796973516E-3</v>
      </c>
      <c r="W52" s="1"/>
      <c r="X52" s="1">
        <f t="shared" si="26"/>
        <v>-162.69</v>
      </c>
      <c r="Y52" s="1"/>
      <c r="Z52" s="5">
        <f t="shared" si="27"/>
        <v>-0.27115</v>
      </c>
    </row>
    <row r="53" spans="1:26" s="24" customFormat="1" hidden="1" outlineLevel="2" x14ac:dyDescent="0.25">
      <c r="A53" s="28"/>
      <c r="B53" s="11" t="str">
        <f>CONCATENATE("          ", "6371", " - ", "COMPUTER SOFTWARE MAINTENANCE")</f>
        <v xml:space="preserve">          6371 - COMPUTER SOFTWARE MAINTENANCE</v>
      </c>
      <c r="C53" s="11"/>
      <c r="D53" s="6">
        <v>437.31</v>
      </c>
      <c r="E53" s="2"/>
      <c r="F53" s="7">
        <f t="shared" si="20"/>
        <v>1.5493162332601148E-2</v>
      </c>
      <c r="G53" s="2"/>
      <c r="H53" s="6"/>
      <c r="I53" s="2"/>
      <c r="J53" s="7">
        <f t="shared" si="21"/>
        <v>0</v>
      </c>
      <c r="K53" s="2"/>
      <c r="L53" s="6">
        <f t="shared" si="22"/>
        <v>437.31</v>
      </c>
      <c r="M53" s="2"/>
      <c r="N53" s="7">
        <f t="shared" si="23"/>
        <v>0</v>
      </c>
      <c r="O53" s="11"/>
      <c r="P53" s="6">
        <v>437.31</v>
      </c>
      <c r="Q53" s="2"/>
      <c r="R53" s="7">
        <f t="shared" si="24"/>
        <v>4.5500041618112205E-3</v>
      </c>
      <c r="S53" s="2"/>
      <c r="T53" s="6"/>
      <c r="U53" s="2"/>
      <c r="V53" s="7">
        <f t="shared" si="25"/>
        <v>0</v>
      </c>
      <c r="W53" s="2"/>
      <c r="X53" s="6">
        <f t="shared" si="26"/>
        <v>437.31</v>
      </c>
      <c r="Y53" s="2"/>
      <c r="Z53" s="7">
        <f t="shared" si="27"/>
        <v>0</v>
      </c>
    </row>
    <row r="54" spans="1:26" s="24" customFormat="1" hidden="1" outlineLevel="2" x14ac:dyDescent="0.25">
      <c r="A54" s="28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0"/>
        <v>0</v>
      </c>
      <c r="G54" s="2"/>
      <c r="H54" s="6"/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600</v>
      </c>
      <c r="U54" s="2"/>
      <c r="V54" s="7">
        <f t="shared" si="25"/>
        <v>4.7288776796973516E-3</v>
      </c>
      <c r="W54" s="2"/>
      <c r="X54" s="6">
        <f t="shared" si="26"/>
        <v>-600</v>
      </c>
      <c r="Y54" s="2"/>
      <c r="Z54" s="7">
        <f t="shared" si="27"/>
        <v>-1</v>
      </c>
    </row>
    <row r="55" spans="1:26" s="29" customFormat="1" outlineLevel="1" collapsed="1" x14ac:dyDescent="0.25">
      <c r="A55" s="27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SUM(OSRRefD22_11x_0)</f>
        <v>3300.91</v>
      </c>
      <c r="E55" s="1"/>
      <c r="F55" s="5">
        <f t="shared" ref="F55:F59" si="28">IF(D$12=0,0,D55/D$12)</f>
        <v>0.11694572380075108</v>
      </c>
      <c r="G55" s="1"/>
      <c r="H55" s="1">
        <f>SUM(OSRRefH22_11x_0)</f>
        <v>2163.5100000000002</v>
      </c>
      <c r="I55" s="1"/>
      <c r="J55" s="5">
        <f t="shared" ref="J55:J59" si="29">IF(H$12=0,0,H55/H$12)</f>
        <v>8.6137277541107629E-2</v>
      </c>
      <c r="K55" s="1"/>
      <c r="L55" s="1">
        <f t="shared" ref="L55:L59" si="30">+D55-H55</f>
        <v>1137.3999999999996</v>
      </c>
      <c r="M55" s="1"/>
      <c r="N55" s="5">
        <f t="shared" ref="N55:N59" si="31">IF(H55=0,0,L55/H55)</f>
        <v>0.52571977943249604</v>
      </c>
      <c r="O55" s="14"/>
      <c r="P55" s="1">
        <f>SUM(OSRRefP22_11x_0)</f>
        <v>18136.980000000003</v>
      </c>
      <c r="Q55" s="1"/>
      <c r="R55" s="5">
        <f t="shared" ref="R55:R59" si="32">IF(P$12=0,0,P55/P$12)</f>
        <v>0.1887067171633095</v>
      </c>
      <c r="S55" s="1"/>
      <c r="T55" s="1">
        <f>SUM(OSRRefT22_11x_0)</f>
        <v>44119.62</v>
      </c>
      <c r="U55" s="1"/>
      <c r="V55" s="5">
        <f t="shared" ref="V55:V59" si="33">IF(T$12=0,0,T55/T$12)</f>
        <v>0.3477271437578815</v>
      </c>
      <c r="W55" s="1"/>
      <c r="X55" s="1">
        <f t="shared" ref="X55:X59" si="34">+P55-T55</f>
        <v>-25982.639999999999</v>
      </c>
      <c r="Y55" s="1"/>
      <c r="Z55" s="5">
        <f t="shared" ref="Z55:Z59" si="35">IF(T55=0,0,X55/T55)</f>
        <v>-0.58891350378811058</v>
      </c>
    </row>
    <row r="56" spans="1:26" s="24" customFormat="1" hidden="1" outlineLevel="2" x14ac:dyDescent="0.25">
      <c r="A56" s="28"/>
      <c r="B56" s="11" t="str">
        <f>CONCATENATE("          ", "6234", " - ", "EXPENDABLE SUPPLIES &amp; EQUIPMEN")</f>
        <v xml:space="preserve">          6234 - EXPENDABLE SUPPLIES &amp; EQUIPMEN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413.27</v>
      </c>
      <c r="Q56" s="2"/>
      <c r="R56" s="7">
        <f t="shared" si="32"/>
        <v>4.299879307474613E-3</v>
      </c>
      <c r="S56" s="2"/>
      <c r="T56" s="6"/>
      <c r="U56" s="2"/>
      <c r="V56" s="7">
        <f t="shared" si="33"/>
        <v>0</v>
      </c>
      <c r="W56" s="2"/>
      <c r="X56" s="6">
        <f t="shared" si="34"/>
        <v>413.27</v>
      </c>
      <c r="Y56" s="2"/>
      <c r="Z56" s="7">
        <f t="shared" si="35"/>
        <v>0</v>
      </c>
    </row>
    <row r="57" spans="1:26" s="24" customFormat="1" hidden="1" outlineLevel="2" x14ac:dyDescent="0.25">
      <c r="A57" s="28"/>
      <c r="B57" s="11" t="str">
        <f>CONCATENATE("          ", "6241", " - ", "OFFICE EXPENSE")</f>
        <v xml:space="preserve">          6241 - OFFICE EXPENSE</v>
      </c>
      <c r="C57" s="11"/>
      <c r="D57" s="6">
        <v>3180.08</v>
      </c>
      <c r="E57" s="2"/>
      <c r="F57" s="7">
        <f t="shared" si="28"/>
        <v>0.11266491886912776</v>
      </c>
      <c r="G57" s="2"/>
      <c r="H57" s="6">
        <v>1719.23</v>
      </c>
      <c r="I57" s="2"/>
      <c r="J57" s="7">
        <f t="shared" si="29"/>
        <v>6.8448859338296766E-2</v>
      </c>
      <c r="K57" s="2"/>
      <c r="L57" s="6">
        <f t="shared" si="30"/>
        <v>1460.85</v>
      </c>
      <c r="M57" s="2"/>
      <c r="N57" s="7">
        <f t="shared" si="31"/>
        <v>0.84971178958021898</v>
      </c>
      <c r="O57" s="11"/>
      <c r="P57" s="6">
        <v>17602.88</v>
      </c>
      <c r="Q57" s="2"/>
      <c r="R57" s="7">
        <f t="shared" si="32"/>
        <v>0.18314965873147995</v>
      </c>
      <c r="S57" s="2"/>
      <c r="T57" s="6">
        <v>35490.060000000005</v>
      </c>
      <c r="U57" s="2"/>
      <c r="V57" s="7">
        <f t="shared" si="33"/>
        <v>0.27971358764186638</v>
      </c>
      <c r="W57" s="2"/>
      <c r="X57" s="6">
        <f t="shared" si="34"/>
        <v>-17887.180000000004</v>
      </c>
      <c r="Y57" s="2"/>
      <c r="Z57" s="7">
        <f t="shared" si="35"/>
        <v>-0.50400534684923048</v>
      </c>
    </row>
    <row r="58" spans="1:26" s="24" customFormat="1" hidden="1" outlineLevel="2" x14ac:dyDescent="0.25">
      <c r="A58" s="28"/>
      <c r="B58" s="11" t="str">
        <f>CONCATENATE("          ", "6245", " - ", "PRINTING")</f>
        <v xml:space="preserve">          6245 - PRINTING</v>
      </c>
      <c r="C58" s="11"/>
      <c r="D58" s="6">
        <v>120.83</v>
      </c>
      <c r="E58" s="2"/>
      <c r="F58" s="7">
        <f t="shared" si="28"/>
        <v>4.2808049316233263E-3</v>
      </c>
      <c r="G58" s="2"/>
      <c r="H58" s="6"/>
      <c r="I58" s="2"/>
      <c r="J58" s="7">
        <f t="shared" si="29"/>
        <v>0</v>
      </c>
      <c r="K58" s="2"/>
      <c r="L58" s="6">
        <f t="shared" si="30"/>
        <v>120.83</v>
      </c>
      <c r="M58" s="2"/>
      <c r="N58" s="7">
        <f t="shared" si="31"/>
        <v>0</v>
      </c>
      <c r="O58" s="11"/>
      <c r="P58" s="6">
        <v>120.83</v>
      </c>
      <c r="Q58" s="2"/>
      <c r="R58" s="7">
        <f t="shared" si="32"/>
        <v>1.2571791243549191E-3</v>
      </c>
      <c r="S58" s="2"/>
      <c r="T58" s="6">
        <v>121.28</v>
      </c>
      <c r="U58" s="2"/>
      <c r="V58" s="7">
        <f t="shared" si="33"/>
        <v>9.5586380832282474E-4</v>
      </c>
      <c r="W58" s="2"/>
      <c r="X58" s="6">
        <f t="shared" si="34"/>
        <v>-0.45000000000000284</v>
      </c>
      <c r="Y58" s="2"/>
      <c r="Z58" s="7">
        <f t="shared" si="35"/>
        <v>-3.7104221635884138E-3</v>
      </c>
    </row>
    <row r="59" spans="1:26" s="24" customFormat="1" hidden="1" outlineLevel="2" x14ac:dyDescent="0.25">
      <c r="A59" s="28"/>
      <c r="B59" s="11" t="str">
        <f>CONCATENATE("          ", "6247", " - ", "STORE SUPPLIES")</f>
        <v xml:space="preserve">          6247 - STORE SUPPLIES</v>
      </c>
      <c r="C59" s="11"/>
      <c r="D59" s="6"/>
      <c r="E59" s="2"/>
      <c r="F59" s="7">
        <f t="shared" si="28"/>
        <v>0</v>
      </c>
      <c r="G59" s="2"/>
      <c r="H59" s="6">
        <v>444.28</v>
      </c>
      <c r="I59" s="2"/>
      <c r="J59" s="7">
        <f t="shared" si="29"/>
        <v>1.7688418202810845E-2</v>
      </c>
      <c r="K59" s="2"/>
      <c r="L59" s="6">
        <f t="shared" si="30"/>
        <v>-444.28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8508.2800000000007</v>
      </c>
      <c r="U59" s="2"/>
      <c r="V59" s="7">
        <f t="shared" si="33"/>
        <v>6.7057692307692318E-2</v>
      </c>
      <c r="W59" s="2"/>
      <c r="X59" s="6">
        <f t="shared" si="34"/>
        <v>-8508.2800000000007</v>
      </c>
      <c r="Y59" s="2"/>
      <c r="Z59" s="7">
        <f t="shared" si="35"/>
        <v>-1</v>
      </c>
    </row>
    <row r="60" spans="1:26" s="29" customFormat="1" outlineLevel="1" collapsed="1" x14ac:dyDescent="0.25">
      <c r="A60" s="27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SUM(OSRRefD22_12x_0)</f>
        <v>400</v>
      </c>
      <c r="E60" s="1"/>
      <c r="F60" s="5">
        <f t="shared" ref="F60:F61" si="36">IF(D$12=0,0,D60/D$12)</f>
        <v>1.4171331396584708E-2</v>
      </c>
      <c r="G60" s="1"/>
      <c r="H60" s="1">
        <f>SUM(OSRRefH22_12x_0)</f>
        <v>550.12</v>
      </c>
      <c r="I60" s="1"/>
      <c r="J60" s="5">
        <f t="shared" ref="J60:J61" si="37">IF(H$12=0,0,H60/H$12)</f>
        <v>2.1902297248875265E-2</v>
      </c>
      <c r="K60" s="1"/>
      <c r="L60" s="1">
        <f t="shared" ref="L60:L61" si="38">+D60-H60</f>
        <v>-150.12</v>
      </c>
      <c r="M60" s="1"/>
      <c r="N60" s="5">
        <f t="shared" ref="N60:N61" si="39">IF(H60=0,0,L60/H60)</f>
        <v>-0.27288591580018906</v>
      </c>
      <c r="O60" s="14"/>
      <c r="P60" s="1">
        <f>SUM(OSRRefP22_12x_0)</f>
        <v>575.65</v>
      </c>
      <c r="Q60" s="1"/>
      <c r="R60" s="5">
        <f t="shared" ref="R60:R61" si="40">IF(P$12=0,0,P60/P$12)</f>
        <v>5.9893665723322791E-3</v>
      </c>
      <c r="S60" s="1"/>
      <c r="T60" s="1">
        <f>SUM(OSRRefT22_12x_0)</f>
        <v>1130.71</v>
      </c>
      <c r="U60" s="1"/>
      <c r="V60" s="5">
        <f t="shared" ref="V60:V61" si="41">IF(T$12=0,0,T60/T$12)</f>
        <v>8.9116488020176549E-3</v>
      </c>
      <c r="W60" s="1"/>
      <c r="X60" s="1">
        <f t="shared" ref="X60:X61" si="42">+P60-T60</f>
        <v>-555.06000000000006</v>
      </c>
      <c r="Y60" s="1"/>
      <c r="Z60" s="5">
        <f t="shared" ref="Z60:Z61" si="43">IF(T60=0,0,X60/T60)</f>
        <v>-0.49089510130802771</v>
      </c>
    </row>
    <row r="61" spans="1:26" s="24" customFormat="1" hidden="1" outlineLevel="2" x14ac:dyDescent="0.25">
      <c r="A61" s="28"/>
      <c r="B61" s="11" t="str">
        <f>CONCATENATE("          ", "6309", " - ", "TELEPHONE")</f>
        <v xml:space="preserve">          6309 - TELEPHONE</v>
      </c>
      <c r="C61" s="11"/>
      <c r="D61" s="6">
        <v>400</v>
      </c>
      <c r="E61" s="2"/>
      <c r="F61" s="7">
        <f t="shared" si="36"/>
        <v>1.4171331396584708E-2</v>
      </c>
      <c r="G61" s="2"/>
      <c r="H61" s="6">
        <v>550.12</v>
      </c>
      <c r="I61" s="2"/>
      <c r="J61" s="7">
        <f t="shared" si="37"/>
        <v>2.1902297248875265E-2</v>
      </c>
      <c r="K61" s="2"/>
      <c r="L61" s="6">
        <f t="shared" si="38"/>
        <v>-150.12</v>
      </c>
      <c r="M61" s="2"/>
      <c r="N61" s="7">
        <f t="shared" si="39"/>
        <v>-0.27288591580018906</v>
      </c>
      <c r="O61" s="11"/>
      <c r="P61" s="6">
        <v>575.65</v>
      </c>
      <c r="Q61" s="2"/>
      <c r="R61" s="7">
        <f t="shared" si="40"/>
        <v>5.9893665723322791E-3</v>
      </c>
      <c r="S61" s="2"/>
      <c r="T61" s="6">
        <v>1130.71</v>
      </c>
      <c r="U61" s="2"/>
      <c r="V61" s="7">
        <f t="shared" si="41"/>
        <v>8.9116488020176549E-3</v>
      </c>
      <c r="W61" s="2"/>
      <c r="X61" s="6">
        <f t="shared" si="42"/>
        <v>-555.06000000000006</v>
      </c>
      <c r="Y61" s="2"/>
      <c r="Z61" s="7">
        <f t="shared" si="43"/>
        <v>-0.49089510130802771</v>
      </c>
    </row>
    <row r="62" spans="1:26" s="53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collapsed="1" x14ac:dyDescent="0.25">
      <c r="A63" s="10"/>
      <c r="B63" s="25" t="s">
        <v>0</v>
      </c>
      <c r="C63" s="10"/>
      <c r="D63" s="4">
        <f>SUM(OSRRefD25x_0)</f>
        <v>2661.9</v>
      </c>
      <c r="E63" s="4"/>
      <c r="F63" s="12">
        <f t="shared" ref="F63:F64" si="44">IF(D$12=0,0,D63/D$12)</f>
        <v>9.430666761142209E-2</v>
      </c>
      <c r="G63" s="4"/>
      <c r="H63" s="4">
        <f>SUM(OSRRefH25x_0)</f>
        <v>3049.5</v>
      </c>
      <c r="I63" s="4"/>
      <c r="J63" s="12">
        <f t="shared" ref="J63:J64" si="45">IF(H$12=0,0,H63/H$12)</f>
        <v>0.12141179280965084</v>
      </c>
      <c r="K63" s="4"/>
      <c r="L63" s="4">
        <f t="shared" ref="L63:L64" si="46">+D63-H63</f>
        <v>-387.59999999999991</v>
      </c>
      <c r="M63" s="4"/>
      <c r="N63" s="12">
        <f t="shared" ref="N63:N64" si="47">IF(H63=0,0,L63/H63)</f>
        <v>-0.12710280373831773</v>
      </c>
      <c r="O63" s="10"/>
      <c r="P63" s="4">
        <f>SUM(OSRRefP25x_0)</f>
        <v>7050.9</v>
      </c>
      <c r="Q63" s="4"/>
      <c r="R63" s="12">
        <f t="shared" ref="R63:R64" si="48">IF(P$12=0,0,P63/P$12)</f>
        <v>7.336128683202929E-2</v>
      </c>
      <c r="S63" s="4"/>
      <c r="T63" s="4">
        <f>SUM(OSRRefT25x_0)</f>
        <v>8566.92</v>
      </c>
      <c r="U63" s="4"/>
      <c r="V63" s="12">
        <f t="shared" ref="V63:V64" si="49">IF(T$12=0,0,T63/T$12)</f>
        <v>6.7519861286254729E-2</v>
      </c>
      <c r="W63" s="4"/>
      <c r="X63" s="4">
        <f t="shared" ref="X63:X64" si="50">+P63-T63</f>
        <v>-1516.0200000000004</v>
      </c>
      <c r="Y63" s="4"/>
      <c r="Z63" s="12">
        <f t="shared" ref="Z63:Z64" si="51">IF(T63=0,0,X63/T63)</f>
        <v>-0.17696208205516106</v>
      </c>
    </row>
    <row r="64" spans="1:26" s="24" customFormat="1" hidden="1" outlineLevel="1" x14ac:dyDescent="0.25">
      <c r="A64" s="44"/>
      <c r="B64" s="11" t="str">
        <f>CONCATENATE("          ", "9150", " - ", "MISC. INCOME")</f>
        <v xml:space="preserve">          9150 - MISC. INCOME</v>
      </c>
      <c r="C64" s="11"/>
      <c r="D64" s="2">
        <f>--2661.9</f>
        <v>2661.9</v>
      </c>
      <c r="E64" s="2"/>
      <c r="F64" s="19">
        <f t="shared" si="44"/>
        <v>9.430666761142209E-2</v>
      </c>
      <c r="G64" s="2"/>
      <c r="H64" s="2">
        <f>--3049.5</f>
        <v>3049.5</v>
      </c>
      <c r="I64" s="2"/>
      <c r="J64" s="19">
        <f t="shared" si="45"/>
        <v>0.12141179280965084</v>
      </c>
      <c r="K64" s="2"/>
      <c r="L64" s="2">
        <f t="shared" si="46"/>
        <v>-387.59999999999991</v>
      </c>
      <c r="M64" s="2"/>
      <c r="N64" s="19">
        <f t="shared" si="47"/>
        <v>-0.12710280373831773</v>
      </c>
      <c r="O64" s="11"/>
      <c r="P64" s="2">
        <f>--7050.9</f>
        <v>7050.9</v>
      </c>
      <c r="Q64" s="2"/>
      <c r="R64" s="19">
        <f t="shared" si="48"/>
        <v>7.336128683202929E-2</v>
      </c>
      <c r="S64" s="2"/>
      <c r="T64" s="2">
        <f>--8566.92</f>
        <v>8566.92</v>
      </c>
      <c r="U64" s="2"/>
      <c r="V64" s="19">
        <f t="shared" si="49"/>
        <v>6.7519861286254729E-2</v>
      </c>
      <c r="W64" s="2"/>
      <c r="X64" s="2">
        <f t="shared" si="50"/>
        <v>-1516.0200000000004</v>
      </c>
      <c r="Y64" s="2"/>
      <c r="Z64" s="19">
        <f t="shared" si="51"/>
        <v>-0.17696208205516106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6" t="s">
        <v>3</v>
      </c>
      <c r="C66" s="26"/>
      <c r="D66" s="21">
        <f>+D17-D19+D63</f>
        <v>789.4899999999966</v>
      </c>
      <c r="E66" s="13"/>
      <c r="F66" s="20">
        <f>IF(D$12=0,0,D66/D$12)</f>
        <v>2.7970311060724035E-2</v>
      </c>
      <c r="G66" s="13"/>
      <c r="H66" s="21">
        <f>+H17-H19+H63</f>
        <v>-3178.3199999999961</v>
      </c>
      <c r="I66" s="13"/>
      <c r="J66" s="20">
        <f>IF(H$12=0,0,H66/H$12)</f>
        <v>-0.12654059003861912</v>
      </c>
      <c r="K66" s="15"/>
      <c r="L66" s="21">
        <f>+D66-H66</f>
        <v>3967.8099999999927</v>
      </c>
      <c r="M66" s="15"/>
      <c r="N66" s="20">
        <f>IF(H66=0,0,L66/H66)</f>
        <v>-1.2483985250069212</v>
      </c>
      <c r="O66" s="25"/>
      <c r="P66" s="21">
        <f>+P17-P19+P63</f>
        <v>8464.2899999999845</v>
      </c>
      <c r="Q66" s="13"/>
      <c r="R66" s="20">
        <f>IF(P$12=0,0,P66/P$12)</f>
        <v>8.8066942733477455E-2</v>
      </c>
      <c r="S66" s="13"/>
      <c r="T66" s="21">
        <f>+T17-T19+T63</f>
        <v>10389.879999999977</v>
      </c>
      <c r="U66" s="13"/>
      <c r="V66" s="20">
        <f>IF(T$12=0,0,T66/T$12)</f>
        <v>8.1887452711223024E-2</v>
      </c>
      <c r="W66" s="15"/>
      <c r="X66" s="21">
        <f>+P66-T66</f>
        <v>-1925.5899999999929</v>
      </c>
      <c r="Y66" s="15"/>
      <c r="Z66" s="20">
        <f>IF(T66=0,0,X66/T66)</f>
        <v>-0.18533322810273045</v>
      </c>
    </row>
    <row r="67" spans="1:26" x14ac:dyDescent="0.25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51"/>
      <c r="B68" s="10" t="s">
        <v>13</v>
      </c>
      <c r="C68" s="10"/>
      <c r="D68" s="4">
        <v>1859.55</v>
      </c>
      <c r="E68" s="4"/>
      <c r="F68" s="12">
        <f>IF(D$12=0,0,D68/D$12)</f>
        <v>6.5880748246297735E-2</v>
      </c>
      <c r="G68" s="4"/>
      <c r="H68" s="4">
        <v>883.4</v>
      </c>
      <c r="I68" s="4"/>
      <c r="J68" s="12">
        <f>IF(H$12=0,0,H68/H$12)</f>
        <v>3.5171397858024443E-2</v>
      </c>
      <c r="K68" s="4"/>
      <c r="L68" s="4">
        <f>+D68-H68</f>
        <v>976.15</v>
      </c>
      <c r="M68" s="4"/>
      <c r="N68" s="12">
        <f>IF(H68=0,0,L68/H68)</f>
        <v>1.1049920760697305</v>
      </c>
      <c r="O68" s="10"/>
      <c r="P68" s="4">
        <v>10323.700000000001</v>
      </c>
      <c r="Q68" s="4"/>
      <c r="R68" s="12">
        <f>IF(P$12=0,0,P68/P$12)</f>
        <v>0.10741322623605794</v>
      </c>
      <c r="S68" s="4"/>
      <c r="T68" s="4">
        <v>11272.92</v>
      </c>
      <c r="U68" s="4"/>
      <c r="V68" s="12">
        <f>IF(T$12=0,0,T68/T$12)</f>
        <v>8.8847099621689782E-2</v>
      </c>
      <c r="W68" s="4"/>
      <c r="X68" s="4">
        <f>+P68-T68</f>
        <v>-949.21999999999935</v>
      </c>
      <c r="Y68" s="4"/>
      <c r="Z68" s="12">
        <f>IF(T68=0,0,X68/T68)</f>
        <v>-8.4203560390741644E-2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6" t="s">
        <v>4</v>
      </c>
      <c r="C70" s="26"/>
      <c r="D70" s="35">
        <f>+D66-D68</f>
        <v>-1070.0600000000034</v>
      </c>
      <c r="E70" s="13"/>
      <c r="F70" s="30">
        <f>IF(D$12=0,0,D70/D$12)</f>
        <v>-3.79104371855737E-2</v>
      </c>
      <c r="G70" s="13"/>
      <c r="H70" s="35">
        <f>+H66-H68</f>
        <v>-4061.7199999999962</v>
      </c>
      <c r="I70" s="13"/>
      <c r="J70" s="30">
        <f>IF(H$12=0,0,H70/H$12)</f>
        <v>-0.16171198789664357</v>
      </c>
      <c r="K70" s="15"/>
      <c r="L70" s="35">
        <f>D70-H70</f>
        <v>2991.6599999999926</v>
      </c>
      <c r="M70" s="15"/>
      <c r="N70" s="30">
        <f>IF(H70=0,0,L70/H70)</f>
        <v>-0.73655003299094857</v>
      </c>
      <c r="O70" s="25"/>
      <c r="P70" s="35">
        <f>+P66-P68</f>
        <v>-1859.4100000000162</v>
      </c>
      <c r="Q70" s="13"/>
      <c r="R70" s="30">
        <f>IF(P$12=0,0,P70/P$12)</f>
        <v>-1.9346283502580493E-2</v>
      </c>
      <c r="S70" s="13"/>
      <c r="T70" s="35">
        <f>+T66-T68</f>
        <v>-883.0400000000227</v>
      </c>
      <c r="U70" s="13"/>
      <c r="V70" s="30">
        <f>IF(T$12=0,0,T70/T$12)</f>
        <v>-6.9596469104667618E-3</v>
      </c>
      <c r="W70" s="15"/>
      <c r="X70" s="35">
        <f>P70-T70</f>
        <v>-976.36999999999352</v>
      </c>
      <c r="Y70" s="15"/>
      <c r="Z70" s="30">
        <f>IF(T70=0,0,X70/T70)</f>
        <v>1.1056917013951446</v>
      </c>
    </row>
    <row r="71" spans="1:26" ht="15.75" thickTop="1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6" t="s">
        <v>5</v>
      </c>
      <c r="C73" s="26"/>
      <c r="D73" s="36">
        <f>SUM(D70:D72)</f>
        <v>-1070.0600000000034</v>
      </c>
      <c r="E73" s="13"/>
      <c r="F73" s="31">
        <f>IF(D$12=0,0,D73/D$12)</f>
        <v>-3.79104371855737E-2</v>
      </c>
      <c r="G73" s="13"/>
      <c r="H73" s="36">
        <f>SUM(H70:H72)</f>
        <v>-4061.7199999999962</v>
      </c>
      <c r="I73" s="13"/>
      <c r="J73" s="31">
        <f>IF(H$12=0,0,H73/H$12)</f>
        <v>-0.16171198789664357</v>
      </c>
      <c r="K73" s="15"/>
      <c r="L73" s="36">
        <f>+D73-H73</f>
        <v>2991.6599999999926</v>
      </c>
      <c r="M73" s="15"/>
      <c r="N73" s="31">
        <f>IF(H73=0,0,L73/H73)</f>
        <v>-0.73655003299094857</v>
      </c>
      <c r="O73" s="25"/>
      <c r="P73" s="36">
        <f>SUM(P70:P72)</f>
        <v>-1859.4100000000162</v>
      </c>
      <c r="Q73" s="13"/>
      <c r="R73" s="31">
        <f>IF(P$12=0,0,P73/P$12)</f>
        <v>-1.9346283502580493E-2</v>
      </c>
      <c r="S73" s="13"/>
      <c r="T73" s="36">
        <f>SUM(T70:T72)</f>
        <v>-883.0400000000227</v>
      </c>
      <c r="U73" s="13"/>
      <c r="V73" s="31">
        <f>IF(T$12=0,0,T73/T$12)</f>
        <v>-6.9596469104667618E-3</v>
      </c>
      <c r="W73" s="15"/>
      <c r="X73" s="36">
        <f>+P73-T73</f>
        <v>-976.36999999999352</v>
      </c>
      <c r="Y73" s="15"/>
      <c r="Z73" s="31">
        <f>IF(T73=0,0,X73/T73)</f>
        <v>1.1056917013951446</v>
      </c>
    </row>
    <row r="74" spans="1:26" ht="15.75" thickTop="1" x14ac:dyDescent="0.25">
      <c r="A74" s="9"/>
      <c r="C74" s="9"/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55">
        <v>43756.462685879633</v>
      </c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56" t="s">
        <v>313</v>
      </c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7"/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",RIGHT(202003,2),", ",2020)</f>
        <v>Period 03, 2020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3">
        <v>43736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","501", " - ", "ID Card Services")</f>
        <v>Department 501 - ID Card Services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28226</v>
      </c>
      <c r="E12" s="4"/>
      <c r="F12" s="12"/>
      <c r="G12" s="4"/>
      <c r="H12" s="4">
        <f>SUM(OSRRefH13x_0)</f>
        <v>25117</v>
      </c>
      <c r="I12" s="4"/>
      <c r="J12" s="12"/>
      <c r="K12" s="4"/>
      <c r="L12" s="4">
        <f t="shared" ref="L12:L13" si="0">+D12-H12</f>
        <v>3109</v>
      </c>
      <c r="M12" s="4"/>
      <c r="N12" s="12">
        <f t="shared" ref="N12:N13" si="1">IF(H12=0,0,L12/H12)</f>
        <v>0.12378070629454155</v>
      </c>
      <c r="O12" s="10"/>
      <c r="P12" s="4">
        <f>SUM(OSRRefP13x_0)</f>
        <v>96112</v>
      </c>
      <c r="Q12" s="4"/>
      <c r="R12" s="12"/>
      <c r="S12" s="4"/>
      <c r="T12" s="4">
        <f>SUM(OSRRefT13x_0)</f>
        <v>126880</v>
      </c>
      <c r="U12" s="4"/>
      <c r="V12" s="12"/>
      <c r="W12" s="4"/>
      <c r="X12" s="4">
        <f t="shared" ref="X12:X13" si="2">+P12-T12</f>
        <v>-30768</v>
      </c>
      <c r="Y12" s="4"/>
      <c r="Z12" s="12">
        <f t="shared" ref="Z12:Z13" si="3">IF(T12=0,0,X12/T12)</f>
        <v>-0.2424968474148802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--28226</f>
        <v>28226</v>
      </c>
      <c r="E13" s="2"/>
      <c r="F13" s="19"/>
      <c r="G13" s="2"/>
      <c r="H13" s="2">
        <f>--25117</f>
        <v>25117</v>
      </c>
      <c r="I13" s="2"/>
      <c r="J13" s="19"/>
      <c r="K13" s="2"/>
      <c r="L13" s="2">
        <f t="shared" si="0"/>
        <v>3109</v>
      </c>
      <c r="M13" s="2"/>
      <c r="N13" s="19">
        <f t="shared" si="1"/>
        <v>0.12378070629454155</v>
      </c>
      <c r="O13" s="11"/>
      <c r="P13" s="2">
        <f>--96112</f>
        <v>96112</v>
      </c>
      <c r="Q13" s="2"/>
      <c r="R13" s="19"/>
      <c r="S13" s="2"/>
      <c r="T13" s="2">
        <f>--126880</f>
        <v>126880</v>
      </c>
      <c r="U13" s="2"/>
      <c r="V13" s="19"/>
      <c r="W13" s="2"/>
      <c r="X13" s="2">
        <f t="shared" si="2"/>
        <v>-30768</v>
      </c>
      <c r="Y13" s="2"/>
      <c r="Z13" s="19">
        <f t="shared" si="3"/>
        <v>-0.2424968474148802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1">
        <f>D12-D15</f>
        <v>28226</v>
      </c>
      <c r="E17" s="13"/>
      <c r="F17" s="20">
        <f>IF(D$12=0,0,D17/D$12)</f>
        <v>1</v>
      </c>
      <c r="G17" s="13"/>
      <c r="H17" s="21">
        <f>H12-H15</f>
        <v>25117</v>
      </c>
      <c r="I17" s="13"/>
      <c r="J17" s="20">
        <f>IF(H$12=0,0,H17/H$12)</f>
        <v>1</v>
      </c>
      <c r="K17" s="15"/>
      <c r="L17" s="21">
        <f>+D17-H17</f>
        <v>3109</v>
      </c>
      <c r="M17" s="15"/>
      <c r="N17" s="20">
        <f>IF(H17=0,0,L17/H17)</f>
        <v>0.12378070629454155</v>
      </c>
      <c r="O17" s="25"/>
      <c r="P17" s="21">
        <f>P12-P15</f>
        <v>96112</v>
      </c>
      <c r="Q17" s="13"/>
      <c r="R17" s="20">
        <f>IF(P$12=0,0,P17/P$12)</f>
        <v>1</v>
      </c>
      <c r="S17" s="13"/>
      <c r="T17" s="21">
        <f>T12-T15</f>
        <v>126880</v>
      </c>
      <c r="U17" s="13"/>
      <c r="V17" s="20">
        <f>IF(T$12=0,0,T17/T$12)</f>
        <v>1</v>
      </c>
      <c r="W17" s="15"/>
      <c r="X17" s="21">
        <f>+P17-T17</f>
        <v>-30768</v>
      </c>
      <c r="Y17" s="15"/>
      <c r="Z17" s="20">
        <f>IF(T17=0,0,X17/T17)</f>
        <v>-0.2424968474148802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2">
        <f>SUM(OSRRefD22x_0)</f>
        <v>30098.410000000003</v>
      </c>
      <c r="E19" s="22"/>
      <c r="F19" s="34">
        <f t="shared" ref="F19:F28" si="4">IF(D$12=0,0,D19/D$12)</f>
        <v>1.066336356550698</v>
      </c>
      <c r="G19" s="22"/>
      <c r="H19" s="22">
        <f>SUM(OSRRefH22x_0)</f>
        <v>31344.819999999996</v>
      </c>
      <c r="I19" s="22"/>
      <c r="J19" s="34">
        <f t="shared" ref="J19:J28" si="5">IF(H$12=0,0,H19/H$12)</f>
        <v>1.2479523828482699</v>
      </c>
      <c r="K19" s="4"/>
      <c r="L19" s="22">
        <f t="shared" ref="L19:L28" si="6">+D19-H19</f>
        <v>-1246.4099999999926</v>
      </c>
      <c r="M19" s="4"/>
      <c r="N19" s="34">
        <f t="shared" ref="N19:N28" si="7">IF(H19=0,0,L19/H19)</f>
        <v>-3.9764465069507267E-2</v>
      </c>
      <c r="O19" s="10"/>
      <c r="P19" s="22">
        <f>SUM(OSRRefP22x_0)</f>
        <v>94698.610000000015</v>
      </c>
      <c r="Q19" s="22"/>
      <c r="R19" s="34">
        <f t="shared" ref="R19:R28" si="8">IF(P$12=0,0,P19/P$12)</f>
        <v>0.98529434409855188</v>
      </c>
      <c r="S19" s="22"/>
      <c r="T19" s="22">
        <f>SUM(OSRRefT22x_0)</f>
        <v>125057.04000000002</v>
      </c>
      <c r="U19" s="22"/>
      <c r="V19" s="34">
        <f t="shared" ref="V19:V28" si="9">IF(T$12=0,0,T19/T$12)</f>
        <v>0.98563240857503176</v>
      </c>
      <c r="W19" s="4"/>
      <c r="X19" s="22">
        <f t="shared" ref="X19:X28" si="10">+P19-T19</f>
        <v>-30358.430000000008</v>
      </c>
      <c r="Y19" s="4"/>
      <c r="Z19" s="34">
        <f t="shared" ref="Z19:Z28" si="11">IF(T19=0,0,X19/T19)</f>
        <v>-0.24275666527850012</v>
      </c>
    </row>
    <row r="20" spans="1:26" s="29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4870.5900000000011</v>
      </c>
      <c r="E20" s="1"/>
      <c r="F20" s="5">
        <f t="shared" si="4"/>
        <v>0.17255686246722884</v>
      </c>
      <c r="G20" s="1"/>
      <c r="H20" s="1">
        <f>SUM(OSRRefH22_0x_0)</f>
        <v>4726.3099999999995</v>
      </c>
      <c r="I20" s="1"/>
      <c r="J20" s="5">
        <f t="shared" si="5"/>
        <v>0.18817175618107257</v>
      </c>
      <c r="K20" s="1"/>
      <c r="L20" s="1">
        <f t="shared" si="6"/>
        <v>144.28000000000156</v>
      </c>
      <c r="M20" s="1"/>
      <c r="N20" s="5">
        <f t="shared" si="7"/>
        <v>3.052698616891435E-2</v>
      </c>
      <c r="O20" s="14"/>
      <c r="P20" s="1">
        <f>SUM(OSRRefP22_0x_0)</f>
        <v>13496.070000000002</v>
      </c>
      <c r="Q20" s="1"/>
      <c r="R20" s="5">
        <f t="shared" si="8"/>
        <v>0.14042023888796407</v>
      </c>
      <c r="S20" s="1"/>
      <c r="T20" s="1">
        <f>SUM(OSRRefT22_0x_0)</f>
        <v>13476.48</v>
      </c>
      <c r="U20" s="1"/>
      <c r="V20" s="5">
        <f t="shared" si="9"/>
        <v>0.10621437578814627</v>
      </c>
      <c r="W20" s="1"/>
      <c r="X20" s="1">
        <f t="shared" si="10"/>
        <v>19.590000000001965</v>
      </c>
      <c r="Y20" s="1"/>
      <c r="Z20" s="5">
        <f t="shared" si="11"/>
        <v>1.4536436814362478E-3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6">
        <v>1067.03</v>
      </c>
      <c r="E21" s="2"/>
      <c r="F21" s="7">
        <f t="shared" si="4"/>
        <v>3.7803089350244456E-2</v>
      </c>
      <c r="G21" s="2"/>
      <c r="H21" s="6">
        <v>963.89</v>
      </c>
      <c r="I21" s="2"/>
      <c r="J21" s="7">
        <f t="shared" si="5"/>
        <v>3.8376000318509379E-2</v>
      </c>
      <c r="K21" s="2"/>
      <c r="L21" s="6">
        <f t="shared" si="6"/>
        <v>103.13999999999999</v>
      </c>
      <c r="M21" s="2"/>
      <c r="N21" s="7">
        <f t="shared" si="7"/>
        <v>0.10700391123468445</v>
      </c>
      <c r="O21" s="11"/>
      <c r="P21" s="6">
        <v>3424.24</v>
      </c>
      <c r="Q21" s="2"/>
      <c r="R21" s="7">
        <f t="shared" si="8"/>
        <v>3.5627601132012653E-2</v>
      </c>
      <c r="S21" s="2"/>
      <c r="T21" s="6">
        <v>3404.03</v>
      </c>
      <c r="U21" s="2"/>
      <c r="V21" s="7">
        <f t="shared" si="9"/>
        <v>2.6828735813366963E-2</v>
      </c>
      <c r="W21" s="2"/>
      <c r="X21" s="6">
        <f t="shared" si="10"/>
        <v>20.209999999999582</v>
      </c>
      <c r="Y21" s="2"/>
      <c r="Z21" s="7">
        <f t="shared" si="11"/>
        <v>5.937080460512857E-3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6">
        <v>60.71</v>
      </c>
      <c r="E22" s="2"/>
      <c r="F22" s="7">
        <f t="shared" si="4"/>
        <v>2.1508538227166443E-3</v>
      </c>
      <c r="G22" s="2"/>
      <c r="H22" s="6"/>
      <c r="I22" s="2"/>
      <c r="J22" s="7">
        <f t="shared" si="5"/>
        <v>0</v>
      </c>
      <c r="K22" s="2"/>
      <c r="L22" s="6">
        <f t="shared" si="6"/>
        <v>60.71</v>
      </c>
      <c r="M22" s="2"/>
      <c r="N22" s="7">
        <f t="shared" si="7"/>
        <v>0</v>
      </c>
      <c r="O22" s="11"/>
      <c r="P22" s="6">
        <v>170.49</v>
      </c>
      <c r="Q22" s="2"/>
      <c r="R22" s="7">
        <f t="shared" si="8"/>
        <v>1.7738679873480941E-3</v>
      </c>
      <c r="S22" s="2"/>
      <c r="T22" s="6">
        <v>125.92</v>
      </c>
      <c r="U22" s="2"/>
      <c r="V22" s="7">
        <f t="shared" si="9"/>
        <v>9.9243379571248421E-4</v>
      </c>
      <c r="W22" s="2"/>
      <c r="X22" s="6">
        <f t="shared" si="10"/>
        <v>44.570000000000007</v>
      </c>
      <c r="Y22" s="2"/>
      <c r="Z22" s="7">
        <f t="shared" si="11"/>
        <v>0.35395489199491748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6">
        <v>1243.31</v>
      </c>
      <c r="E23" s="2"/>
      <c r="F23" s="7">
        <f t="shared" si="4"/>
        <v>4.4048395096719338E-2</v>
      </c>
      <c r="G23" s="2"/>
      <c r="H23" s="6">
        <v>1907.71</v>
      </c>
      <c r="I23" s="2"/>
      <c r="J23" s="7">
        <f t="shared" si="5"/>
        <v>7.5952940239678302E-2</v>
      </c>
      <c r="K23" s="2"/>
      <c r="L23" s="6">
        <f t="shared" si="6"/>
        <v>-664.40000000000009</v>
      </c>
      <c r="M23" s="2"/>
      <c r="N23" s="7">
        <f t="shared" si="7"/>
        <v>-0.3482709636160633</v>
      </c>
      <c r="O23" s="11"/>
      <c r="P23" s="6">
        <v>3729.93</v>
      </c>
      <c r="Q23" s="2"/>
      <c r="R23" s="7">
        <f t="shared" si="8"/>
        <v>3.8808161311802897E-2</v>
      </c>
      <c r="S23" s="2"/>
      <c r="T23" s="6">
        <v>3596.05</v>
      </c>
      <c r="U23" s="2"/>
      <c r="V23" s="7">
        <f t="shared" si="9"/>
        <v>2.8342134300126106E-2</v>
      </c>
      <c r="W23" s="2"/>
      <c r="X23" s="6">
        <f t="shared" si="10"/>
        <v>133.87999999999965</v>
      </c>
      <c r="Y23" s="2"/>
      <c r="Z23" s="7">
        <f t="shared" si="11"/>
        <v>3.7229738184952836E-2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46.4</v>
      </c>
      <c r="E24" s="2"/>
      <c r="F24" s="7">
        <f t="shared" si="4"/>
        <v>1.6438744420038261E-3</v>
      </c>
      <c r="G24" s="2"/>
      <c r="H24" s="6">
        <v>47.14</v>
      </c>
      <c r="I24" s="2"/>
      <c r="J24" s="7">
        <f t="shared" si="5"/>
        <v>1.876816498785683E-3</v>
      </c>
      <c r="K24" s="2"/>
      <c r="L24" s="6">
        <f t="shared" si="6"/>
        <v>-0.74000000000000199</v>
      </c>
      <c r="M24" s="2"/>
      <c r="N24" s="7">
        <f t="shared" si="7"/>
        <v>-1.5697921086126474E-2</v>
      </c>
      <c r="O24" s="11"/>
      <c r="P24" s="6">
        <v>130.35</v>
      </c>
      <c r="Q24" s="2"/>
      <c r="R24" s="7">
        <f t="shared" si="8"/>
        <v>1.3562302313967038E-3</v>
      </c>
      <c r="S24" s="2"/>
      <c r="T24" s="6">
        <v>152.76</v>
      </c>
      <c r="U24" s="2"/>
      <c r="V24" s="7">
        <f t="shared" si="9"/>
        <v>1.2039722572509458E-3</v>
      </c>
      <c r="W24" s="2"/>
      <c r="X24" s="6">
        <f t="shared" si="10"/>
        <v>-22.409999999999997</v>
      </c>
      <c r="Y24" s="2"/>
      <c r="Z24" s="7">
        <f t="shared" si="11"/>
        <v>-0.14670070699135898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6">
        <v>639.47</v>
      </c>
      <c r="E25" s="2"/>
      <c r="F25" s="7">
        <f t="shared" si="4"/>
        <v>2.2655353220435062E-2</v>
      </c>
      <c r="G25" s="2"/>
      <c r="H25" s="6">
        <v>544.30999999999995</v>
      </c>
      <c r="I25" s="2"/>
      <c r="J25" s="7">
        <f t="shared" si="5"/>
        <v>2.1670979814468288E-2</v>
      </c>
      <c r="K25" s="2"/>
      <c r="L25" s="6">
        <f t="shared" si="6"/>
        <v>95.160000000000082</v>
      </c>
      <c r="M25" s="2"/>
      <c r="N25" s="7">
        <f t="shared" si="7"/>
        <v>0.17482684499641765</v>
      </c>
      <c r="O25" s="11"/>
      <c r="P25" s="6">
        <v>1857.51</v>
      </c>
      <c r="Q25" s="2"/>
      <c r="R25" s="7">
        <f t="shared" si="8"/>
        <v>1.9326514899284167E-2</v>
      </c>
      <c r="S25" s="2"/>
      <c r="T25" s="6">
        <v>1897.15</v>
      </c>
      <c r="U25" s="2"/>
      <c r="V25" s="7">
        <f t="shared" si="9"/>
        <v>1.4952317150063052E-2</v>
      </c>
      <c r="W25" s="2"/>
      <c r="X25" s="6">
        <f t="shared" si="10"/>
        <v>-39.6400000000001</v>
      </c>
      <c r="Y25" s="2"/>
      <c r="Z25" s="7">
        <f t="shared" si="11"/>
        <v>-2.0894499644203198E-2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>
        <v>1076.3</v>
      </c>
      <c r="E26" s="2"/>
      <c r="F26" s="7">
        <f t="shared" si="4"/>
        <v>3.8131509955360306E-2</v>
      </c>
      <c r="G26" s="2"/>
      <c r="H26" s="6">
        <v>608.29999999999995</v>
      </c>
      <c r="I26" s="2"/>
      <c r="J26" s="7">
        <f t="shared" si="5"/>
        <v>2.4218656686706214E-2</v>
      </c>
      <c r="K26" s="2"/>
      <c r="L26" s="6">
        <f t="shared" si="6"/>
        <v>468</v>
      </c>
      <c r="M26" s="2"/>
      <c r="N26" s="7">
        <f t="shared" si="7"/>
        <v>0.76935722505342763</v>
      </c>
      <c r="O26" s="11"/>
      <c r="P26" s="6">
        <v>2470.08</v>
      </c>
      <c r="Q26" s="2"/>
      <c r="R26" s="7">
        <f t="shared" si="8"/>
        <v>2.5700016647244882E-2</v>
      </c>
      <c r="S26" s="2"/>
      <c r="T26" s="6">
        <v>2199.9299999999998</v>
      </c>
      <c r="U26" s="2"/>
      <c r="V26" s="7">
        <f t="shared" si="9"/>
        <v>1.7338666456494324E-2</v>
      </c>
      <c r="W26" s="2"/>
      <c r="X26" s="6">
        <f t="shared" si="10"/>
        <v>270.15000000000009</v>
      </c>
      <c r="Y26" s="2"/>
      <c r="Z26" s="7">
        <f t="shared" si="11"/>
        <v>0.12279936179787544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>
        <v>562.48</v>
      </c>
      <c r="E27" s="2"/>
      <c r="F27" s="7">
        <f t="shared" si="4"/>
        <v>1.9927726209877417E-2</v>
      </c>
      <c r="G27" s="2"/>
      <c r="H27" s="6">
        <v>355.39</v>
      </c>
      <c r="I27" s="2"/>
      <c r="J27" s="7">
        <f t="shared" si="5"/>
        <v>1.4149380897400166E-2</v>
      </c>
      <c r="K27" s="2"/>
      <c r="L27" s="6">
        <f t="shared" si="6"/>
        <v>207.09000000000003</v>
      </c>
      <c r="M27" s="2"/>
      <c r="N27" s="7">
        <f t="shared" si="7"/>
        <v>0.58271195025183609</v>
      </c>
      <c r="O27" s="11"/>
      <c r="P27" s="6">
        <v>1255.7</v>
      </c>
      <c r="Q27" s="2"/>
      <c r="R27" s="7">
        <f t="shared" si="8"/>
        <v>1.3064965873147994E-2</v>
      </c>
      <c r="S27" s="2"/>
      <c r="T27" s="6">
        <v>1235.18</v>
      </c>
      <c r="U27" s="2"/>
      <c r="V27" s="7">
        <f t="shared" si="9"/>
        <v>9.7350252206809592E-3</v>
      </c>
      <c r="W27" s="2"/>
      <c r="X27" s="6">
        <f t="shared" si="10"/>
        <v>20.519999999999982</v>
      </c>
      <c r="Y27" s="2"/>
      <c r="Z27" s="7">
        <f t="shared" si="11"/>
        <v>1.6612963292799415E-2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>
        <v>174.89</v>
      </c>
      <c r="E28" s="2"/>
      <c r="F28" s="7">
        <f t="shared" si="4"/>
        <v>6.1960603698717493E-3</v>
      </c>
      <c r="G28" s="2"/>
      <c r="H28" s="6">
        <v>299.57</v>
      </c>
      <c r="I28" s="2"/>
      <c r="J28" s="7">
        <f t="shared" si="5"/>
        <v>1.1926981725524545E-2</v>
      </c>
      <c r="K28" s="2"/>
      <c r="L28" s="6">
        <f t="shared" si="6"/>
        <v>-124.68</v>
      </c>
      <c r="M28" s="2"/>
      <c r="N28" s="7">
        <f t="shared" si="7"/>
        <v>-0.41619654838601999</v>
      </c>
      <c r="O28" s="11"/>
      <c r="P28" s="6">
        <v>457.77</v>
      </c>
      <c r="Q28" s="2"/>
      <c r="R28" s="7">
        <f t="shared" si="8"/>
        <v>4.7628808057266518E-3</v>
      </c>
      <c r="S28" s="2"/>
      <c r="T28" s="6">
        <v>865.46</v>
      </c>
      <c r="U28" s="2"/>
      <c r="V28" s="7">
        <f t="shared" si="9"/>
        <v>6.8210907944514501E-3</v>
      </c>
      <c r="W28" s="2"/>
      <c r="X28" s="6">
        <f t="shared" si="10"/>
        <v>-407.69000000000005</v>
      </c>
      <c r="Y28" s="2"/>
      <c r="Z28" s="7">
        <f t="shared" si="11"/>
        <v>-0.47106740923901746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17084.79</v>
      </c>
      <c r="E29" s="1"/>
      <c r="F29" s="5">
        <f t="shared" ref="F29:F35" si="12">IF(D$12=0,0,D29/D$12)</f>
        <v>0.60528555232764125</v>
      </c>
      <c r="G29" s="1"/>
      <c r="H29" s="1">
        <f>SUM(OSRRefH22_1x_0)</f>
        <v>15604.059999999998</v>
      </c>
      <c r="I29" s="1"/>
      <c r="J29" s="5">
        <f t="shared" ref="J29:J35" si="13">IF(H$12=0,0,H29/H$12)</f>
        <v>0.62125492694191176</v>
      </c>
      <c r="K29" s="1"/>
      <c r="L29" s="1">
        <f t="shared" ref="L29:L35" si="14">+D29-H29</f>
        <v>1480.7300000000032</v>
      </c>
      <c r="M29" s="1"/>
      <c r="N29" s="5">
        <f t="shared" ref="N29:N35" si="15">IF(H29=0,0,L29/H29)</f>
        <v>9.4893892999642626E-2</v>
      </c>
      <c r="O29" s="14"/>
      <c r="P29" s="1">
        <f>SUM(OSRRefP22_1x_0)</f>
        <v>53857.280000000006</v>
      </c>
      <c r="Q29" s="1"/>
      <c r="R29" s="5">
        <f t="shared" ref="R29:R35" si="16">IF(P$12=0,0,P29/P$12)</f>
        <v>0.56035958048942902</v>
      </c>
      <c r="S29" s="1"/>
      <c r="T29" s="1">
        <f>SUM(OSRRefT22_1x_0)</f>
        <v>52973.04</v>
      </c>
      <c r="U29" s="1"/>
      <c r="V29" s="5">
        <f t="shared" ref="V29:V35" si="17">IF(T$12=0,0,T29/T$12)</f>
        <v>0.41750504413619166</v>
      </c>
      <c r="W29" s="1"/>
      <c r="X29" s="1">
        <f t="shared" ref="X29:X35" si="18">+P29-T29</f>
        <v>884.24000000000524</v>
      </c>
      <c r="Y29" s="1"/>
      <c r="Z29" s="5">
        <f t="shared" ref="Z29:Z35" si="19">IF(T29=0,0,X29/T29)</f>
        <v>1.6692264593461226E-2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6">
        <v>6017.64</v>
      </c>
      <c r="E30" s="2"/>
      <c r="F30" s="7">
        <f t="shared" si="12"/>
        <v>0.21319492666336004</v>
      </c>
      <c r="G30" s="2"/>
      <c r="H30" s="6">
        <v>5784.94</v>
      </c>
      <c r="I30" s="2"/>
      <c r="J30" s="7">
        <f t="shared" si="13"/>
        <v>0.23031970378628019</v>
      </c>
      <c r="K30" s="2"/>
      <c r="L30" s="6">
        <f t="shared" si="14"/>
        <v>232.70000000000073</v>
      </c>
      <c r="M30" s="2"/>
      <c r="N30" s="7">
        <f t="shared" si="15"/>
        <v>4.0225136302191683E-2</v>
      </c>
      <c r="O30" s="11"/>
      <c r="P30" s="6">
        <v>18232.95</v>
      </c>
      <c r="Q30" s="2"/>
      <c r="R30" s="7">
        <f t="shared" si="16"/>
        <v>0.1897052397203263</v>
      </c>
      <c r="S30" s="2"/>
      <c r="T30" s="6">
        <v>18511.57</v>
      </c>
      <c r="U30" s="2"/>
      <c r="V30" s="7">
        <f t="shared" si="17"/>
        <v>0.14589825031525852</v>
      </c>
      <c r="W30" s="2"/>
      <c r="X30" s="6">
        <f t="shared" si="18"/>
        <v>-278.61999999999898</v>
      </c>
      <c r="Y30" s="2"/>
      <c r="Z30" s="7">
        <f t="shared" si="19"/>
        <v>-1.5051127484054513E-2</v>
      </c>
    </row>
    <row r="31" spans="1:26" s="24" customFormat="1" hidden="1" outlineLevel="2" x14ac:dyDescent="0.25">
      <c r="A31" s="28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12"/>
        <v>0</v>
      </c>
      <c r="G31" s="2"/>
      <c r="H31" s="6">
        <v>3360</v>
      </c>
      <c r="I31" s="2"/>
      <c r="J31" s="7">
        <f t="shared" si="13"/>
        <v>0.13377393797029899</v>
      </c>
      <c r="K31" s="2"/>
      <c r="L31" s="6">
        <f t="shared" si="14"/>
        <v>-3360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9195</v>
      </c>
      <c r="U31" s="2"/>
      <c r="V31" s="7">
        <f t="shared" si="17"/>
        <v>7.2470050441361913E-2</v>
      </c>
      <c r="W31" s="2"/>
      <c r="X31" s="6">
        <f t="shared" si="18"/>
        <v>-9195</v>
      </c>
      <c r="Y31" s="2"/>
      <c r="Z31" s="7">
        <f t="shared" si="19"/>
        <v>-1</v>
      </c>
    </row>
    <row r="32" spans="1:26" s="24" customFormat="1" hidden="1" outlineLevel="2" x14ac:dyDescent="0.25">
      <c r="A32" s="28"/>
      <c r="B32" s="11" t="str">
        <f>CONCATENATE("          ", "6005", " - ", "TEMPORARY WAGES-HOURLY")</f>
        <v xml:space="preserve">          6005 - TEMPORARY WAGES-HOURLY</v>
      </c>
      <c r="C32" s="11"/>
      <c r="D32" s="6">
        <v>8155.67</v>
      </c>
      <c r="E32" s="2"/>
      <c r="F32" s="7">
        <f t="shared" si="12"/>
        <v>0.28894175582796006</v>
      </c>
      <c r="G32" s="2"/>
      <c r="H32" s="6">
        <v>2709.05</v>
      </c>
      <c r="I32" s="2"/>
      <c r="J32" s="7">
        <f t="shared" si="13"/>
        <v>0.10785722817215433</v>
      </c>
      <c r="K32" s="2"/>
      <c r="L32" s="6">
        <f t="shared" si="14"/>
        <v>5446.62</v>
      </c>
      <c r="M32" s="2"/>
      <c r="N32" s="7">
        <f t="shared" si="15"/>
        <v>2.0105276757534929</v>
      </c>
      <c r="O32" s="11"/>
      <c r="P32" s="6">
        <v>21350.06</v>
      </c>
      <c r="Q32" s="2"/>
      <c r="R32" s="7">
        <f t="shared" si="16"/>
        <v>0.22213729815215583</v>
      </c>
      <c r="S32" s="2"/>
      <c r="T32" s="6">
        <v>7991.5</v>
      </c>
      <c r="U32" s="2"/>
      <c r="V32" s="7">
        <f t="shared" si="17"/>
        <v>6.2984709962168983E-2</v>
      </c>
      <c r="W32" s="2"/>
      <c r="X32" s="6">
        <f t="shared" si="18"/>
        <v>13358.560000000001</v>
      </c>
      <c r="Y32" s="2"/>
      <c r="Z32" s="7">
        <f t="shared" si="19"/>
        <v>1.671596070825252</v>
      </c>
    </row>
    <row r="33" spans="1:26" s="24" customFormat="1" hidden="1" outlineLevel="2" x14ac:dyDescent="0.25">
      <c r="A33" s="28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12"/>
        <v>0</v>
      </c>
      <c r="G33" s="2"/>
      <c r="H33" s="6">
        <v>1057.5</v>
      </c>
      <c r="I33" s="2"/>
      <c r="J33" s="7">
        <f t="shared" si="13"/>
        <v>4.2102958155830712E-2</v>
      </c>
      <c r="K33" s="2"/>
      <c r="L33" s="6">
        <f t="shared" si="14"/>
        <v>-1057.5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2852.32</v>
      </c>
      <c r="U33" s="2"/>
      <c r="V33" s="7">
        <f t="shared" si="17"/>
        <v>2.2480453972257251E-2</v>
      </c>
      <c r="W33" s="2"/>
      <c r="X33" s="6">
        <f t="shared" si="18"/>
        <v>-2852.32</v>
      </c>
      <c r="Y33" s="2"/>
      <c r="Z33" s="7">
        <f t="shared" si="19"/>
        <v>-1</v>
      </c>
    </row>
    <row r="34" spans="1:26" s="24" customFormat="1" hidden="1" outlineLevel="2" x14ac:dyDescent="0.25">
      <c r="A34" s="28"/>
      <c r="B34" s="11" t="str">
        <f>CONCATENATE("          ", "6007", " - ", "STUDENT HOURLY")</f>
        <v xml:space="preserve">          6007 - STUDENT HOURLY</v>
      </c>
      <c r="C34" s="11"/>
      <c r="D34" s="6">
        <v>2136.91</v>
      </c>
      <c r="E34" s="2"/>
      <c r="F34" s="7">
        <f t="shared" si="12"/>
        <v>7.5707149436689575E-2</v>
      </c>
      <c r="G34" s="2"/>
      <c r="H34" s="6">
        <v>2692.57</v>
      </c>
      <c r="I34" s="2"/>
      <c r="J34" s="7">
        <f t="shared" si="13"/>
        <v>0.10720109885734762</v>
      </c>
      <c r="K34" s="2"/>
      <c r="L34" s="6">
        <f t="shared" si="14"/>
        <v>-555.66000000000031</v>
      </c>
      <c r="M34" s="2"/>
      <c r="N34" s="7">
        <f t="shared" si="15"/>
        <v>-0.20636789387091153</v>
      </c>
      <c r="O34" s="11"/>
      <c r="P34" s="6">
        <v>12199.2</v>
      </c>
      <c r="Q34" s="2"/>
      <c r="R34" s="7">
        <f t="shared" si="16"/>
        <v>0.12692691859497254</v>
      </c>
      <c r="S34" s="2"/>
      <c r="T34" s="6">
        <v>14422.65</v>
      </c>
      <c r="U34" s="2"/>
      <c r="V34" s="7">
        <f t="shared" si="17"/>
        <v>0.11367157944514501</v>
      </c>
      <c r="W34" s="2"/>
      <c r="X34" s="6">
        <f t="shared" si="18"/>
        <v>-2223.4499999999989</v>
      </c>
      <c r="Y34" s="2"/>
      <c r="Z34" s="7">
        <f t="shared" si="19"/>
        <v>-0.15416376324739206</v>
      </c>
    </row>
    <row r="35" spans="1:26" s="24" customFormat="1" hidden="1" outlineLevel="2" x14ac:dyDescent="0.25">
      <c r="A35" s="28"/>
      <c r="B35" s="11" t="str">
        <f>CONCATENATE("          ", "6008", " - ", "STUDENT HOURLY-FICA EXEMPT")</f>
        <v xml:space="preserve">          6008 - STUDENT HOURLY-FICA EXEMPT</v>
      </c>
      <c r="C35" s="11"/>
      <c r="D35" s="6">
        <v>774.57</v>
      </c>
      <c r="E35" s="2"/>
      <c r="F35" s="7">
        <f t="shared" si="12"/>
        <v>2.7441720399631546E-2</v>
      </c>
      <c r="G35" s="2"/>
      <c r="H35" s="6"/>
      <c r="I35" s="2"/>
      <c r="J35" s="7">
        <f t="shared" si="13"/>
        <v>0</v>
      </c>
      <c r="K35" s="2"/>
      <c r="L35" s="6">
        <f t="shared" si="14"/>
        <v>774.57</v>
      </c>
      <c r="M35" s="2"/>
      <c r="N35" s="7">
        <f t="shared" si="15"/>
        <v>0</v>
      </c>
      <c r="O35" s="11"/>
      <c r="P35" s="6">
        <v>2075.0700000000002</v>
      </c>
      <c r="Q35" s="2"/>
      <c r="R35" s="7">
        <f t="shared" si="16"/>
        <v>2.1590124021974366E-2</v>
      </c>
      <c r="S35" s="2"/>
      <c r="T35" s="6"/>
      <c r="U35" s="2"/>
      <c r="V35" s="7">
        <f t="shared" si="17"/>
        <v>0</v>
      </c>
      <c r="W35" s="2"/>
      <c r="X35" s="6">
        <f t="shared" si="18"/>
        <v>2075.0700000000002</v>
      </c>
      <c r="Y35" s="2"/>
      <c r="Z35" s="7">
        <f t="shared" si="19"/>
        <v>0</v>
      </c>
    </row>
    <row r="36" spans="1:26" s="29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54" si="20">IF(D$12=0,0,D36/D$12)</f>
        <v>0</v>
      </c>
      <c r="G36" s="1"/>
      <c r="H36" s="1">
        <f>SUM(OSRRefH22_2x_0)</f>
        <v>1179.3499999999999</v>
      </c>
      <c r="I36" s="1"/>
      <c r="J36" s="5">
        <f t="shared" ref="J36:J54" si="21">IF(H$12=0,0,H36/H$12)</f>
        <v>4.6954254090854797E-2</v>
      </c>
      <c r="K36" s="1"/>
      <c r="L36" s="1">
        <f t="shared" ref="L36:L54" si="22">+D36-H36</f>
        <v>-1179.3499999999999</v>
      </c>
      <c r="M36" s="1"/>
      <c r="N36" s="5">
        <f t="shared" ref="N36:N54" si="23">IF(H36=0,0,L36/H36)</f>
        <v>-1</v>
      </c>
      <c r="O36" s="14"/>
      <c r="P36" s="1">
        <f>SUM(OSRRefP22_2x_0)</f>
        <v>38</v>
      </c>
      <c r="Q36" s="1"/>
      <c r="R36" s="5">
        <f t="shared" ref="R36:R54" si="24">IF(P$12=0,0,P36/P$12)</f>
        <v>3.9537206592308975E-4</v>
      </c>
      <c r="S36" s="1"/>
      <c r="T36" s="1">
        <f>SUM(OSRRefT22_2x_0)</f>
        <v>2099.59</v>
      </c>
      <c r="U36" s="1"/>
      <c r="V36" s="5">
        <f t="shared" ref="V36:V54" si="25">IF(T$12=0,0,T36/T$12)</f>
        <v>1.654784047919294E-2</v>
      </c>
      <c r="W36" s="1"/>
      <c r="X36" s="1">
        <f t="shared" ref="X36:X54" si="26">+P36-T36</f>
        <v>-2061.59</v>
      </c>
      <c r="Y36" s="1"/>
      <c r="Z36" s="5">
        <f t="shared" ref="Z36:Z54" si="27">IF(T36=0,0,X36/T36)</f>
        <v>-0.98190122833505589</v>
      </c>
    </row>
    <row r="37" spans="1:26" s="24" customFormat="1" hidden="1" outlineLevel="2" x14ac:dyDescent="0.25">
      <c r="A37" s="28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>
        <v>1179.3499999999999</v>
      </c>
      <c r="I37" s="2"/>
      <c r="J37" s="7">
        <f t="shared" si="21"/>
        <v>4.6954254090854797E-2</v>
      </c>
      <c r="K37" s="2"/>
      <c r="L37" s="6">
        <f t="shared" si="22"/>
        <v>-1179.3499999999999</v>
      </c>
      <c r="M37" s="2"/>
      <c r="N37" s="7">
        <f t="shared" si="23"/>
        <v>-1</v>
      </c>
      <c r="O37" s="11"/>
      <c r="P37" s="6">
        <v>38</v>
      </c>
      <c r="Q37" s="2"/>
      <c r="R37" s="7">
        <f t="shared" si="24"/>
        <v>3.9537206592308975E-4</v>
      </c>
      <c r="S37" s="2"/>
      <c r="T37" s="6">
        <v>2099.59</v>
      </c>
      <c r="U37" s="2"/>
      <c r="V37" s="7">
        <f t="shared" si="25"/>
        <v>1.654784047919294E-2</v>
      </c>
      <c r="W37" s="2"/>
      <c r="X37" s="6">
        <f t="shared" si="26"/>
        <v>-2061.59</v>
      </c>
      <c r="Y37" s="2"/>
      <c r="Z37" s="7">
        <f t="shared" si="27"/>
        <v>-0.98190122833505589</v>
      </c>
    </row>
    <row r="38" spans="1:26" s="29" customFormat="1" outlineLevel="1" collapsed="1" x14ac:dyDescent="0.25">
      <c r="A38" s="27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3111.56</v>
      </c>
      <c r="E38" s="1"/>
      <c r="F38" s="5">
        <f t="shared" si="20"/>
        <v>0.1102373698008928</v>
      </c>
      <c r="G38" s="1"/>
      <c r="H38" s="1">
        <f>SUM(OSRRefH22_3x_0)</f>
        <v>3014.14</v>
      </c>
      <c r="I38" s="1"/>
      <c r="J38" s="5">
        <f t="shared" si="21"/>
        <v>0.12000398136720149</v>
      </c>
      <c r="K38" s="1"/>
      <c r="L38" s="1">
        <f t="shared" si="22"/>
        <v>97.420000000000073</v>
      </c>
      <c r="M38" s="1"/>
      <c r="N38" s="5">
        <f t="shared" si="23"/>
        <v>3.2320993716283941E-2</v>
      </c>
      <c r="O38" s="14"/>
      <c r="P38" s="1">
        <f>SUM(OSRRefP22_3x_0)</f>
        <v>5606.05</v>
      </c>
      <c r="Q38" s="1"/>
      <c r="R38" s="5">
        <f t="shared" si="24"/>
        <v>5.8328304478108876E-2</v>
      </c>
      <c r="S38" s="1"/>
      <c r="T38" s="1">
        <f>SUM(OSRRefT22_3x_0)</f>
        <v>5373.49</v>
      </c>
      <c r="U38" s="1"/>
      <c r="V38" s="5">
        <f t="shared" si="25"/>
        <v>4.2350961538461539E-2</v>
      </c>
      <c r="W38" s="1"/>
      <c r="X38" s="1">
        <f t="shared" si="26"/>
        <v>232.5600000000004</v>
      </c>
      <c r="Y38" s="1"/>
      <c r="Z38" s="5">
        <f t="shared" si="27"/>
        <v>4.327913516169201E-2</v>
      </c>
    </row>
    <row r="39" spans="1:26" s="24" customFormat="1" hidden="1" outlineLevel="2" x14ac:dyDescent="0.25">
      <c r="A39" s="28"/>
      <c r="B39" s="11" t="str">
        <f>CONCATENATE("          ", "6381", " - ", "BANK/CREDIT CARD FEES")</f>
        <v xml:space="preserve">          6381 - BANK/CREDIT CARD FEES</v>
      </c>
      <c r="C39" s="11"/>
      <c r="D39" s="6">
        <v>3111.56</v>
      </c>
      <c r="E39" s="2"/>
      <c r="F39" s="7">
        <f t="shared" si="20"/>
        <v>0.1102373698008928</v>
      </c>
      <c r="G39" s="2"/>
      <c r="H39" s="6">
        <v>3014.14</v>
      </c>
      <c r="I39" s="2"/>
      <c r="J39" s="7">
        <f t="shared" si="21"/>
        <v>0.12000398136720149</v>
      </c>
      <c r="K39" s="2"/>
      <c r="L39" s="6">
        <f t="shared" si="22"/>
        <v>97.420000000000073</v>
      </c>
      <c r="M39" s="2"/>
      <c r="N39" s="7">
        <f t="shared" si="23"/>
        <v>3.2320993716283941E-2</v>
      </c>
      <c r="O39" s="11"/>
      <c r="P39" s="6">
        <v>5606.05</v>
      </c>
      <c r="Q39" s="2"/>
      <c r="R39" s="7">
        <f t="shared" si="24"/>
        <v>5.8328304478108876E-2</v>
      </c>
      <c r="S39" s="2"/>
      <c r="T39" s="6">
        <v>5373.49</v>
      </c>
      <c r="U39" s="2"/>
      <c r="V39" s="7">
        <f t="shared" si="25"/>
        <v>4.2350961538461539E-2</v>
      </c>
      <c r="W39" s="2"/>
      <c r="X39" s="6">
        <f t="shared" si="26"/>
        <v>232.5600000000004</v>
      </c>
      <c r="Y39" s="2"/>
      <c r="Z39" s="7">
        <f t="shared" si="27"/>
        <v>4.327913516169201E-2</v>
      </c>
    </row>
    <row r="40" spans="1:26" s="29" customFormat="1" outlineLevel="1" collapsed="1" x14ac:dyDescent="0.25">
      <c r="A40" s="27"/>
      <c r="B40" s="14" t="str">
        <f>CONCATENATE("     ","Employees' Appreciation                           ")</f>
        <v xml:space="preserve">     Employees' Appreciation                           </v>
      </c>
      <c r="C40" s="14"/>
      <c r="D40" s="1">
        <f>SUM(OSRRefD22_4x_0)</f>
        <v>64.239999999999995</v>
      </c>
      <c r="E40" s="1"/>
      <c r="F40" s="5">
        <f t="shared" si="20"/>
        <v>2.2759158222915043E-3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64.239999999999995</v>
      </c>
      <c r="M40" s="1"/>
      <c r="N40" s="5">
        <f t="shared" si="23"/>
        <v>0</v>
      </c>
      <c r="O40" s="14"/>
      <c r="P40" s="1">
        <f>SUM(OSRRefP22_4x_0)</f>
        <v>64.239999999999995</v>
      </c>
      <c r="Q40" s="1"/>
      <c r="R40" s="5">
        <f t="shared" si="24"/>
        <v>6.6838688197103373E-4</v>
      </c>
      <c r="S40" s="1"/>
      <c r="T40" s="1">
        <f>SUM(OSRRefT22_4x_0)</f>
        <v>0</v>
      </c>
      <c r="U40" s="1"/>
      <c r="V40" s="5">
        <f t="shared" si="25"/>
        <v>0</v>
      </c>
      <c r="W40" s="1"/>
      <c r="X40" s="1">
        <f t="shared" si="26"/>
        <v>64.239999999999995</v>
      </c>
      <c r="Y40" s="1"/>
      <c r="Z40" s="5">
        <f t="shared" si="27"/>
        <v>0</v>
      </c>
    </row>
    <row r="41" spans="1:26" s="24" customFormat="1" hidden="1" outlineLevel="2" x14ac:dyDescent="0.25">
      <c r="A41" s="28"/>
      <c r="B41" s="11" t="str">
        <f>CONCATENATE("          ", "6277", " - ", "EMPLOYEE APPRECIATION")</f>
        <v xml:space="preserve">          6277 - EMPLOYEE APPRECIATION</v>
      </c>
      <c r="C41" s="11"/>
      <c r="D41" s="6">
        <v>64.239999999999995</v>
      </c>
      <c r="E41" s="2"/>
      <c r="F41" s="7">
        <f t="shared" si="20"/>
        <v>2.2759158222915043E-3</v>
      </c>
      <c r="G41" s="2"/>
      <c r="H41" s="6"/>
      <c r="I41" s="2"/>
      <c r="J41" s="7">
        <f t="shared" si="21"/>
        <v>0</v>
      </c>
      <c r="K41" s="2"/>
      <c r="L41" s="6">
        <f t="shared" si="22"/>
        <v>64.239999999999995</v>
      </c>
      <c r="M41" s="2"/>
      <c r="N41" s="7">
        <f t="shared" si="23"/>
        <v>0</v>
      </c>
      <c r="O41" s="11"/>
      <c r="P41" s="6">
        <v>64.239999999999995</v>
      </c>
      <c r="Q41" s="2"/>
      <c r="R41" s="7">
        <f t="shared" si="24"/>
        <v>6.6838688197103373E-4</v>
      </c>
      <c r="S41" s="2"/>
      <c r="T41" s="6"/>
      <c r="U41" s="2"/>
      <c r="V41" s="7">
        <f t="shared" si="25"/>
        <v>0</v>
      </c>
      <c r="W41" s="2"/>
      <c r="X41" s="6">
        <f t="shared" si="26"/>
        <v>64.239999999999995</v>
      </c>
      <c r="Y41" s="2"/>
      <c r="Z41" s="7">
        <f t="shared" si="27"/>
        <v>0</v>
      </c>
    </row>
    <row r="42" spans="1:26" s="29" customFormat="1" outlineLevel="1" collapsed="1" x14ac:dyDescent="0.25">
      <c r="A42" s="27"/>
      <c r="B42" s="14" t="str">
        <f>CONCATENATE("     ","Freight out/Postage                               ")</f>
        <v xml:space="preserve">     Freight out/Postage                               </v>
      </c>
      <c r="C42" s="14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4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21.12</v>
      </c>
      <c r="U42" s="1"/>
      <c r="V42" s="5">
        <f t="shared" si="25"/>
        <v>1.6645649432534679E-4</v>
      </c>
      <c r="W42" s="1"/>
      <c r="X42" s="1">
        <f t="shared" si="26"/>
        <v>-21.12</v>
      </c>
      <c r="Y42" s="1"/>
      <c r="Z42" s="5">
        <f t="shared" si="27"/>
        <v>-1</v>
      </c>
    </row>
    <row r="43" spans="1:26" s="24" customFormat="1" hidden="1" outlineLevel="2" x14ac:dyDescent="0.25">
      <c r="A43" s="28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21.12</v>
      </c>
      <c r="U43" s="2"/>
      <c r="V43" s="7">
        <f t="shared" si="25"/>
        <v>1.6645649432534679E-4</v>
      </c>
      <c r="W43" s="2"/>
      <c r="X43" s="6">
        <f t="shared" si="26"/>
        <v>-21.12</v>
      </c>
      <c r="Y43" s="2"/>
      <c r="Z43" s="7">
        <f t="shared" si="27"/>
        <v>-1</v>
      </c>
    </row>
    <row r="44" spans="1:26" s="29" customFormat="1" outlineLevel="1" collapsed="1" x14ac:dyDescent="0.25">
      <c r="A44" s="27"/>
      <c r="B44" s="14" t="str">
        <f>CONCATENATE("     ","General                                           ")</f>
        <v xml:space="preserve">     General                                           </v>
      </c>
      <c r="C44" s="14"/>
      <c r="D44" s="1">
        <f>SUM(OSRRefD22_6x_0)</f>
        <v>0</v>
      </c>
      <c r="E44" s="1"/>
      <c r="F44" s="5">
        <f t="shared" si="20"/>
        <v>0</v>
      </c>
      <c r="G44" s="1"/>
      <c r="H44" s="1">
        <f>SUM(OSRRefH22_6x_0)</f>
        <v>1600</v>
      </c>
      <c r="I44" s="1"/>
      <c r="J44" s="5">
        <f t="shared" si="21"/>
        <v>6.3701875223951904E-2</v>
      </c>
      <c r="K44" s="1"/>
      <c r="L44" s="1">
        <f t="shared" si="22"/>
        <v>-1600</v>
      </c>
      <c r="M44" s="1"/>
      <c r="N44" s="5">
        <f t="shared" si="23"/>
        <v>-1</v>
      </c>
      <c r="O44" s="14"/>
      <c r="P44" s="1">
        <f>SUM(OSRRefP22_6x_0)</f>
        <v>0</v>
      </c>
      <c r="Q44" s="1"/>
      <c r="R44" s="5">
        <f t="shared" si="24"/>
        <v>0</v>
      </c>
      <c r="S44" s="1"/>
      <c r="T44" s="1">
        <f>SUM(OSRRefT22_6x_0)</f>
        <v>1901</v>
      </c>
      <c r="U44" s="1"/>
      <c r="V44" s="5">
        <f t="shared" si="25"/>
        <v>1.4982660781841109E-2</v>
      </c>
      <c r="W44" s="1"/>
      <c r="X44" s="1">
        <f t="shared" si="26"/>
        <v>-1901</v>
      </c>
      <c r="Y44" s="1"/>
      <c r="Z44" s="5">
        <f t="shared" si="27"/>
        <v>-1</v>
      </c>
    </row>
    <row r="45" spans="1:26" s="24" customFormat="1" hidden="1" outlineLevel="2" x14ac:dyDescent="0.25">
      <c r="A45" s="28"/>
      <c r="B45" s="11" t="str">
        <f>CONCATENATE("          ", "6279", " - ", "GENERAL EXPENSE")</f>
        <v xml:space="preserve">          6279 - GENERAL EXPENSE</v>
      </c>
      <c r="C45" s="11"/>
      <c r="D45" s="6"/>
      <c r="E45" s="2"/>
      <c r="F45" s="7">
        <f t="shared" si="20"/>
        <v>0</v>
      </c>
      <c r="G45" s="2"/>
      <c r="H45" s="6">
        <v>1600</v>
      </c>
      <c r="I45" s="2"/>
      <c r="J45" s="7">
        <f t="shared" si="21"/>
        <v>6.3701875223951904E-2</v>
      </c>
      <c r="K45" s="2"/>
      <c r="L45" s="6">
        <f t="shared" si="22"/>
        <v>-1600</v>
      </c>
      <c r="M45" s="2"/>
      <c r="N45" s="7">
        <f t="shared" si="23"/>
        <v>-1</v>
      </c>
      <c r="O45" s="11"/>
      <c r="P45" s="6"/>
      <c r="Q45" s="2"/>
      <c r="R45" s="7">
        <f t="shared" si="24"/>
        <v>0</v>
      </c>
      <c r="S45" s="2"/>
      <c r="T45" s="6">
        <v>1901</v>
      </c>
      <c r="U45" s="2"/>
      <c r="V45" s="7">
        <f t="shared" si="25"/>
        <v>1.4982660781841109E-2</v>
      </c>
      <c r="W45" s="2"/>
      <c r="X45" s="6">
        <f t="shared" si="26"/>
        <v>-1901</v>
      </c>
      <c r="Y45" s="2"/>
      <c r="Z45" s="7">
        <f t="shared" si="27"/>
        <v>-1</v>
      </c>
    </row>
    <row r="46" spans="1:26" s="29" customFormat="1" outlineLevel="1" collapsed="1" x14ac:dyDescent="0.25">
      <c r="A46" s="27"/>
      <c r="B46" s="14" t="str">
        <f>CONCATENATE("     ","Insurance                                         ")</f>
        <v xml:space="preserve">     Insurance                                         </v>
      </c>
      <c r="C46" s="14"/>
      <c r="D46" s="1">
        <f>SUM(OSRRefD22_7x_0)</f>
        <v>29.01</v>
      </c>
      <c r="E46" s="1"/>
      <c r="F46" s="5">
        <f t="shared" si="20"/>
        <v>1.027775809537306E-3</v>
      </c>
      <c r="G46" s="1"/>
      <c r="H46" s="1">
        <f>SUM(OSRRefH22_7x_0)</f>
        <v>27.33</v>
      </c>
      <c r="I46" s="1"/>
      <c r="J46" s="5">
        <f t="shared" si="21"/>
        <v>1.0881076561691284E-3</v>
      </c>
      <c r="K46" s="1"/>
      <c r="L46" s="1">
        <f t="shared" si="22"/>
        <v>1.6800000000000033</v>
      </c>
      <c r="M46" s="1"/>
      <c r="N46" s="5">
        <f t="shared" si="23"/>
        <v>6.1470911086718018E-2</v>
      </c>
      <c r="O46" s="14"/>
      <c r="P46" s="1">
        <f>SUM(OSRRefP22_7x_0)</f>
        <v>87.03</v>
      </c>
      <c r="Q46" s="1"/>
      <c r="R46" s="5">
        <f t="shared" si="24"/>
        <v>9.0550607624438162E-4</v>
      </c>
      <c r="S46" s="1"/>
      <c r="T46" s="1">
        <f>SUM(OSRRefT22_7x_0)</f>
        <v>81.99</v>
      </c>
      <c r="U46" s="1"/>
      <c r="V46" s="5">
        <f t="shared" si="25"/>
        <v>6.4620113493064305E-4</v>
      </c>
      <c r="W46" s="1"/>
      <c r="X46" s="1">
        <f t="shared" si="26"/>
        <v>5.0400000000000063</v>
      </c>
      <c r="Y46" s="1"/>
      <c r="Z46" s="5">
        <f t="shared" si="27"/>
        <v>6.1470911086717969E-2</v>
      </c>
    </row>
    <row r="47" spans="1:26" s="24" customFormat="1" hidden="1" outlineLevel="2" x14ac:dyDescent="0.25">
      <c r="A47" s="28"/>
      <c r="B47" s="11" t="str">
        <f>CONCATENATE("          ", "6314", " - ", "LIABILITY INSURANCE")</f>
        <v xml:space="preserve">          6314 - LIABILITY INSURANCE</v>
      </c>
      <c r="C47" s="11"/>
      <c r="D47" s="6">
        <v>29.01</v>
      </c>
      <c r="E47" s="2"/>
      <c r="F47" s="7">
        <f t="shared" si="20"/>
        <v>1.027775809537306E-3</v>
      </c>
      <c r="G47" s="2"/>
      <c r="H47" s="6">
        <v>27.33</v>
      </c>
      <c r="I47" s="2"/>
      <c r="J47" s="7">
        <f t="shared" si="21"/>
        <v>1.0881076561691284E-3</v>
      </c>
      <c r="K47" s="2"/>
      <c r="L47" s="6">
        <f t="shared" si="22"/>
        <v>1.6800000000000033</v>
      </c>
      <c r="M47" s="2"/>
      <c r="N47" s="7">
        <f t="shared" si="23"/>
        <v>6.1470911086718018E-2</v>
      </c>
      <c r="O47" s="11"/>
      <c r="P47" s="6">
        <v>87.03</v>
      </c>
      <c r="Q47" s="2"/>
      <c r="R47" s="7">
        <f t="shared" si="24"/>
        <v>9.0550607624438162E-4</v>
      </c>
      <c r="S47" s="2"/>
      <c r="T47" s="6">
        <v>81.99</v>
      </c>
      <c r="U47" s="2"/>
      <c r="V47" s="7">
        <f t="shared" si="25"/>
        <v>6.4620113493064305E-4</v>
      </c>
      <c r="W47" s="2"/>
      <c r="X47" s="6">
        <f t="shared" si="26"/>
        <v>5.0400000000000063</v>
      </c>
      <c r="Y47" s="2"/>
      <c r="Z47" s="7">
        <f t="shared" si="27"/>
        <v>6.1470911086717969E-2</v>
      </c>
    </row>
    <row r="48" spans="1:26" s="29" customFormat="1" outlineLevel="1" collapsed="1" x14ac:dyDescent="0.25">
      <c r="A48" s="27"/>
      <c r="B48" s="14" t="str">
        <f>CONCATENATE("     ","Professional Services                             ")</f>
        <v xml:space="preserve">     Professional Services                             </v>
      </c>
      <c r="C48" s="14"/>
      <c r="D48" s="1">
        <f>SUM(OSRRefD22_8x_0)</f>
        <v>0</v>
      </c>
      <c r="E48" s="1"/>
      <c r="F48" s="5">
        <f t="shared" si="20"/>
        <v>0</v>
      </c>
      <c r="G48" s="1"/>
      <c r="H48" s="1">
        <f>SUM(OSRRefH22_8x_0)</f>
        <v>1680</v>
      </c>
      <c r="I48" s="1"/>
      <c r="J48" s="5">
        <f t="shared" si="21"/>
        <v>6.6886968985149495E-2</v>
      </c>
      <c r="K48" s="1"/>
      <c r="L48" s="1">
        <f t="shared" si="22"/>
        <v>-1680</v>
      </c>
      <c r="M48" s="1"/>
      <c r="N48" s="5">
        <f t="shared" si="23"/>
        <v>-1</v>
      </c>
      <c r="O48" s="14"/>
      <c r="P48" s="1">
        <f>SUM(OSRRefP22_8x_0)</f>
        <v>0</v>
      </c>
      <c r="Q48" s="1"/>
      <c r="R48" s="5">
        <f t="shared" si="24"/>
        <v>0</v>
      </c>
      <c r="S48" s="1"/>
      <c r="T48" s="1">
        <f>SUM(OSRRefT22_8x_0)</f>
        <v>1680</v>
      </c>
      <c r="U48" s="1"/>
      <c r="V48" s="5">
        <f t="shared" si="25"/>
        <v>1.3240857503152586E-2</v>
      </c>
      <c r="W48" s="1"/>
      <c r="X48" s="1">
        <f t="shared" si="26"/>
        <v>-1680</v>
      </c>
      <c r="Y48" s="1"/>
      <c r="Z48" s="5">
        <f t="shared" si="27"/>
        <v>-1</v>
      </c>
    </row>
    <row r="49" spans="1:26" s="24" customFormat="1" hidden="1" outlineLevel="2" x14ac:dyDescent="0.25">
      <c r="A49" s="28"/>
      <c r="B49" s="11" t="str">
        <f>CONCATENATE("          ", "6336", " - ", "PROFESSIONAL SERVICES")</f>
        <v xml:space="preserve">          6336 - PROFESSIONAL SERVICES</v>
      </c>
      <c r="C49" s="11"/>
      <c r="D49" s="6"/>
      <c r="E49" s="2"/>
      <c r="F49" s="7">
        <f t="shared" si="20"/>
        <v>0</v>
      </c>
      <c r="G49" s="2"/>
      <c r="H49" s="6">
        <v>1680</v>
      </c>
      <c r="I49" s="2"/>
      <c r="J49" s="7">
        <f t="shared" si="21"/>
        <v>6.6886968985149495E-2</v>
      </c>
      <c r="K49" s="2"/>
      <c r="L49" s="6">
        <f t="shared" si="22"/>
        <v>-1680</v>
      </c>
      <c r="M49" s="2"/>
      <c r="N49" s="7">
        <f t="shared" si="23"/>
        <v>-1</v>
      </c>
      <c r="O49" s="11"/>
      <c r="P49" s="6"/>
      <c r="Q49" s="2"/>
      <c r="R49" s="7">
        <f t="shared" si="24"/>
        <v>0</v>
      </c>
      <c r="S49" s="2"/>
      <c r="T49" s="6">
        <v>1680</v>
      </c>
      <c r="U49" s="2"/>
      <c r="V49" s="7">
        <f t="shared" si="25"/>
        <v>1.3240857503152586E-2</v>
      </c>
      <c r="W49" s="2"/>
      <c r="X49" s="6">
        <f t="shared" si="26"/>
        <v>-1680</v>
      </c>
      <c r="Y49" s="2"/>
      <c r="Z49" s="7">
        <f t="shared" si="27"/>
        <v>-1</v>
      </c>
    </row>
    <row r="50" spans="1:26" s="29" customFormat="1" outlineLevel="1" collapsed="1" x14ac:dyDescent="0.25">
      <c r="A50" s="27"/>
      <c r="B50" s="14" t="str">
        <f>CONCATENATE("     ","Rent                                              ")</f>
        <v xml:space="preserve">     Rent                                              </v>
      </c>
      <c r="C50" s="14"/>
      <c r="D50" s="1">
        <f>SUM(OSRRefD22_9x_0)</f>
        <v>800</v>
      </c>
      <c r="E50" s="1"/>
      <c r="F50" s="5">
        <f t="shared" si="20"/>
        <v>2.8342662793169417E-2</v>
      </c>
      <c r="G50" s="1"/>
      <c r="H50" s="1">
        <f>SUM(OSRRefH22_9x_0)</f>
        <v>800</v>
      </c>
      <c r="I50" s="1"/>
      <c r="J50" s="5">
        <f t="shared" si="21"/>
        <v>3.1850937611975952E-2</v>
      </c>
      <c r="K50" s="1"/>
      <c r="L50" s="1">
        <f t="shared" si="22"/>
        <v>0</v>
      </c>
      <c r="M50" s="1"/>
      <c r="N50" s="5">
        <f t="shared" si="23"/>
        <v>0</v>
      </c>
      <c r="O50" s="14"/>
      <c r="P50" s="1">
        <f>SUM(OSRRefP22_9x_0)</f>
        <v>2400</v>
      </c>
      <c r="Q50" s="1"/>
      <c r="R50" s="5">
        <f t="shared" si="24"/>
        <v>2.4970867321458298E-2</v>
      </c>
      <c r="S50" s="1"/>
      <c r="T50" s="1">
        <f>SUM(OSRRefT22_9x_0)</f>
        <v>1600</v>
      </c>
      <c r="U50" s="1"/>
      <c r="V50" s="5">
        <f t="shared" si="25"/>
        <v>1.2610340479192938E-2</v>
      </c>
      <c r="W50" s="1"/>
      <c r="X50" s="1">
        <f t="shared" si="26"/>
        <v>800</v>
      </c>
      <c r="Y50" s="1"/>
      <c r="Z50" s="5">
        <f t="shared" si="27"/>
        <v>0.5</v>
      </c>
    </row>
    <row r="51" spans="1:26" s="24" customFormat="1" hidden="1" outlineLevel="2" x14ac:dyDescent="0.25">
      <c r="A51" s="28"/>
      <c r="B51" s="11" t="str">
        <f>CONCATENATE("          ", "6273", " - ", "RENT")</f>
        <v xml:space="preserve">          6273 - RENT</v>
      </c>
      <c r="C51" s="11"/>
      <c r="D51" s="6">
        <v>800</v>
      </c>
      <c r="E51" s="2"/>
      <c r="F51" s="7">
        <f t="shared" si="20"/>
        <v>2.8342662793169417E-2</v>
      </c>
      <c r="G51" s="2"/>
      <c r="H51" s="6">
        <v>800</v>
      </c>
      <c r="I51" s="2"/>
      <c r="J51" s="7">
        <f t="shared" si="21"/>
        <v>3.1850937611975952E-2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>
        <v>2400</v>
      </c>
      <c r="Q51" s="2"/>
      <c r="R51" s="7">
        <f t="shared" si="24"/>
        <v>2.4970867321458298E-2</v>
      </c>
      <c r="S51" s="2"/>
      <c r="T51" s="6">
        <v>1600</v>
      </c>
      <c r="U51" s="2"/>
      <c r="V51" s="7">
        <f t="shared" si="25"/>
        <v>1.2610340479192938E-2</v>
      </c>
      <c r="W51" s="2"/>
      <c r="X51" s="6">
        <f t="shared" si="26"/>
        <v>800</v>
      </c>
      <c r="Y51" s="2"/>
      <c r="Z51" s="7">
        <f t="shared" si="27"/>
        <v>0.5</v>
      </c>
    </row>
    <row r="52" spans="1:26" s="29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SUM(OSRRefD22_10x_0)</f>
        <v>437.31</v>
      </c>
      <c r="E52" s="1"/>
      <c r="F52" s="5">
        <f t="shared" si="20"/>
        <v>1.5493162332601148E-2</v>
      </c>
      <c r="G52" s="1"/>
      <c r="H52" s="1">
        <f>SUM(OSRRefH22_10x_0)</f>
        <v>0</v>
      </c>
      <c r="I52" s="1"/>
      <c r="J52" s="5">
        <f t="shared" si="21"/>
        <v>0</v>
      </c>
      <c r="K52" s="1"/>
      <c r="L52" s="1">
        <f t="shared" si="22"/>
        <v>437.31</v>
      </c>
      <c r="M52" s="1"/>
      <c r="N52" s="5">
        <f t="shared" si="23"/>
        <v>0</v>
      </c>
      <c r="O52" s="14"/>
      <c r="P52" s="1">
        <f>SUM(OSRRefP22_10x_0)</f>
        <v>437.31</v>
      </c>
      <c r="Q52" s="1"/>
      <c r="R52" s="5">
        <f t="shared" si="24"/>
        <v>4.5500041618112205E-3</v>
      </c>
      <c r="S52" s="1"/>
      <c r="T52" s="1">
        <f>SUM(OSRRefT22_10x_0)</f>
        <v>600</v>
      </c>
      <c r="U52" s="1"/>
      <c r="V52" s="5">
        <f t="shared" si="25"/>
        <v>4.7288776796973516E-3</v>
      </c>
      <c r="W52" s="1"/>
      <c r="X52" s="1">
        <f t="shared" si="26"/>
        <v>-162.69</v>
      </c>
      <c r="Y52" s="1"/>
      <c r="Z52" s="5">
        <f t="shared" si="27"/>
        <v>-0.27115</v>
      </c>
    </row>
    <row r="53" spans="1:26" s="24" customFormat="1" hidden="1" outlineLevel="2" x14ac:dyDescent="0.25">
      <c r="A53" s="28"/>
      <c r="B53" s="11" t="str">
        <f>CONCATENATE("          ", "6371", " - ", "COMPUTER SOFTWARE MAINTENANCE")</f>
        <v xml:space="preserve">          6371 - COMPUTER SOFTWARE MAINTENANCE</v>
      </c>
      <c r="C53" s="11"/>
      <c r="D53" s="6">
        <v>437.31</v>
      </c>
      <c r="E53" s="2"/>
      <c r="F53" s="7">
        <f t="shared" si="20"/>
        <v>1.5493162332601148E-2</v>
      </c>
      <c r="G53" s="2"/>
      <c r="H53" s="6"/>
      <c r="I53" s="2"/>
      <c r="J53" s="7">
        <f t="shared" si="21"/>
        <v>0</v>
      </c>
      <c r="K53" s="2"/>
      <c r="L53" s="6">
        <f t="shared" si="22"/>
        <v>437.31</v>
      </c>
      <c r="M53" s="2"/>
      <c r="N53" s="7">
        <f t="shared" si="23"/>
        <v>0</v>
      </c>
      <c r="O53" s="11"/>
      <c r="P53" s="6">
        <v>437.31</v>
      </c>
      <c r="Q53" s="2"/>
      <c r="R53" s="7">
        <f t="shared" si="24"/>
        <v>4.5500041618112205E-3</v>
      </c>
      <c r="S53" s="2"/>
      <c r="T53" s="6"/>
      <c r="U53" s="2"/>
      <c r="V53" s="7">
        <f t="shared" si="25"/>
        <v>0</v>
      </c>
      <c r="W53" s="2"/>
      <c r="X53" s="6">
        <f t="shared" si="26"/>
        <v>437.31</v>
      </c>
      <c r="Y53" s="2"/>
      <c r="Z53" s="7">
        <f t="shared" si="27"/>
        <v>0</v>
      </c>
    </row>
    <row r="54" spans="1:26" s="24" customFormat="1" hidden="1" outlineLevel="2" x14ac:dyDescent="0.25">
      <c r="A54" s="28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0"/>
        <v>0</v>
      </c>
      <c r="G54" s="2"/>
      <c r="H54" s="6"/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600</v>
      </c>
      <c r="U54" s="2"/>
      <c r="V54" s="7">
        <f t="shared" si="25"/>
        <v>4.7288776796973516E-3</v>
      </c>
      <c r="W54" s="2"/>
      <c r="X54" s="6">
        <f t="shared" si="26"/>
        <v>-600</v>
      </c>
      <c r="Y54" s="2"/>
      <c r="Z54" s="7">
        <f t="shared" si="27"/>
        <v>-1</v>
      </c>
    </row>
    <row r="55" spans="1:26" s="29" customFormat="1" outlineLevel="1" collapsed="1" x14ac:dyDescent="0.25">
      <c r="A55" s="27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SUM(OSRRefD22_11x_0)</f>
        <v>3300.91</v>
      </c>
      <c r="E55" s="1"/>
      <c r="F55" s="5">
        <f t="shared" ref="F55:F59" si="28">IF(D$12=0,0,D55/D$12)</f>
        <v>0.11694572380075108</v>
      </c>
      <c r="G55" s="1"/>
      <c r="H55" s="1">
        <f>SUM(OSRRefH22_11x_0)</f>
        <v>2163.5100000000002</v>
      </c>
      <c r="I55" s="1"/>
      <c r="J55" s="5">
        <f t="shared" ref="J55:J59" si="29">IF(H$12=0,0,H55/H$12)</f>
        <v>8.6137277541107629E-2</v>
      </c>
      <c r="K55" s="1"/>
      <c r="L55" s="1">
        <f t="shared" ref="L55:L59" si="30">+D55-H55</f>
        <v>1137.3999999999996</v>
      </c>
      <c r="M55" s="1"/>
      <c r="N55" s="5">
        <f t="shared" ref="N55:N59" si="31">IF(H55=0,0,L55/H55)</f>
        <v>0.52571977943249604</v>
      </c>
      <c r="O55" s="14"/>
      <c r="P55" s="1">
        <f>SUM(OSRRefP22_11x_0)</f>
        <v>18136.980000000003</v>
      </c>
      <c r="Q55" s="1"/>
      <c r="R55" s="5">
        <f t="shared" ref="R55:R59" si="32">IF(P$12=0,0,P55/P$12)</f>
        <v>0.1887067171633095</v>
      </c>
      <c r="S55" s="1"/>
      <c r="T55" s="1">
        <f>SUM(OSRRefT22_11x_0)</f>
        <v>44119.62</v>
      </c>
      <c r="U55" s="1"/>
      <c r="V55" s="5">
        <f t="shared" ref="V55:V59" si="33">IF(T$12=0,0,T55/T$12)</f>
        <v>0.3477271437578815</v>
      </c>
      <c r="W55" s="1"/>
      <c r="X55" s="1">
        <f t="shared" ref="X55:X59" si="34">+P55-T55</f>
        <v>-25982.639999999999</v>
      </c>
      <c r="Y55" s="1"/>
      <c r="Z55" s="5">
        <f t="shared" ref="Z55:Z59" si="35">IF(T55=0,0,X55/T55)</f>
        <v>-0.58891350378811058</v>
      </c>
    </row>
    <row r="56" spans="1:26" s="24" customFormat="1" hidden="1" outlineLevel="2" x14ac:dyDescent="0.25">
      <c r="A56" s="28"/>
      <c r="B56" s="11" t="str">
        <f>CONCATENATE("          ", "6234", " - ", "EXPENDABLE SUPPLIES &amp; EQUIPMEN")</f>
        <v xml:space="preserve">          6234 - EXPENDABLE SUPPLIES &amp; EQUIPMEN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413.27</v>
      </c>
      <c r="Q56" s="2"/>
      <c r="R56" s="7">
        <f t="shared" si="32"/>
        <v>4.299879307474613E-3</v>
      </c>
      <c r="S56" s="2"/>
      <c r="T56" s="6"/>
      <c r="U56" s="2"/>
      <c r="V56" s="7">
        <f t="shared" si="33"/>
        <v>0</v>
      </c>
      <c r="W56" s="2"/>
      <c r="X56" s="6">
        <f t="shared" si="34"/>
        <v>413.27</v>
      </c>
      <c r="Y56" s="2"/>
      <c r="Z56" s="7">
        <f t="shared" si="35"/>
        <v>0</v>
      </c>
    </row>
    <row r="57" spans="1:26" s="24" customFormat="1" hidden="1" outlineLevel="2" x14ac:dyDescent="0.25">
      <c r="A57" s="28"/>
      <c r="B57" s="11" t="str">
        <f>CONCATENATE("          ", "6241", " - ", "OFFICE EXPENSE")</f>
        <v xml:space="preserve">          6241 - OFFICE EXPENSE</v>
      </c>
      <c r="C57" s="11"/>
      <c r="D57" s="6">
        <v>3180.08</v>
      </c>
      <c r="E57" s="2"/>
      <c r="F57" s="7">
        <f t="shared" si="28"/>
        <v>0.11266491886912776</v>
      </c>
      <c r="G57" s="2"/>
      <c r="H57" s="6">
        <v>1719.23</v>
      </c>
      <c r="I57" s="2"/>
      <c r="J57" s="7">
        <f t="shared" si="29"/>
        <v>6.8448859338296766E-2</v>
      </c>
      <c r="K57" s="2"/>
      <c r="L57" s="6">
        <f t="shared" si="30"/>
        <v>1460.85</v>
      </c>
      <c r="M57" s="2"/>
      <c r="N57" s="7">
        <f t="shared" si="31"/>
        <v>0.84971178958021898</v>
      </c>
      <c r="O57" s="11"/>
      <c r="P57" s="6">
        <v>17602.88</v>
      </c>
      <c r="Q57" s="2"/>
      <c r="R57" s="7">
        <f t="shared" si="32"/>
        <v>0.18314965873147995</v>
      </c>
      <c r="S57" s="2"/>
      <c r="T57" s="6">
        <v>35490.060000000005</v>
      </c>
      <c r="U57" s="2"/>
      <c r="V57" s="7">
        <f t="shared" si="33"/>
        <v>0.27971358764186638</v>
      </c>
      <c r="W57" s="2"/>
      <c r="X57" s="6">
        <f t="shared" si="34"/>
        <v>-17887.180000000004</v>
      </c>
      <c r="Y57" s="2"/>
      <c r="Z57" s="7">
        <f t="shared" si="35"/>
        <v>-0.50400534684923048</v>
      </c>
    </row>
    <row r="58" spans="1:26" s="24" customFormat="1" hidden="1" outlineLevel="2" x14ac:dyDescent="0.25">
      <c r="A58" s="28"/>
      <c r="B58" s="11" t="str">
        <f>CONCATENATE("          ", "6245", " - ", "PRINTING")</f>
        <v xml:space="preserve">          6245 - PRINTING</v>
      </c>
      <c r="C58" s="11"/>
      <c r="D58" s="6">
        <v>120.83</v>
      </c>
      <c r="E58" s="2"/>
      <c r="F58" s="7">
        <f t="shared" si="28"/>
        <v>4.2808049316233263E-3</v>
      </c>
      <c r="G58" s="2"/>
      <c r="H58" s="6"/>
      <c r="I58" s="2"/>
      <c r="J58" s="7">
        <f t="shared" si="29"/>
        <v>0</v>
      </c>
      <c r="K58" s="2"/>
      <c r="L58" s="6">
        <f t="shared" si="30"/>
        <v>120.83</v>
      </c>
      <c r="M58" s="2"/>
      <c r="N58" s="7">
        <f t="shared" si="31"/>
        <v>0</v>
      </c>
      <c r="O58" s="11"/>
      <c r="P58" s="6">
        <v>120.83</v>
      </c>
      <c r="Q58" s="2"/>
      <c r="R58" s="7">
        <f t="shared" si="32"/>
        <v>1.2571791243549191E-3</v>
      </c>
      <c r="S58" s="2"/>
      <c r="T58" s="6">
        <v>121.28</v>
      </c>
      <c r="U58" s="2"/>
      <c r="V58" s="7">
        <f t="shared" si="33"/>
        <v>9.5586380832282474E-4</v>
      </c>
      <c r="W58" s="2"/>
      <c r="X58" s="6">
        <f t="shared" si="34"/>
        <v>-0.45000000000000284</v>
      </c>
      <c r="Y58" s="2"/>
      <c r="Z58" s="7">
        <f t="shared" si="35"/>
        <v>-3.7104221635884138E-3</v>
      </c>
    </row>
    <row r="59" spans="1:26" s="24" customFormat="1" hidden="1" outlineLevel="2" x14ac:dyDescent="0.25">
      <c r="A59" s="28"/>
      <c r="B59" s="11" t="str">
        <f>CONCATENATE("          ", "6247", " - ", "STORE SUPPLIES")</f>
        <v xml:space="preserve">          6247 - STORE SUPPLIES</v>
      </c>
      <c r="C59" s="11"/>
      <c r="D59" s="6"/>
      <c r="E59" s="2"/>
      <c r="F59" s="7">
        <f t="shared" si="28"/>
        <v>0</v>
      </c>
      <c r="G59" s="2"/>
      <c r="H59" s="6">
        <v>444.28</v>
      </c>
      <c r="I59" s="2"/>
      <c r="J59" s="7">
        <f t="shared" si="29"/>
        <v>1.7688418202810845E-2</v>
      </c>
      <c r="K59" s="2"/>
      <c r="L59" s="6">
        <f t="shared" si="30"/>
        <v>-444.28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8508.2800000000007</v>
      </c>
      <c r="U59" s="2"/>
      <c r="V59" s="7">
        <f t="shared" si="33"/>
        <v>6.7057692307692318E-2</v>
      </c>
      <c r="W59" s="2"/>
      <c r="X59" s="6">
        <f t="shared" si="34"/>
        <v>-8508.2800000000007</v>
      </c>
      <c r="Y59" s="2"/>
      <c r="Z59" s="7">
        <f t="shared" si="35"/>
        <v>-1</v>
      </c>
    </row>
    <row r="60" spans="1:26" s="29" customFormat="1" outlineLevel="1" collapsed="1" x14ac:dyDescent="0.25">
      <c r="A60" s="27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SUM(OSRRefD22_12x_0)</f>
        <v>400</v>
      </c>
      <c r="E60" s="1"/>
      <c r="F60" s="5">
        <f t="shared" ref="F60:F61" si="36">IF(D$12=0,0,D60/D$12)</f>
        <v>1.4171331396584708E-2</v>
      </c>
      <c r="G60" s="1"/>
      <c r="H60" s="1">
        <f>SUM(OSRRefH22_12x_0)</f>
        <v>550.12</v>
      </c>
      <c r="I60" s="1"/>
      <c r="J60" s="5">
        <f t="shared" ref="J60:J61" si="37">IF(H$12=0,0,H60/H$12)</f>
        <v>2.1902297248875265E-2</v>
      </c>
      <c r="K60" s="1"/>
      <c r="L60" s="1">
        <f t="shared" ref="L60:L61" si="38">+D60-H60</f>
        <v>-150.12</v>
      </c>
      <c r="M60" s="1"/>
      <c r="N60" s="5">
        <f t="shared" ref="N60:N61" si="39">IF(H60=0,0,L60/H60)</f>
        <v>-0.27288591580018906</v>
      </c>
      <c r="O60" s="14"/>
      <c r="P60" s="1">
        <f>SUM(OSRRefP22_12x_0)</f>
        <v>575.65</v>
      </c>
      <c r="Q60" s="1"/>
      <c r="R60" s="5">
        <f t="shared" ref="R60:R61" si="40">IF(P$12=0,0,P60/P$12)</f>
        <v>5.9893665723322791E-3</v>
      </c>
      <c r="S60" s="1"/>
      <c r="T60" s="1">
        <f>SUM(OSRRefT22_12x_0)</f>
        <v>1130.71</v>
      </c>
      <c r="U60" s="1"/>
      <c r="V60" s="5">
        <f t="shared" ref="V60:V61" si="41">IF(T$12=0,0,T60/T$12)</f>
        <v>8.9116488020176549E-3</v>
      </c>
      <c r="W60" s="1"/>
      <c r="X60" s="1">
        <f t="shared" ref="X60:X61" si="42">+P60-T60</f>
        <v>-555.06000000000006</v>
      </c>
      <c r="Y60" s="1"/>
      <c r="Z60" s="5">
        <f t="shared" ref="Z60:Z61" si="43">IF(T60=0,0,X60/T60)</f>
        <v>-0.49089510130802771</v>
      </c>
    </row>
    <row r="61" spans="1:26" s="24" customFormat="1" hidden="1" outlineLevel="2" x14ac:dyDescent="0.25">
      <c r="A61" s="28"/>
      <c r="B61" s="11" t="str">
        <f>CONCATENATE("          ", "6309", " - ", "TELEPHONE")</f>
        <v xml:space="preserve">          6309 - TELEPHONE</v>
      </c>
      <c r="C61" s="11"/>
      <c r="D61" s="6">
        <v>400</v>
      </c>
      <c r="E61" s="2"/>
      <c r="F61" s="7">
        <f t="shared" si="36"/>
        <v>1.4171331396584708E-2</v>
      </c>
      <c r="G61" s="2"/>
      <c r="H61" s="6">
        <v>550.12</v>
      </c>
      <c r="I61" s="2"/>
      <c r="J61" s="7">
        <f t="shared" si="37"/>
        <v>2.1902297248875265E-2</v>
      </c>
      <c r="K61" s="2"/>
      <c r="L61" s="6">
        <f t="shared" si="38"/>
        <v>-150.12</v>
      </c>
      <c r="M61" s="2"/>
      <c r="N61" s="7">
        <f t="shared" si="39"/>
        <v>-0.27288591580018906</v>
      </c>
      <c r="O61" s="11"/>
      <c r="P61" s="6">
        <v>575.65</v>
      </c>
      <c r="Q61" s="2"/>
      <c r="R61" s="7">
        <f t="shared" si="40"/>
        <v>5.9893665723322791E-3</v>
      </c>
      <c r="S61" s="2"/>
      <c r="T61" s="6">
        <v>1130.71</v>
      </c>
      <c r="U61" s="2"/>
      <c r="V61" s="7">
        <f t="shared" si="41"/>
        <v>8.9116488020176549E-3</v>
      </c>
      <c r="W61" s="2"/>
      <c r="X61" s="6">
        <f t="shared" si="42"/>
        <v>-555.06000000000006</v>
      </c>
      <c r="Y61" s="2"/>
      <c r="Z61" s="7">
        <f t="shared" si="43"/>
        <v>-0.49089510130802771</v>
      </c>
    </row>
    <row r="62" spans="1:26" s="53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collapsed="1" x14ac:dyDescent="0.25">
      <c r="A63" s="10"/>
      <c r="B63" s="25" t="s">
        <v>0</v>
      </c>
      <c r="C63" s="10"/>
      <c r="D63" s="4">
        <f>SUM(OSRRefD25x_0)</f>
        <v>2661.9</v>
      </c>
      <c r="E63" s="4"/>
      <c r="F63" s="12">
        <f t="shared" ref="F63:F64" si="44">IF(D$12=0,0,D63/D$12)</f>
        <v>9.430666761142209E-2</v>
      </c>
      <c r="G63" s="4"/>
      <c r="H63" s="4">
        <f>SUM(OSRRefH25x_0)</f>
        <v>3049.5</v>
      </c>
      <c r="I63" s="4"/>
      <c r="J63" s="12">
        <f t="shared" ref="J63:J64" si="45">IF(H$12=0,0,H63/H$12)</f>
        <v>0.12141179280965084</v>
      </c>
      <c r="K63" s="4"/>
      <c r="L63" s="4">
        <f t="shared" ref="L63:L64" si="46">+D63-H63</f>
        <v>-387.59999999999991</v>
      </c>
      <c r="M63" s="4"/>
      <c r="N63" s="12">
        <f t="shared" ref="N63:N64" si="47">IF(H63=0,0,L63/H63)</f>
        <v>-0.12710280373831773</v>
      </c>
      <c r="O63" s="10"/>
      <c r="P63" s="4">
        <f>SUM(OSRRefP25x_0)</f>
        <v>7050.9</v>
      </c>
      <c r="Q63" s="4"/>
      <c r="R63" s="12">
        <f t="shared" ref="R63:R64" si="48">IF(P$12=0,0,P63/P$12)</f>
        <v>7.336128683202929E-2</v>
      </c>
      <c r="S63" s="4"/>
      <c r="T63" s="4">
        <f>SUM(OSRRefT25x_0)</f>
        <v>8566.92</v>
      </c>
      <c r="U63" s="4"/>
      <c r="V63" s="12">
        <f t="shared" ref="V63:V64" si="49">IF(T$12=0,0,T63/T$12)</f>
        <v>6.7519861286254729E-2</v>
      </c>
      <c r="W63" s="4"/>
      <c r="X63" s="4">
        <f t="shared" ref="X63:X64" si="50">+P63-T63</f>
        <v>-1516.0200000000004</v>
      </c>
      <c r="Y63" s="4"/>
      <c r="Z63" s="12">
        <f t="shared" ref="Z63:Z64" si="51">IF(T63=0,0,X63/T63)</f>
        <v>-0.17696208205516106</v>
      </c>
    </row>
    <row r="64" spans="1:26" s="24" customFormat="1" hidden="1" outlineLevel="1" x14ac:dyDescent="0.25">
      <c r="A64" s="44"/>
      <c r="B64" s="11" t="str">
        <f>CONCATENATE("          ", "9150", " - ", "MISC. INCOME")</f>
        <v xml:space="preserve">          9150 - MISC. INCOME</v>
      </c>
      <c r="C64" s="11"/>
      <c r="D64" s="2">
        <f>--2661.9</f>
        <v>2661.9</v>
      </c>
      <c r="E64" s="2"/>
      <c r="F64" s="19">
        <f t="shared" si="44"/>
        <v>9.430666761142209E-2</v>
      </c>
      <c r="G64" s="2"/>
      <c r="H64" s="2">
        <f>--3049.5</f>
        <v>3049.5</v>
      </c>
      <c r="I64" s="2"/>
      <c r="J64" s="19">
        <f t="shared" si="45"/>
        <v>0.12141179280965084</v>
      </c>
      <c r="K64" s="2"/>
      <c r="L64" s="2">
        <f t="shared" si="46"/>
        <v>-387.59999999999991</v>
      </c>
      <c r="M64" s="2"/>
      <c r="N64" s="19">
        <f t="shared" si="47"/>
        <v>-0.12710280373831773</v>
      </c>
      <c r="O64" s="11"/>
      <c r="P64" s="2">
        <f>--7050.9</f>
        <v>7050.9</v>
      </c>
      <c r="Q64" s="2"/>
      <c r="R64" s="19">
        <f t="shared" si="48"/>
        <v>7.336128683202929E-2</v>
      </c>
      <c r="S64" s="2"/>
      <c r="T64" s="2">
        <f>--8566.92</f>
        <v>8566.92</v>
      </c>
      <c r="U64" s="2"/>
      <c r="V64" s="19">
        <f t="shared" si="49"/>
        <v>6.7519861286254729E-2</v>
      </c>
      <c r="W64" s="2"/>
      <c r="X64" s="2">
        <f t="shared" si="50"/>
        <v>-1516.0200000000004</v>
      </c>
      <c r="Y64" s="2"/>
      <c r="Z64" s="19">
        <f t="shared" si="51"/>
        <v>-0.17696208205516106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6" t="s">
        <v>3</v>
      </c>
      <c r="C66" s="26"/>
      <c r="D66" s="21">
        <f>+D17-D19+D63</f>
        <v>789.4899999999966</v>
      </c>
      <c r="E66" s="13"/>
      <c r="F66" s="20">
        <f>IF(D$12=0,0,D66/D$12)</f>
        <v>2.7970311060724035E-2</v>
      </c>
      <c r="G66" s="13"/>
      <c r="H66" s="21">
        <f>+H17-H19+H63</f>
        <v>-3178.3199999999961</v>
      </c>
      <c r="I66" s="13"/>
      <c r="J66" s="20">
        <f>IF(H$12=0,0,H66/H$12)</f>
        <v>-0.12654059003861912</v>
      </c>
      <c r="K66" s="15"/>
      <c r="L66" s="21">
        <f>+D66-H66</f>
        <v>3967.8099999999927</v>
      </c>
      <c r="M66" s="15"/>
      <c r="N66" s="20">
        <f>IF(H66=0,0,L66/H66)</f>
        <v>-1.2483985250069212</v>
      </c>
      <c r="O66" s="25"/>
      <c r="P66" s="21">
        <f>+P17-P19+P63</f>
        <v>8464.2899999999845</v>
      </c>
      <c r="Q66" s="13"/>
      <c r="R66" s="20">
        <f>IF(P$12=0,0,P66/P$12)</f>
        <v>8.8066942733477455E-2</v>
      </c>
      <c r="S66" s="13"/>
      <c r="T66" s="21">
        <f>+T17-T19+T63</f>
        <v>10389.879999999977</v>
      </c>
      <c r="U66" s="13"/>
      <c r="V66" s="20">
        <f>IF(T$12=0,0,T66/T$12)</f>
        <v>8.1887452711223024E-2</v>
      </c>
      <c r="W66" s="15"/>
      <c r="X66" s="21">
        <f>+P66-T66</f>
        <v>-1925.5899999999929</v>
      </c>
      <c r="Y66" s="15"/>
      <c r="Z66" s="20">
        <f>IF(T66=0,0,X66/T66)</f>
        <v>-0.18533322810273045</v>
      </c>
    </row>
    <row r="67" spans="1:26" x14ac:dyDescent="0.25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51"/>
      <c r="B68" s="10" t="s">
        <v>13</v>
      </c>
      <c r="C68" s="10"/>
      <c r="D68" s="4">
        <v>1859.55</v>
      </c>
      <c r="E68" s="4"/>
      <c r="F68" s="12">
        <f>IF(D$12=0,0,D68/D$12)</f>
        <v>6.5880748246297735E-2</v>
      </c>
      <c r="G68" s="4"/>
      <c r="H68" s="4">
        <v>883.4</v>
      </c>
      <c r="I68" s="4"/>
      <c r="J68" s="12">
        <f>IF(H$12=0,0,H68/H$12)</f>
        <v>3.5171397858024443E-2</v>
      </c>
      <c r="K68" s="4"/>
      <c r="L68" s="4">
        <f>+D68-H68</f>
        <v>976.15</v>
      </c>
      <c r="M68" s="4"/>
      <c r="N68" s="12">
        <f>IF(H68=0,0,L68/H68)</f>
        <v>1.1049920760697305</v>
      </c>
      <c r="O68" s="10"/>
      <c r="P68" s="4">
        <v>10323.700000000001</v>
      </c>
      <c r="Q68" s="4"/>
      <c r="R68" s="12">
        <f>IF(P$12=0,0,P68/P$12)</f>
        <v>0.10741322623605794</v>
      </c>
      <c r="S68" s="4"/>
      <c r="T68" s="4">
        <v>11272.92</v>
      </c>
      <c r="U68" s="4"/>
      <c r="V68" s="12">
        <f>IF(T$12=0,0,T68/T$12)</f>
        <v>8.8847099621689782E-2</v>
      </c>
      <c r="W68" s="4"/>
      <c r="X68" s="4">
        <f>+P68-T68</f>
        <v>-949.21999999999935</v>
      </c>
      <c r="Y68" s="4"/>
      <c r="Z68" s="12">
        <f>IF(T68=0,0,X68/T68)</f>
        <v>-8.4203560390741644E-2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6" t="s">
        <v>4</v>
      </c>
      <c r="C70" s="26"/>
      <c r="D70" s="35">
        <f>+D66-D68</f>
        <v>-1070.0600000000034</v>
      </c>
      <c r="E70" s="13"/>
      <c r="F70" s="30">
        <f>IF(D$12=0,0,D70/D$12)</f>
        <v>-3.79104371855737E-2</v>
      </c>
      <c r="G70" s="13"/>
      <c r="H70" s="35">
        <f>+H66-H68</f>
        <v>-4061.7199999999962</v>
      </c>
      <c r="I70" s="13"/>
      <c r="J70" s="30">
        <f>IF(H$12=0,0,H70/H$12)</f>
        <v>-0.16171198789664357</v>
      </c>
      <c r="K70" s="15"/>
      <c r="L70" s="35">
        <f>D70-H70</f>
        <v>2991.6599999999926</v>
      </c>
      <c r="M70" s="15"/>
      <c r="N70" s="30">
        <f>IF(H70=0,0,L70/H70)</f>
        <v>-0.73655003299094857</v>
      </c>
      <c r="O70" s="25"/>
      <c r="P70" s="35">
        <f>+P66-P68</f>
        <v>-1859.4100000000162</v>
      </c>
      <c r="Q70" s="13"/>
      <c r="R70" s="30">
        <f>IF(P$12=0,0,P70/P$12)</f>
        <v>-1.9346283502580493E-2</v>
      </c>
      <c r="S70" s="13"/>
      <c r="T70" s="35">
        <f>+T66-T68</f>
        <v>-883.0400000000227</v>
      </c>
      <c r="U70" s="13"/>
      <c r="V70" s="30">
        <f>IF(T$12=0,0,T70/T$12)</f>
        <v>-6.9596469104667618E-3</v>
      </c>
      <c r="W70" s="15"/>
      <c r="X70" s="35">
        <f>P70-T70</f>
        <v>-976.36999999999352</v>
      </c>
      <c r="Y70" s="15"/>
      <c r="Z70" s="30">
        <f>IF(T70=0,0,X70/T70)</f>
        <v>1.1056917013951446</v>
      </c>
    </row>
    <row r="71" spans="1:26" ht="15.75" thickTop="1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6" t="s">
        <v>5</v>
      </c>
      <c r="C73" s="26"/>
      <c r="D73" s="36">
        <f>SUM(D70:D72)</f>
        <v>-1070.0600000000034</v>
      </c>
      <c r="E73" s="13"/>
      <c r="F73" s="31">
        <f>IF(D$12=0,0,D73/D$12)</f>
        <v>-3.79104371855737E-2</v>
      </c>
      <c r="G73" s="13"/>
      <c r="H73" s="36">
        <f>SUM(H70:H72)</f>
        <v>-4061.7199999999962</v>
      </c>
      <c r="I73" s="13"/>
      <c r="J73" s="31">
        <f>IF(H$12=0,0,H73/H$12)</f>
        <v>-0.16171198789664357</v>
      </c>
      <c r="K73" s="15"/>
      <c r="L73" s="36">
        <f>+D73-H73</f>
        <v>2991.6599999999926</v>
      </c>
      <c r="M73" s="15"/>
      <c r="N73" s="31">
        <f>IF(H73=0,0,L73/H73)</f>
        <v>-0.73655003299094857</v>
      </c>
      <c r="O73" s="25"/>
      <c r="P73" s="36">
        <f>SUM(P70:P72)</f>
        <v>-1859.4100000000162</v>
      </c>
      <c r="Q73" s="13"/>
      <c r="R73" s="31">
        <f>IF(P$12=0,0,P73/P$12)</f>
        <v>-1.9346283502580493E-2</v>
      </c>
      <c r="S73" s="13"/>
      <c r="T73" s="36">
        <f>SUM(T70:T72)</f>
        <v>-883.0400000000227</v>
      </c>
      <c r="U73" s="13"/>
      <c r="V73" s="31">
        <f>IF(T$12=0,0,T73/T$12)</f>
        <v>-6.9596469104667618E-3</v>
      </c>
      <c r="W73" s="15"/>
      <c r="X73" s="36">
        <f>+P73-T73</f>
        <v>-976.36999999999352</v>
      </c>
      <c r="Y73" s="15"/>
      <c r="Z73" s="31">
        <f>IF(T73=0,0,X73/T73)</f>
        <v>1.1056917013951446</v>
      </c>
    </row>
    <row r="74" spans="1:26" ht="15.75" thickTop="1" x14ac:dyDescent="0.25">
      <c r="A74" s="9"/>
      <c r="C74" s="9"/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55">
        <v>43756.463607905091</v>
      </c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56" t="s">
        <v>313</v>
      </c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7"/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4" t="s">
        <v>12</v>
      </c>
    </row>
    <row r="3" spans="1:26" x14ac:dyDescent="0.25">
      <c r="D3" s="54" t="s">
        <v>294</v>
      </c>
      <c r="E3" s="17"/>
      <c r="F3" s="47"/>
      <c r="G3" s="17"/>
      <c r="H3" s="17"/>
      <c r="I3" s="17"/>
      <c r="J3" s="40"/>
      <c r="K3" s="17"/>
      <c r="L3" s="17"/>
      <c r="M3" s="17"/>
      <c r="N3" s="47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40"/>
      <c r="K4" s="17"/>
      <c r="L4" s="17"/>
      <c r="M4" s="17"/>
      <c r="N4" s="47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7"/>
      <c r="G5" s="17"/>
      <c r="H5" s="17"/>
      <c r="I5" s="17"/>
      <c r="J5" s="40"/>
      <c r="K5" s="17"/>
      <c r="L5" s="17"/>
      <c r="M5" s="17"/>
      <c r="N5" s="47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7"/>
      <c r="G6" s="17"/>
      <c r="H6" s="17"/>
      <c r="I6" s="17"/>
      <c r="J6" s="40"/>
      <c r="K6" s="17"/>
      <c r="L6" s="17"/>
      <c r="M6" s="17"/>
      <c r="N6" s="47"/>
      <c r="O6" s="62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8"/>
      <c r="G9" s="16"/>
      <c r="H9" s="16"/>
      <c r="I9" s="16"/>
      <c r="J9" s="48"/>
      <c r="K9" s="16"/>
      <c r="L9" s="16"/>
      <c r="M9" s="16"/>
      <c r="N9" s="38"/>
      <c r="P9" s="16" t="s">
        <v>293</v>
      </c>
      <c r="Q9" s="16"/>
      <c r="R9" s="38"/>
      <c r="S9" s="16"/>
      <c r="T9" s="16"/>
      <c r="U9" s="16"/>
      <c r="V9" s="48"/>
      <c r="W9" s="16"/>
      <c r="X9" s="16"/>
      <c r="Y9" s="16"/>
      <c r="Z9" s="38"/>
    </row>
    <row r="10" spans="1:26" x14ac:dyDescent="0.25">
      <c r="A10" s="10"/>
      <c r="B10" s="58"/>
      <c r="C10" s="10"/>
      <c r="D10" s="43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3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3" t="s">
        <v>11</v>
      </c>
      <c r="Y10" s="10"/>
      <c r="Z10" s="32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5" t="e">
        <f ca="1">+D27-D29</f>
        <v>#NAME?</v>
      </c>
      <c r="E31" s="13"/>
      <c r="F31" s="30" t="e">
        <f ca="1">IF(D$12=0,0,D31/D$12)</f>
        <v>#NAME?</v>
      </c>
      <c r="G31" s="13"/>
      <c r="H31" s="35" t="e">
        <f ca="1">+H27-H29</f>
        <v>#NAME?</v>
      </c>
      <c r="I31" s="13"/>
      <c r="J31" s="30" t="e">
        <f ca="1">IF(H$12=0,0,H31/H$12)</f>
        <v>#NAME?</v>
      </c>
      <c r="K31" s="15"/>
      <c r="L31" s="35" t="e">
        <f ca="1">D31-H31</f>
        <v>#NAME?</v>
      </c>
      <c r="M31" s="15"/>
      <c r="N31" s="30" t="e">
        <f ca="1">IF(H31=0,0,L31/H31)</f>
        <v>#NAME?</v>
      </c>
      <c r="O31" s="25"/>
      <c r="P31" s="35" t="e">
        <f ca="1">+P27-P29</f>
        <v>#NAME?</v>
      </c>
      <c r="Q31" s="13"/>
      <c r="R31" s="30" t="e">
        <f ca="1">IF(P$12=0,0,P31/P$12)</f>
        <v>#NAME?</v>
      </c>
      <c r="S31" s="13"/>
      <c r="T31" s="35" t="e">
        <f ca="1">+T27-T29</f>
        <v>#NAME?</v>
      </c>
      <c r="U31" s="13"/>
      <c r="V31" s="30" t="e">
        <f ca="1">IF(T$12=0,0,T31/T$12)</f>
        <v>#NAME?</v>
      </c>
      <c r="W31" s="15"/>
      <c r="X31" s="35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6" t="e">
        <f ca="1">SUM(D31:D35)</f>
        <v>#NAME?</v>
      </c>
      <c r="E36" s="13"/>
      <c r="F36" s="31" t="e">
        <f ca="1">IF(D$12=0,0,D36/D$12)</f>
        <v>#NAME?</v>
      </c>
      <c r="G36" s="13"/>
      <c r="H36" s="36" t="e">
        <f ca="1">SUM(H31:H35)</f>
        <v>#NAME?</v>
      </c>
      <c r="I36" s="13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5"/>
      <c r="P36" s="36" t="e">
        <f ca="1">SUM(P31:P35)</f>
        <v>#NAME?</v>
      </c>
      <c r="Q36" s="13"/>
      <c r="R36" s="31" t="e">
        <f ca="1">IF(P$12=0,0,P36/P$12)</f>
        <v>#NAME?</v>
      </c>
      <c r="S36" s="13"/>
      <c r="T36" s="36" t="e">
        <f ca="1">SUM(T31:T35)</f>
        <v>#NAME?</v>
      </c>
      <c r="U36" s="13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4250</vt:i4>
      </vt:variant>
    </vt:vector>
  </HeadingPairs>
  <TitlesOfParts>
    <vt:vector size="4351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'445'!OSRRefD22_0x_0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'414'!OSRRefD22_11x_0</vt:lpstr>
      <vt:lpstr>'415'!OSRRefD22_11x_0</vt:lpstr>
      <vt:lpstr>'418'!OSRRefD22_11x_0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'308'!OSRRefD22_12x_0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'322'!OSRRefD22_13x_0</vt:lpstr>
      <vt:lpstr>'325'!OSRRefD22_13x_0</vt:lpstr>
      <vt:lpstr>'326'!OSRRefD22_13x_0</vt:lpstr>
      <vt:lpstr>'331'!OSRRefD22_13x_0</vt:lpstr>
      <vt:lpstr>'405'!OSRRefD22_13x_0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'415'!OSRRefD22_15x_0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'326'!OSRRefD22_16x_0</vt:lpstr>
      <vt:lpstr>'331'!OSRRefD22_16x_0</vt:lpstr>
      <vt:lpstr>'405'!OSRRefD22_16x_0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'405'!OSRRefD22_17x_0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'Div 3'!OSRRefD22_24x_0</vt:lpstr>
      <vt:lpstr>'Div 4'!OSRRefD22_24x_0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'445'!OSRRefD22x_0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'413'!OSRRefD25x_0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'445'!OSRRefH22_0x_0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'414'!OSRRefH22_11x_0</vt:lpstr>
      <vt:lpstr>'415'!OSRRefH22_11x_0</vt:lpstr>
      <vt:lpstr>'418'!OSRRefH22_11x_0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'308'!OSRRefH22_12x_0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'322'!OSRRefH22_13x_0</vt:lpstr>
      <vt:lpstr>'325'!OSRRefH22_13x_0</vt:lpstr>
      <vt:lpstr>'326'!OSRRefH22_13x_0</vt:lpstr>
      <vt:lpstr>'331'!OSRRefH22_13x_0</vt:lpstr>
      <vt:lpstr>'405'!OSRRefH22_13x_0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'415'!OSRRefH22_15x_0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'326'!OSRRefH22_16x_0</vt:lpstr>
      <vt:lpstr>'331'!OSRRefH22_16x_0</vt:lpstr>
      <vt:lpstr>'405'!OSRRefH22_16x_0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'405'!OSRRefH22_17x_0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'Div 3'!OSRRefH22_24x_0</vt:lpstr>
      <vt:lpstr>'Div 4'!OSRRefH22_24x_0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'445'!OSRRefH22x_0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'413'!OSRRefH25x_0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'445'!OSRRefP22_0x_0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'414'!OSRRefP22_11x_0</vt:lpstr>
      <vt:lpstr>'415'!OSRRefP22_11x_0</vt:lpstr>
      <vt:lpstr>'418'!OSRRefP22_11x_0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'308'!OSRRefP22_12x_0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'322'!OSRRefP22_13x_0</vt:lpstr>
      <vt:lpstr>'325'!OSRRefP22_13x_0</vt:lpstr>
      <vt:lpstr>'326'!OSRRefP22_13x_0</vt:lpstr>
      <vt:lpstr>'331'!OSRRefP22_13x_0</vt:lpstr>
      <vt:lpstr>'405'!OSRRefP22_13x_0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'415'!OSRRefP22_15x_0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'326'!OSRRefP22_16x_0</vt:lpstr>
      <vt:lpstr>'331'!OSRRefP22_16x_0</vt:lpstr>
      <vt:lpstr>'405'!OSRRefP22_16x_0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'405'!OSRRefP22_17x_0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'Div 3'!OSRRefP22_24x_0</vt:lpstr>
      <vt:lpstr>'Div 4'!OSRRefP22_24x_0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'445'!OSRRefP22x_0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'413'!OSRRefP25x_0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'445'!OSRRefT22_0x_0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'414'!OSRRefT22_11x_0</vt:lpstr>
      <vt:lpstr>'415'!OSRRefT22_11x_0</vt:lpstr>
      <vt:lpstr>'418'!OSRRefT22_11x_0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'308'!OSRRefT22_12x_0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'322'!OSRRefT22_13x_0</vt:lpstr>
      <vt:lpstr>'325'!OSRRefT22_13x_0</vt:lpstr>
      <vt:lpstr>'326'!OSRRefT22_13x_0</vt:lpstr>
      <vt:lpstr>'331'!OSRRefT22_13x_0</vt:lpstr>
      <vt:lpstr>'405'!OSRRefT22_13x_0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'415'!OSRRefT22_15x_0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'326'!OSRRefT22_16x_0</vt:lpstr>
      <vt:lpstr>'331'!OSRRefT22_16x_0</vt:lpstr>
      <vt:lpstr>'405'!OSRRefT22_16x_0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'405'!OSRRefT22_17x_0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'Div 3'!OSRRefT22_24x_0</vt:lpstr>
      <vt:lpstr>'Div 4'!OSRRefT22_24x_0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'445'!OSRRefT22x_0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'413'!OSRRefT25x_0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2019-10-18T19:32:33Z</dcterms:modified>
</cp:coreProperties>
</file>